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sinessLearn365\Desktop\Quantitative finance excel\"/>
    </mc:Choice>
  </mc:AlternateContent>
  <xr:revisionPtr revIDLastSave="0" documentId="13_ncr:1_{C305E1DB-8D09-429A-87F8-5D7C14A953F1}" xr6:coauthVersionLast="47" xr6:coauthVersionMax="47" xr10:uidLastSave="{00000000-0000-0000-0000-000000000000}"/>
  <bookViews>
    <workbookView xWindow="-109" yWindow="-109" windowWidth="15707" windowHeight="8931" xr2:uid="{00000000-000D-0000-FFFF-FFFF00000000}"/>
  </bookViews>
  <sheets>
    <sheet name="Donate" sheetId="23" r:id="rId1"/>
    <sheet name="1." sheetId="1" r:id="rId2"/>
    <sheet name="2." sheetId="2" r:id="rId3"/>
    <sheet name="3." sheetId="3" r:id="rId4"/>
    <sheet name="4." sheetId="4" r:id="rId5"/>
    <sheet name="5." sheetId="5" r:id="rId6"/>
    <sheet name="6." sheetId="6" r:id="rId7"/>
    <sheet name="7." sheetId="7" r:id="rId8"/>
    <sheet name="8." sheetId="8" r:id="rId9"/>
    <sheet name="9." sheetId="9" r:id="rId10"/>
    <sheet name="10." sheetId="10" r:id="rId11"/>
    <sheet name="11." sheetId="11" r:id="rId12"/>
    <sheet name="11.a" sheetId="12" r:id="rId13"/>
    <sheet name="12." sheetId="13" r:id="rId14"/>
    <sheet name="13." sheetId="14" r:id="rId15"/>
    <sheet name="14." sheetId="15" r:id="rId16"/>
    <sheet name="15." sheetId="16" r:id="rId17"/>
    <sheet name="17. &amp; 18." sheetId="17" r:id="rId18"/>
    <sheet name="19." sheetId="18" r:id="rId19"/>
    <sheet name="20. &amp; 21. &amp; 22." sheetId="19" r:id="rId20"/>
    <sheet name="23." sheetId="21" r:id="rId21"/>
    <sheet name="CASH FLOWS AT WARF COMPUTERS" sheetId="22" r:id="rId22"/>
  </sheets>
  <externalReferences>
    <externalReference r:id="rId23"/>
    <externalReference r:id="rId24"/>
  </externalReferences>
  <definedNames>
    <definedName name="CFC__2019" localSheetId="0">'[1]8.'!$B$5</definedName>
    <definedName name="CFC__2019">'8.'!$B$5</definedName>
    <definedName name="CFC__2021">'[2]9.'!$B$5</definedName>
    <definedName name="CFS__2019" localSheetId="0">'[1]9.'!$B$7</definedName>
    <definedName name="CFS__2019">'9.'!$B$7</definedName>
    <definedName name="CFS__2021">'[2]10.'!$B$7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9" i="2"/>
  <c r="B12" i="2" s="1"/>
  <c r="B18" i="22"/>
  <c r="B9" i="4"/>
  <c r="B46" i="22"/>
  <c r="B45" i="22"/>
  <c r="B42" i="22"/>
  <c r="B38" i="22"/>
  <c r="B36" i="22"/>
  <c r="B19" i="22"/>
  <c r="B15" i="22"/>
  <c r="B16" i="22"/>
  <c r="B34" i="22"/>
  <c r="B33" i="22"/>
  <c r="B32" i="22"/>
  <c r="B31" i="22"/>
  <c r="B30" i="22"/>
  <c r="B29" i="22"/>
  <c r="B27" i="22"/>
  <c r="B26" i="22"/>
  <c r="B25" i="22"/>
  <c r="B20" i="22"/>
  <c r="B17" i="22"/>
  <c r="B46" i="21"/>
  <c r="B59" i="21"/>
  <c r="B57" i="21"/>
  <c r="B56" i="21"/>
  <c r="B58" i="21" s="1"/>
  <c r="B60" i="21" s="1"/>
  <c r="B52" i="21"/>
  <c r="B50" i="21"/>
  <c r="B51" i="21" s="1"/>
  <c r="B53" i="21" s="1"/>
  <c r="B44" i="21"/>
  <c r="B43" i="21"/>
  <c r="B42" i="21"/>
  <c r="B41" i="21"/>
  <c r="B40" i="21"/>
  <c r="B35" i="21"/>
  <c r="B34" i="21"/>
  <c r="B36" i="21" s="1"/>
  <c r="B30" i="21"/>
  <c r="B29" i="21"/>
  <c r="B26" i="21"/>
  <c r="B28" i="21" s="1"/>
  <c r="B31" i="21" s="1"/>
  <c r="B17" i="19"/>
  <c r="B16" i="19"/>
  <c r="B15" i="19"/>
  <c r="F13" i="19"/>
  <c r="J10" i="19"/>
  <c r="J9" i="19"/>
  <c r="J8" i="19"/>
  <c r="J7" i="19"/>
  <c r="J6" i="19"/>
  <c r="F12" i="19"/>
  <c r="F11" i="19"/>
  <c r="B11" i="19"/>
  <c r="F8" i="19"/>
  <c r="F7" i="19"/>
  <c r="F6" i="19"/>
  <c r="B8" i="19"/>
  <c r="B7" i="19"/>
  <c r="B6" i="19"/>
  <c r="B27" i="18"/>
  <c r="B26" i="18"/>
  <c r="B25" i="18"/>
  <c r="B24" i="18"/>
  <c r="B22" i="18"/>
  <c r="B21" i="18"/>
  <c r="B20" i="18"/>
  <c r="B19" i="18"/>
  <c r="B18" i="18"/>
  <c r="B17" i="18"/>
  <c r="B10" i="18"/>
  <c r="B9" i="18"/>
  <c r="B8" i="18"/>
  <c r="B7" i="18"/>
  <c r="B5" i="18"/>
  <c r="B14" i="17"/>
  <c r="B17" i="17"/>
  <c r="B15" i="17"/>
  <c r="B13" i="17"/>
  <c r="B12" i="17"/>
  <c r="B11" i="17"/>
  <c r="B10" i="17"/>
  <c r="B8" i="17"/>
  <c r="B6" i="17"/>
  <c r="B4" i="16"/>
  <c r="B5" i="16"/>
  <c r="B8" i="16"/>
  <c r="B7" i="16"/>
  <c r="B9" i="16"/>
  <c r="B18" i="15"/>
  <c r="B21" i="15"/>
  <c r="B20" i="15"/>
  <c r="B17" i="15"/>
  <c r="B16" i="15"/>
  <c r="B15" i="15"/>
  <c r="B14" i="15"/>
  <c r="B13" i="15"/>
  <c r="B12" i="15"/>
  <c r="B10" i="15"/>
  <c r="B8" i="15"/>
  <c r="B6" i="15"/>
  <c r="B11" i="14"/>
  <c r="B10" i="14"/>
  <c r="B9" i="14"/>
  <c r="B8" i="14"/>
  <c r="B7" i="14"/>
  <c r="B6" i="14"/>
  <c r="C16" i="13"/>
  <c r="C15" i="13"/>
  <c r="C14" i="13"/>
  <c r="C13" i="13"/>
  <c r="C10" i="13"/>
  <c r="C9" i="13"/>
  <c r="C8" i="13"/>
  <c r="E17" i="11"/>
  <c r="E15" i="11"/>
  <c r="E14" i="11"/>
  <c r="E13" i="11"/>
  <c r="E12" i="11"/>
  <c r="B15" i="12"/>
  <c r="B14" i="12"/>
  <c r="B13" i="12"/>
  <c r="B12" i="12"/>
  <c r="B10" i="12"/>
  <c r="B9" i="12"/>
  <c r="B7" i="12"/>
  <c r="B6" i="12"/>
  <c r="B5" i="12"/>
  <c r="B4" i="12"/>
  <c r="B3" i="12"/>
  <c r="B5" i="10"/>
  <c r="B4" i="10" s="1"/>
  <c r="B7" i="10" s="1"/>
  <c r="B7" i="9"/>
  <c r="B5" i="8"/>
  <c r="B13" i="7"/>
  <c r="B12" i="7"/>
  <c r="B11" i="7"/>
  <c r="B10" i="7"/>
  <c r="B9" i="7"/>
  <c r="B8" i="7"/>
  <c r="B7" i="7"/>
  <c r="B1" i="6"/>
  <c r="B8" i="5"/>
  <c r="B7" i="5"/>
  <c r="B5" i="5"/>
  <c r="B11" i="4"/>
  <c r="B10" i="4"/>
  <c r="B7" i="3"/>
  <c r="B3" i="3"/>
  <c r="B1" i="3"/>
  <c r="B7" i="2"/>
  <c r="B5" i="2"/>
  <c r="B5" i="1"/>
  <c r="B4" i="1"/>
  <c r="D5" i="1" s="1"/>
  <c r="D4" i="1" s="1"/>
  <c r="C11" i="22"/>
  <c r="I11" i="22"/>
  <c r="I6" i="22"/>
  <c r="I8" i="22" s="1"/>
  <c r="I10" i="22" s="1"/>
  <c r="C13" i="22"/>
  <c r="F16" i="22"/>
  <c r="E16" i="22"/>
  <c r="F9" i="22"/>
  <c r="E9" i="22"/>
  <c r="F5" i="22"/>
  <c r="F17" i="22" s="1"/>
  <c r="E5" i="22"/>
  <c r="C7" i="22"/>
  <c r="B7" i="22"/>
  <c r="B10" i="22"/>
  <c r="B11" i="22" s="1"/>
  <c r="B13" i="22" s="1"/>
  <c r="B12" i="21"/>
  <c r="B16" i="21"/>
  <c r="B23" i="21"/>
  <c r="I11" i="11"/>
  <c r="I6" i="11"/>
  <c r="H6" i="11"/>
  <c r="H11" i="11"/>
  <c r="B10" i="5" l="1"/>
  <c r="B9" i="5"/>
  <c r="C14" i="22"/>
  <c r="I14" i="22"/>
  <c r="E17" i="22"/>
  <c r="B14" i="22"/>
  <c r="B24" i="21"/>
  <c r="B39" i="21" s="1"/>
  <c r="B45" i="21" s="1"/>
  <c r="I16" i="22" l="1"/>
</calcChain>
</file>

<file path=xl/sharedStrings.xml><?xml version="1.0" encoding="utf-8"?>
<sst xmlns="http://schemas.openxmlformats.org/spreadsheetml/2006/main" count="387" uniqueCount="233">
  <si>
    <t>Balance Sheet</t>
  </si>
  <si>
    <t>CA</t>
  </si>
  <si>
    <t>CL</t>
  </si>
  <si>
    <t>NFA</t>
  </si>
  <si>
    <t>LTD</t>
  </si>
  <si>
    <t>TA</t>
  </si>
  <si>
    <t xml:space="preserve">OE
</t>
  </si>
  <si>
    <t>TL &amp; OE</t>
  </si>
  <si>
    <t>NWC</t>
  </si>
  <si>
    <t>Income Statement</t>
  </si>
  <si>
    <t>Sales</t>
  </si>
  <si>
    <t>Costs</t>
  </si>
  <si>
    <t>Depreciation</t>
  </si>
  <si>
    <t>EBIT</t>
  </si>
  <si>
    <t>Interest</t>
  </si>
  <si>
    <t>EBT</t>
  </si>
  <si>
    <t>Taxes</t>
  </si>
  <si>
    <t>Net income</t>
  </si>
  <si>
    <t>Addition to retained 
earnings</t>
  </si>
  <si>
    <t>Dividends</t>
  </si>
  <si>
    <t>Book value NFA</t>
  </si>
  <si>
    <t xml:space="preserve">Book value CA  </t>
  </si>
  <si>
    <t>Book value assets</t>
  </si>
  <si>
    <t xml:space="preserve">Market value CA  </t>
  </si>
  <si>
    <t>Taxable Income</t>
  </si>
  <si>
    <t>Tax Rate</t>
  </si>
  <si>
    <t>Average tax rate</t>
  </si>
  <si>
    <t>OCF</t>
  </si>
  <si>
    <t>Net fixed assets (2018)</t>
  </si>
  <si>
    <t>Net fixed assets (2019)</t>
  </si>
  <si>
    <t>Depreciation expense (2019)</t>
  </si>
  <si>
    <t>Long-term debt</t>
  </si>
  <si>
    <t>Preferred stock</t>
  </si>
  <si>
    <t>Common stock ($1 par value)</t>
  </si>
  <si>
    <t>Accumulated retained earnings</t>
  </si>
  <si>
    <t>Capital surplus</t>
  </si>
  <si>
    <t>Total equity</t>
  </si>
  <si>
    <t>Total liabilities &amp; equity</t>
  </si>
  <si>
    <t>Long-term debt (2018)</t>
  </si>
  <si>
    <t>Long-term debt (2019)</t>
  </si>
  <si>
    <t>Interest expense (2019)</t>
  </si>
  <si>
    <t>CFC (2019)</t>
  </si>
  <si>
    <t>Net capital spending (2019)</t>
  </si>
  <si>
    <t>Common stock account (2018)</t>
  </si>
  <si>
    <t>Common stock account (2019)</t>
  </si>
  <si>
    <t>Additional paid-in surplus account (2018)</t>
  </si>
  <si>
    <t>Additional paid-in surplus account (2019)</t>
  </si>
  <si>
    <t>Dividends (2019)</t>
  </si>
  <si>
    <t>CFS (2019)</t>
  </si>
  <si>
    <t>Change in NWC (2019)</t>
  </si>
  <si>
    <t>OCF (2019)</t>
  </si>
  <si>
    <t>CFA (2019)</t>
  </si>
  <si>
    <t>Liabilities and Equity</t>
  </si>
  <si>
    <t>Accounts payable</t>
  </si>
  <si>
    <t>Stockholders’ equity</t>
  </si>
  <si>
    <t>Total liabilities and equity</t>
  </si>
  <si>
    <t>Total assets</t>
  </si>
  <si>
    <t>Operations</t>
  </si>
  <si>
    <t>Changes in other current assets</t>
  </si>
  <si>
    <t>Change in accounts payable</t>
  </si>
  <si>
    <t>Total cash flow from operations</t>
  </si>
  <si>
    <t>Investing activities</t>
  </si>
  <si>
    <t>Acquisition of fixed assets</t>
  </si>
  <si>
    <t>Total cash flow from investing activities</t>
  </si>
  <si>
    <t>Financing activities</t>
  </si>
  <si>
    <t>Proceeds of long-term debt</t>
  </si>
  <si>
    <t>Total cash flow from financing activities</t>
  </si>
  <si>
    <t>Change in cash (on balance sheet)</t>
  </si>
  <si>
    <t>b.</t>
  </si>
  <si>
    <t>c.</t>
  </si>
  <si>
    <t>Cash Flow from Assets (2019)</t>
  </si>
  <si>
    <t>Proceeds from long-term borrowing</t>
  </si>
  <si>
    <t xml:space="preserve">Proceeds from the sale of common stock </t>
  </si>
  <si>
    <t>Purchases of fixed assets</t>
  </si>
  <si>
    <t xml:space="preserve">
Purchases of inventories</t>
  </si>
  <si>
    <t>Payment of dividends</t>
  </si>
  <si>
    <t>Cash flows from the firm</t>
  </si>
  <si>
    <t>Capital spending</t>
  </si>
  <si>
    <t>Additions to NWC</t>
  </si>
  <si>
    <t>Capital spending and NWC cash flow</t>
  </si>
  <si>
    <t>Cash flows to investors of the firm</t>
  </si>
  <si>
    <t>Sale of long-term debt</t>
  </si>
  <si>
    <t>Sale of common stock</t>
  </si>
  <si>
    <t>Dividends paid</t>
  </si>
  <si>
    <t>Cost of goods sold</t>
  </si>
  <si>
    <t>Selling costs</t>
  </si>
  <si>
    <t>Other expenses</t>
  </si>
  <si>
    <t>Additions to RE</t>
  </si>
  <si>
    <t>a. OCF (2019)</t>
  </si>
  <si>
    <t>b. CFC (2019)</t>
  </si>
  <si>
    <t>c. CFS (2019)</t>
  </si>
  <si>
    <t>d.</t>
  </si>
  <si>
    <t>COGS</t>
  </si>
  <si>
    <t>A&amp;S expenses</t>
  </si>
  <si>
    <t>Taxes (21%)</t>
  </si>
  <si>
    <t xml:space="preserve">CFA (2019) </t>
  </si>
  <si>
    <t>CFS  (2019)</t>
  </si>
  <si>
    <t>CFC  (2019)</t>
  </si>
  <si>
    <t>Net new LTD (2019)</t>
  </si>
  <si>
    <t>Current assets  (2018)</t>
  </si>
  <si>
    <t>Current assets  (2019)</t>
  </si>
  <si>
    <t>Current liabilities (2018)</t>
  </si>
  <si>
    <t>Current liabilities (2019)</t>
  </si>
  <si>
    <t>Net new equity (2019)</t>
  </si>
  <si>
    <t xml:space="preserve">Current liabilities    </t>
  </si>
  <si>
    <t xml:space="preserve">Long-term debt     </t>
  </si>
  <si>
    <t>a.</t>
  </si>
  <si>
    <t>Owners’ equity 2018</t>
  </si>
  <si>
    <t xml:space="preserve">Total liabilities 2018 </t>
  </si>
  <si>
    <t xml:space="preserve">Total assets 2018 </t>
  </si>
  <si>
    <t>Total assets 2019</t>
  </si>
  <si>
    <t>Total liabilities 2019</t>
  </si>
  <si>
    <t>Owners’ equity 2019</t>
  </si>
  <si>
    <t>Change in NWC - 2019</t>
  </si>
  <si>
    <t>OCF - 2019</t>
  </si>
  <si>
    <t xml:space="preserve">Tax </t>
  </si>
  <si>
    <t xml:space="preserve">Net Income </t>
  </si>
  <si>
    <t>CFA - 2019</t>
  </si>
  <si>
    <t>Debt retired - 2019</t>
  </si>
  <si>
    <t>CFC - 2019</t>
  </si>
  <si>
    <t>Deferred taxes</t>
  </si>
  <si>
    <t>Changes in assets and liabilities</t>
  </si>
  <si>
    <t>Accounts receivable</t>
  </si>
  <si>
    <t>Inventories</t>
  </si>
  <si>
    <t>Accrued expenses</t>
  </si>
  <si>
    <t>Other</t>
  </si>
  <si>
    <t>Sale of fixed assets</t>
  </si>
  <si>
    <t>Retirement of long-term debt</t>
  </si>
  <si>
    <t>Proceeds from long-term debt sales</t>
  </si>
  <si>
    <t>Repurchase of stock</t>
  </si>
  <si>
    <t>Proceeds from new stock issue</t>
  </si>
  <si>
    <t>TIME MANUFACTURING
Statement of Cash Flows ($ in millions)</t>
  </si>
  <si>
    <t>Operating cash flow</t>
  </si>
  <si>
    <t>Earnings before interest and taxes</t>
  </si>
  <si>
    <t>Current taxes</t>
  </si>
  <si>
    <t>Cash flow from assets</t>
  </si>
  <si>
    <t>Net working capital cash flow</t>
  </si>
  <si>
    <t>Cash</t>
  </si>
  <si>
    <t>NWC cash flow</t>
  </si>
  <si>
    <t>Cash flow to creditors</t>
  </si>
  <si>
    <t>Retirement of debt</t>
  </si>
  <si>
    <t>Debt service</t>
  </si>
  <si>
    <t>Proceeds from sale of long-term debt</t>
  </si>
  <si>
    <t>Total</t>
  </si>
  <si>
    <t>Cash flow to stockholders</t>
  </si>
  <si>
    <t>Cash to stockholders</t>
  </si>
  <si>
    <t>$          0 -     9,525</t>
  </si>
  <si>
    <t>9,525 -   38,700</t>
  </si>
  <si>
    <t>38,700 -   82,500</t>
  </si>
  <si>
    <t>82,500 - 157,500</t>
  </si>
  <si>
    <t>157,500 - 200,000</t>
  </si>
  <si>
    <t>200,000 - 500,000</t>
  </si>
  <si>
    <t>500,000 +</t>
  </si>
  <si>
    <t>Market value NFA</t>
  </si>
  <si>
    <t>Market value assets</t>
  </si>
  <si>
    <t>The marginal tax rate</t>
  </si>
  <si>
    <r>
      <rPr>
        <b/>
        <sz val="12"/>
        <color rgb="FFFFFFFF"/>
        <rFont val="Arial Narrow"/>
        <family val="2"/>
      </rPr>
      <t>RITTER CORPORATION
Income Statement 2019</t>
    </r>
  </si>
  <si>
    <r>
      <rPr>
        <sz val="12"/>
        <color rgb="FF231F20"/>
        <rFont val="Arial Narrow"/>
        <family val="2"/>
      </rPr>
      <t>Revenue</t>
    </r>
  </si>
  <si>
    <r>
      <rPr>
        <sz val="12"/>
        <color rgb="FF231F20"/>
        <rFont val="Arial Narrow"/>
        <family val="2"/>
      </rPr>
      <t>Expenses</t>
    </r>
  </si>
  <si>
    <r>
      <rPr>
        <sz val="12"/>
        <color rgb="FF231F20"/>
        <rFont val="Arial Narrow"/>
        <family val="2"/>
      </rPr>
      <t>Depreciation</t>
    </r>
  </si>
  <si>
    <r>
      <rPr>
        <sz val="12"/>
        <color rgb="FF231F20"/>
        <rFont val="Arial Narrow"/>
        <family val="2"/>
      </rPr>
      <t>Net income</t>
    </r>
  </si>
  <si>
    <r>
      <rPr>
        <sz val="12"/>
        <color rgb="FF231F20"/>
        <rFont val="Arial Narrow"/>
        <family val="2"/>
      </rPr>
      <t>Dividends</t>
    </r>
  </si>
  <si>
    <r>
      <rPr>
        <b/>
        <sz val="12"/>
        <color rgb="FFFFFFFF"/>
        <rFont val="Arial Narrow"/>
        <family val="2"/>
      </rPr>
      <t>RITTER CORPORATION
Balance Sheet December 31</t>
    </r>
  </si>
  <si>
    <r>
      <rPr>
        <b/>
        <sz val="12"/>
        <color rgb="FF231F20"/>
        <rFont val="Arial Narrow"/>
        <family val="2"/>
      </rPr>
      <t>Assets</t>
    </r>
  </si>
  <si>
    <r>
      <rPr>
        <sz val="12"/>
        <color rgb="FF231F20"/>
        <rFont val="Arial Narrow"/>
        <family val="2"/>
      </rPr>
      <t>Cash</t>
    </r>
  </si>
  <si>
    <r>
      <rPr>
        <sz val="12"/>
        <color rgb="FF231F20"/>
        <rFont val="Arial Narrow"/>
        <family val="2"/>
      </rPr>
      <t>Other current assets</t>
    </r>
  </si>
  <si>
    <r>
      <rPr>
        <sz val="12"/>
        <color rgb="FF231F20"/>
        <rFont val="Arial Narrow"/>
        <family val="2"/>
      </rPr>
      <t>Net fixed assets</t>
    </r>
  </si>
  <si>
    <r>
      <rPr>
        <b/>
        <sz val="12"/>
        <color rgb="FF000000"/>
        <rFont val="Arial Narrow"/>
        <family val="2"/>
      </rPr>
      <t>d.</t>
    </r>
    <r>
      <rPr>
        <b/>
        <sz val="12"/>
        <color indexed="8"/>
        <rFont val="Arial Narrow"/>
        <family val="2"/>
      </rPr>
      <t xml:space="preserve"> Net capital spending (2019)</t>
    </r>
  </si>
  <si>
    <r>
      <rPr>
        <b/>
        <sz val="12"/>
        <color rgb="FFFFFFFF"/>
        <rFont val="Arial Narrow"/>
        <family val="2"/>
      </rPr>
      <t xml:space="preserve">WESTON ENTERPRISES
Partial Balance Sheets
</t>
    </r>
    <r>
      <rPr>
        <b/>
        <sz val="12"/>
        <color rgb="FF231F20"/>
        <rFont val="Arial Narrow"/>
        <family val="2"/>
      </rPr>
      <t xml:space="preserve">                          </t>
    </r>
    <r>
      <rPr>
        <b/>
        <sz val="12"/>
        <color theme="0"/>
        <rFont val="Arial Narrow"/>
        <family val="2"/>
      </rPr>
      <t xml:space="preserve">    Assets </t>
    </r>
    <r>
      <rPr>
        <b/>
        <sz val="12"/>
        <color rgb="FF231F20"/>
        <rFont val="Arial Narrow"/>
        <family val="2"/>
      </rPr>
      <t xml:space="preserve">                                   </t>
    </r>
    <r>
      <rPr>
        <b/>
        <sz val="12"/>
        <color theme="0"/>
        <rFont val="Arial Narrow"/>
        <family val="2"/>
      </rPr>
      <t>Liabilities and Owners’ Equity</t>
    </r>
  </si>
  <si>
    <r>
      <rPr>
        <sz val="12"/>
        <color rgb="FF231F20"/>
        <rFont val="Arial Narrow"/>
        <family val="2"/>
      </rPr>
      <t>Current assets</t>
    </r>
  </si>
  <si>
    <r>
      <rPr>
        <b/>
        <sz val="12"/>
        <color rgb="FFFFFFFF"/>
        <rFont val="Arial Narrow"/>
        <family val="2"/>
      </rPr>
      <t>WESTON ENTERPRISES
2019 Income Statement</t>
    </r>
  </si>
  <si>
    <r>
      <rPr>
        <sz val="12"/>
        <color rgb="FF231F20"/>
        <rFont val="Arial Narrow"/>
        <family val="2"/>
      </rPr>
      <t>Sales</t>
    </r>
  </si>
  <si>
    <r>
      <rPr>
        <sz val="12"/>
        <color rgb="FF231F20"/>
        <rFont val="Arial Narrow"/>
        <family val="2"/>
      </rPr>
      <t>Costs</t>
    </r>
  </si>
  <si>
    <r>
      <rPr>
        <sz val="12"/>
        <color rgb="FF231F20"/>
        <rFont val="Arial Narrow"/>
        <family val="2"/>
      </rPr>
      <t>Interest paid</t>
    </r>
  </si>
  <si>
    <t>Net new borrowing -2019</t>
  </si>
  <si>
    <t>Net capital spending - 2019</t>
  </si>
  <si>
    <t>Fixed assets sold - (2019)</t>
  </si>
  <si>
    <t>Current assets</t>
  </si>
  <si>
    <t>Current liabilities</t>
  </si>
  <si>
    <t>Cash and equivalents</t>
  </si>
  <si>
    <t>Total fixed assets</t>
  </si>
  <si>
    <t>Total current assets</t>
  </si>
  <si>
    <t>Long-term liabilities</t>
  </si>
  <si>
    <t>Fixed assets</t>
  </si>
  <si>
    <t>Less treasury stock</t>
  </si>
  <si>
    <t>WARF COMPUTERS
Balance Sheets ($ in thousands)</t>
  </si>
  <si>
    <t>Property, plant, and equipment</t>
  </si>
  <si>
    <t>Less accumulated depreciation</t>
  </si>
  <si>
    <t>Net property, plant, and equipment</t>
  </si>
  <si>
    <t>Total current liabilities</t>
  </si>
  <si>
    <t>Total long-term liabilities</t>
  </si>
  <si>
    <t xml:space="preserve">Stockholders’ equity </t>
  </si>
  <si>
    <t xml:space="preserve"> Common stock</t>
  </si>
  <si>
    <r>
      <t xml:space="preserve">Total liabilities and </t>
    </r>
    <r>
      <rPr>
        <b/>
        <sz val="12"/>
        <color rgb="FF333333"/>
        <rFont val="Arial Narrow"/>
        <family val="2"/>
      </rPr>
      <t>shareholders’ equity</t>
    </r>
  </si>
  <si>
    <t>Intangible assets and others</t>
  </si>
  <si>
    <t>Selling, general, and administrative expense</t>
  </si>
  <si>
    <t>Operating income</t>
  </si>
  <si>
    <t>Other income</t>
  </si>
  <si>
    <t>Interest expense</t>
  </si>
  <si>
    <t>Pretax income</t>
  </si>
  <si>
    <t>Current:    $559</t>
  </si>
  <si>
    <t>Deferred:   $66</t>
  </si>
  <si>
    <t>Retained earnings</t>
  </si>
  <si>
    <t>OCF_2019</t>
  </si>
  <si>
    <t>Capital spending_2019</t>
  </si>
  <si>
    <t>Change in net working capital_2019</t>
  </si>
  <si>
    <t>Cash flow from assets_2019</t>
  </si>
  <si>
    <t>The cash flow to creditors_2019</t>
  </si>
  <si>
    <t>The cash flow to stockholders_2019</t>
  </si>
  <si>
    <t>Statement of Cash Flows</t>
  </si>
  <si>
    <t>Proceeds from new stock issues</t>
  </si>
  <si>
    <t xml:space="preserve">Operations
</t>
  </si>
  <si>
    <t xml:space="preserve">Changes in assets and liabilities
</t>
  </si>
  <si>
    <t xml:space="preserve">Investing activities </t>
  </si>
  <si>
    <t xml:space="preserve">Financing activities </t>
  </si>
  <si>
    <t>WARF COMPUTERS
Income Statement ($ in thousands) 2019</t>
  </si>
  <si>
    <t xml:space="preserve">Confirm_CFA </t>
  </si>
  <si>
    <t>Statement of cash flows  2019</t>
  </si>
  <si>
    <t>Confirm_OCF</t>
  </si>
  <si>
    <t xml:space="preserve">Confirm_OCF </t>
  </si>
  <si>
    <t>Confirm_CFA</t>
  </si>
  <si>
    <t>Confirm_CFS</t>
  </si>
  <si>
    <t>Confirm_CFC</t>
  </si>
  <si>
    <t>CFA</t>
  </si>
  <si>
    <t>Taxes(21%)</t>
  </si>
  <si>
    <t>Donate and support next solutions in Excel !!!</t>
  </si>
  <si>
    <t xml:space="preserve">NEXT </t>
  </si>
  <si>
    <t>Investments by Zvi Bodie, Alex Kane, Alan Marcus</t>
  </si>
  <si>
    <t>Working Capital Management Applications and Case Studies (James Sagner)</t>
  </si>
  <si>
    <t>Options, Futures, and Other Derivatives, Global Edition (John Hull)</t>
  </si>
  <si>
    <t>Commodity derivatives  markets and applications (Neil C. Schofield)</t>
  </si>
  <si>
    <t>Asset–Liability and Liquidity Management (Pooya Farahvash)</t>
  </si>
  <si>
    <t>https://paypal.me/businesslearn365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</si>
</sst>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;[Red]&quot;$&quot;#,##0"/>
    <numFmt numFmtId="166" formatCode="&quot;$&quot;#,##0.0_);[Red]\(&quot;$&quot;#,##0.0\)"/>
    <numFmt numFmtId="167" formatCode="&quot;$&quot;\ 0"/>
    <numFmt numFmtId="168" formatCode="&quot;$&quot;\ #,##0"/>
  </numFmts>
  <fonts count="25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u/>
      <sz val="11"/>
      <color indexed="8"/>
      <name val="Times New Roman"/>
      <family val="2"/>
    </font>
    <font>
      <sz val="12"/>
      <color indexed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name val="Arial Narrow"/>
      <family val="2"/>
    </font>
    <font>
      <sz val="12"/>
      <color indexed="63"/>
      <name val="Arial Narrow"/>
      <family val="2"/>
    </font>
    <font>
      <i/>
      <sz val="12"/>
      <color indexed="8"/>
      <name val="Arial Narrow"/>
      <family val="2"/>
    </font>
    <font>
      <b/>
      <sz val="12"/>
      <color indexed="8"/>
      <name val="Arial Narrow"/>
      <family val="2"/>
    </font>
    <font>
      <b/>
      <i/>
      <sz val="12"/>
      <color indexed="8"/>
      <name val="Arial Narrow"/>
      <family val="2"/>
    </font>
    <font>
      <b/>
      <sz val="12"/>
      <color indexed="63"/>
      <name val="Arial Narrow"/>
      <family val="2"/>
    </font>
    <font>
      <b/>
      <sz val="12"/>
      <color indexed="9"/>
      <name val="Arial Narrow"/>
      <family val="2"/>
    </font>
    <font>
      <b/>
      <sz val="14"/>
      <color indexed="8"/>
      <name val="Arial Narrow"/>
      <family val="2"/>
    </font>
    <font>
      <b/>
      <sz val="12"/>
      <color rgb="FFFFFFFF"/>
      <name val="Arial Narrow"/>
      <family val="2"/>
    </font>
    <font>
      <sz val="12"/>
      <color rgb="FF231F20"/>
      <name val="Arial Narrow"/>
      <family val="2"/>
    </font>
    <font>
      <b/>
      <sz val="12"/>
      <name val="Arial Narrow"/>
      <family val="2"/>
    </font>
    <font>
      <b/>
      <sz val="12"/>
      <color rgb="FF231F20"/>
      <name val="Arial Narrow"/>
      <family val="2"/>
    </font>
    <font>
      <b/>
      <sz val="12"/>
      <color rgb="FF000000"/>
      <name val="Arial Narrow"/>
      <family val="2"/>
    </font>
    <font>
      <b/>
      <sz val="12"/>
      <color theme="0"/>
      <name val="Arial Narrow"/>
      <family val="2"/>
    </font>
    <font>
      <b/>
      <sz val="12"/>
      <color rgb="FF333333"/>
      <name val="Arial Narrow"/>
      <family val="2"/>
    </font>
    <font>
      <b/>
      <u/>
      <sz val="12"/>
      <color indexed="63"/>
      <name val="Arial Narrow"/>
      <family val="2"/>
    </font>
    <font>
      <sz val="20"/>
      <color theme="1"/>
      <name val="Agency FB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5622A"/>
      </patternFill>
    </fill>
    <fill>
      <patternFill patternType="solid">
        <fgColor rgb="FFFFF0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231F2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/>
      <top/>
      <bottom style="thin">
        <color rgb="FF000009"/>
      </bottom>
      <diagonal/>
    </border>
    <border>
      <left/>
      <right/>
      <top style="thin">
        <color rgb="FF000009"/>
      </top>
      <bottom/>
      <diagonal/>
    </border>
    <border>
      <left/>
      <right/>
      <top style="thin">
        <color rgb="FF000009"/>
      </top>
      <bottom style="thin">
        <color rgb="FF000009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wrapText="1"/>
    </xf>
    <xf numFmtId="6" fontId="3" fillId="0" borderId="0" xfId="0" applyNumberFormat="1" applyFont="1" applyAlignment="1">
      <alignment horizontal="right" vertical="top" shrinkToFit="1"/>
    </xf>
    <xf numFmtId="0" fontId="5" fillId="0" borderId="0" xfId="0" applyFont="1"/>
    <xf numFmtId="6" fontId="4" fillId="0" borderId="0" xfId="0" applyNumberFormat="1" applyFont="1"/>
    <xf numFmtId="6" fontId="0" fillId="0" borderId="0" xfId="0" applyNumberFormat="1"/>
    <xf numFmtId="6" fontId="3" fillId="0" borderId="1" xfId="0" applyNumberFormat="1" applyFont="1" applyBorder="1" applyAlignment="1">
      <alignment horizontal="right" vertical="top" shrinkToFit="1"/>
    </xf>
    <xf numFmtId="0" fontId="0" fillId="0" borderId="0" xfId="0" applyBorder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 indent="1"/>
    </xf>
    <xf numFmtId="6" fontId="6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right" vertical="top" shrinkToFit="1"/>
    </xf>
    <xf numFmtId="0" fontId="4" fillId="7" borderId="0" xfId="0" applyFont="1" applyFill="1"/>
    <xf numFmtId="6" fontId="4" fillId="7" borderId="0" xfId="0" applyNumberFormat="1" applyFont="1" applyFill="1"/>
    <xf numFmtId="0" fontId="4" fillId="7" borderId="0" xfId="0" applyFont="1" applyFill="1" applyAlignment="1">
      <alignment wrapText="1"/>
    </xf>
    <xf numFmtId="6" fontId="3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vertical="center" wrapText="1"/>
    </xf>
    <xf numFmtId="6" fontId="3" fillId="0" borderId="1" xfId="0" applyNumberFormat="1" applyFont="1" applyBorder="1" applyAlignment="1">
      <alignment horizontal="right" vertical="top" wrapText="1"/>
    </xf>
    <xf numFmtId="3" fontId="0" fillId="0" borderId="0" xfId="0" applyNumberFormat="1"/>
    <xf numFmtId="0" fontId="0" fillId="0" borderId="0" xfId="0" applyFill="1"/>
    <xf numFmtId="0" fontId="1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top" wrapText="1" indent="1"/>
    </xf>
    <xf numFmtId="6" fontId="6" fillId="0" borderId="0" xfId="0" applyNumberFormat="1" applyFont="1" applyAlignment="1">
      <alignment horizontal="left" wrapText="1"/>
    </xf>
    <xf numFmtId="0" fontId="11" fillId="3" borderId="0" xfId="0" applyFont="1" applyFill="1" applyAlignment="1">
      <alignment horizontal="left" vertical="top" wrapText="1" indent="1"/>
    </xf>
    <xf numFmtId="0" fontId="7" fillId="3" borderId="0" xfId="0" applyFont="1" applyFill="1" applyAlignment="1">
      <alignment horizontal="left" vertical="top" wrapText="1" indent="1"/>
    </xf>
    <xf numFmtId="0" fontId="7" fillId="3" borderId="0" xfId="0" applyFont="1" applyFill="1" applyAlignment="1">
      <alignment horizontal="left" vertical="top" wrapText="1" indent="2"/>
    </xf>
    <xf numFmtId="0" fontId="12" fillId="2" borderId="0" xfId="0" applyFont="1" applyFill="1" applyAlignment="1">
      <alignment horizontal="center" vertical="top" wrapText="1"/>
    </xf>
    <xf numFmtId="6" fontId="7" fillId="3" borderId="0" xfId="0" applyNumberFormat="1" applyFont="1" applyFill="1" applyAlignment="1">
      <alignment horizontal="right" vertical="top" indent="1" shrinkToFit="1"/>
    </xf>
    <xf numFmtId="6" fontId="6" fillId="3" borderId="0" xfId="0" applyNumberFormat="1" applyFont="1" applyFill="1" applyAlignment="1">
      <alignment horizontal="left" vertical="center" wrapText="1"/>
    </xf>
    <xf numFmtId="6" fontId="7" fillId="3" borderId="0" xfId="0" applyNumberFormat="1" applyFont="1" applyFill="1" applyAlignment="1">
      <alignment horizontal="right" vertical="top" wrapText="1" indent="1"/>
    </xf>
    <xf numFmtId="6" fontId="6" fillId="3" borderId="0" xfId="0" applyNumberFormat="1" applyFont="1" applyFill="1" applyAlignment="1">
      <alignment horizontal="left" wrapText="1"/>
    </xf>
    <xf numFmtId="6" fontId="7" fillId="3" borderId="1" xfId="0" applyNumberFormat="1" applyFont="1" applyFill="1" applyBorder="1" applyAlignment="1">
      <alignment horizontal="right" vertical="top" indent="1" shrinkToFit="1"/>
    </xf>
    <xf numFmtId="6" fontId="4" fillId="0" borderId="0" xfId="0" applyNumberFormat="1" applyFont="1" applyFill="1" applyBorder="1"/>
    <xf numFmtId="0" fontId="12" fillId="2" borderId="0" xfId="0" applyFont="1" applyFill="1" applyAlignment="1">
      <alignment horizontal="left" vertical="top" wrapText="1" indent="4"/>
    </xf>
    <xf numFmtId="0" fontId="7" fillId="3" borderId="0" xfId="0" applyFont="1" applyFill="1" applyAlignment="1">
      <alignment horizontal="right" vertical="top" wrapText="1" indent="4"/>
    </xf>
    <xf numFmtId="9" fontId="7" fillId="3" borderId="0" xfId="0" applyNumberFormat="1" applyFont="1" applyFill="1" applyAlignment="1">
      <alignment horizontal="left" vertical="top" indent="6" shrinkToFit="1"/>
    </xf>
    <xf numFmtId="0" fontId="7" fillId="3" borderId="0" xfId="0" applyFont="1" applyFill="1" applyAlignment="1">
      <alignment horizontal="center" vertical="top" wrapText="1"/>
    </xf>
    <xf numFmtId="6" fontId="4" fillId="8" borderId="0" xfId="0" applyNumberFormat="1" applyFont="1" applyFill="1" applyBorder="1"/>
    <xf numFmtId="8" fontId="0" fillId="0" borderId="0" xfId="0" applyNumberFormat="1"/>
    <xf numFmtId="6" fontId="3" fillId="0" borderId="0" xfId="0" applyNumberFormat="1" applyFont="1" applyBorder="1" applyAlignment="1">
      <alignment horizontal="right" vertical="top" shrinkToFit="1"/>
    </xf>
    <xf numFmtId="6" fontId="3" fillId="0" borderId="0" xfId="0" applyNumberFormat="1" applyFont="1" applyFill="1" applyAlignment="1">
      <alignment horizontal="right" vertical="top" shrinkToFit="1"/>
    </xf>
    <xf numFmtId="8" fontId="3" fillId="0" borderId="0" xfId="0" applyNumberFormat="1" applyFont="1" applyFill="1" applyAlignment="1">
      <alignment horizontal="right" vertical="top" shrinkToFit="1"/>
    </xf>
    <xf numFmtId="8" fontId="3" fillId="0" borderId="0" xfId="0" applyNumberFormat="1" applyFont="1" applyFill="1" applyBorder="1" applyAlignment="1">
      <alignment horizontal="right" vertical="top" shrinkToFit="1"/>
    </xf>
    <xf numFmtId="164" fontId="0" fillId="0" borderId="0" xfId="0" applyNumberFormat="1"/>
    <xf numFmtId="166" fontId="0" fillId="0" borderId="0" xfId="0" applyNumberFormat="1"/>
    <xf numFmtId="0" fontId="3" fillId="0" borderId="4" xfId="0" applyFont="1" applyBorder="1" applyAlignment="1">
      <alignment horizontal="left" vertical="top" wrapText="1"/>
    </xf>
    <xf numFmtId="6" fontId="3" fillId="0" borderId="4" xfId="0" applyNumberFormat="1" applyFont="1" applyBorder="1" applyAlignment="1">
      <alignment horizontal="right" vertical="top" shrinkToFit="1"/>
    </xf>
    <xf numFmtId="164" fontId="9" fillId="0" borderId="4" xfId="0" applyNumberFormat="1" applyFont="1" applyFill="1" applyBorder="1" applyAlignment="1">
      <alignment horizontal="right" vertical="top" wrapText="1"/>
    </xf>
    <xf numFmtId="0" fontId="4" fillId="0" borderId="4" xfId="0" applyFont="1" applyBorder="1"/>
    <xf numFmtId="164" fontId="4" fillId="0" borderId="4" xfId="0" applyNumberFormat="1" applyFont="1" applyBorder="1"/>
    <xf numFmtId="0" fontId="3" fillId="0" borderId="5" xfId="0" applyFont="1" applyBorder="1" applyAlignment="1">
      <alignment horizontal="left" vertical="top" wrapText="1"/>
    </xf>
    <xf numFmtId="6" fontId="3" fillId="0" borderId="5" xfId="0" applyNumberFormat="1" applyFont="1" applyBorder="1" applyAlignment="1">
      <alignment horizontal="right" vertical="top" shrinkToFit="1"/>
    </xf>
    <xf numFmtId="0" fontId="9" fillId="0" borderId="4" xfId="0" applyFont="1" applyBorder="1" applyAlignment="1">
      <alignment horizontal="left" vertical="top" wrapText="1"/>
    </xf>
    <xf numFmtId="0" fontId="5" fillId="0" borderId="4" xfId="0" applyFont="1" applyBorder="1"/>
    <xf numFmtId="164" fontId="4" fillId="0" borderId="4" xfId="0" applyNumberFormat="1" applyFont="1" applyBorder="1" applyAlignment="1">
      <alignment horizontal="right"/>
    </xf>
    <xf numFmtId="6" fontId="4" fillId="0" borderId="4" xfId="0" applyNumberFormat="1" applyFont="1" applyFill="1" applyBorder="1"/>
    <xf numFmtId="6" fontId="4" fillId="0" borderId="4" xfId="0" applyNumberFormat="1" applyFont="1" applyBorder="1"/>
    <xf numFmtId="6" fontId="3" fillId="0" borderId="4" xfId="0" applyNumberFormat="1" applyFont="1" applyFill="1" applyBorder="1" applyAlignment="1">
      <alignment horizontal="right" shrinkToFit="1"/>
    </xf>
    <xf numFmtId="9" fontId="0" fillId="0" borderId="0" xfId="0" applyNumberFormat="1"/>
    <xf numFmtId="10" fontId="4" fillId="0" borderId="4" xfId="0" applyNumberFormat="1" applyFont="1" applyBorder="1"/>
    <xf numFmtId="0" fontId="7" fillId="4" borderId="4" xfId="0" applyFont="1" applyFill="1" applyBorder="1" applyAlignment="1">
      <alignment horizontal="left" vertical="top" wrapText="1"/>
    </xf>
    <xf numFmtId="6" fontId="7" fillId="4" borderId="4" xfId="0" applyNumberFormat="1" applyFont="1" applyFill="1" applyBorder="1" applyAlignment="1">
      <alignment horizontal="right" vertical="top" shrinkToFit="1"/>
    </xf>
    <xf numFmtId="3" fontId="7" fillId="4" borderId="4" xfId="0" applyNumberFormat="1" applyFont="1" applyFill="1" applyBorder="1" applyAlignment="1">
      <alignment horizontal="right" vertical="top" shrinkToFit="1"/>
    </xf>
    <xf numFmtId="0" fontId="7" fillId="3" borderId="4" xfId="0" applyFont="1" applyFill="1" applyBorder="1" applyAlignment="1">
      <alignment horizontal="left" vertical="top" wrapText="1"/>
    </xf>
    <xf numFmtId="6" fontId="7" fillId="3" borderId="4" xfId="0" applyNumberFormat="1" applyFont="1" applyFill="1" applyBorder="1" applyAlignment="1">
      <alignment horizontal="right" vertical="top" shrinkToFit="1"/>
    </xf>
    <xf numFmtId="3" fontId="7" fillId="3" borderId="4" xfId="0" applyNumberFormat="1" applyFont="1" applyFill="1" applyBorder="1" applyAlignment="1">
      <alignment horizontal="right" vertical="top" shrinkToFit="1"/>
    </xf>
    <xf numFmtId="0" fontId="11" fillId="4" borderId="4" xfId="0" applyFont="1" applyFill="1" applyBorder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6" fontId="15" fillId="6" borderId="0" xfId="0" applyNumberFormat="1" applyFont="1" applyFill="1" applyAlignment="1">
      <alignment vertical="top" shrinkToFit="1"/>
    </xf>
    <xf numFmtId="0" fontId="4" fillId="6" borderId="0" xfId="0" applyFont="1" applyFill="1" applyAlignment="1">
      <alignment horizontal="left" vertical="center" wrapText="1"/>
    </xf>
    <xf numFmtId="6" fontId="15" fillId="6" borderId="0" xfId="0" applyNumberFormat="1" applyFont="1" applyFill="1" applyAlignment="1">
      <alignment horizontal="right" vertical="top" shrinkToFit="1"/>
    </xf>
    <xf numFmtId="0" fontId="6" fillId="6" borderId="0" xfId="0" applyFont="1" applyFill="1" applyAlignment="1">
      <alignment horizontal="left" wrapText="1"/>
    </xf>
    <xf numFmtId="6" fontId="15" fillId="6" borderId="2" xfId="0" applyNumberFormat="1" applyFont="1" applyFill="1" applyBorder="1" applyAlignment="1">
      <alignment horizontal="right" shrinkToFit="1"/>
    </xf>
    <xf numFmtId="0" fontId="4" fillId="6" borderId="0" xfId="0" applyFont="1" applyFill="1" applyAlignment="1">
      <alignment horizontal="right" vertical="top" wrapText="1"/>
    </xf>
    <xf numFmtId="6" fontId="15" fillId="6" borderId="0" xfId="0" applyNumberFormat="1" applyFont="1" applyFill="1" applyBorder="1" applyAlignment="1">
      <alignment horizontal="right" vertical="top" shrinkToFit="1"/>
    </xf>
    <xf numFmtId="6" fontId="15" fillId="6" borderId="2" xfId="0" applyNumberFormat="1" applyFont="1" applyFill="1" applyBorder="1" applyAlignment="1">
      <alignment horizontal="right" vertical="top" shrinkToFit="1"/>
    </xf>
    <xf numFmtId="6" fontId="3" fillId="0" borderId="8" xfId="0" applyNumberFormat="1" applyFont="1" applyBorder="1" applyAlignment="1">
      <alignment horizontal="right" vertical="top" shrinkToFit="1"/>
    </xf>
    <xf numFmtId="6" fontId="4" fillId="0" borderId="0" xfId="0" applyNumberFormat="1" applyFont="1" applyBorder="1"/>
    <xf numFmtId="164" fontId="4" fillId="0" borderId="0" xfId="0" applyNumberFormat="1" applyFont="1" applyBorder="1"/>
    <xf numFmtId="0" fontId="9" fillId="0" borderId="0" xfId="0" applyFont="1" applyAlignment="1">
      <alignment horizontal="center" vertical="top" wrapText="1"/>
    </xf>
    <xf numFmtId="8" fontId="3" fillId="0" borderId="4" xfId="0" applyNumberFormat="1" applyFont="1" applyBorder="1" applyAlignment="1">
      <alignment horizontal="right" vertical="top" shrinkToFit="1"/>
    </xf>
    <xf numFmtId="6" fontId="3" fillId="0" borderId="4" xfId="0" applyNumberFormat="1" applyFont="1" applyBorder="1" applyAlignment="1">
      <alignment horizontal="right" vertical="top" wrapText="1"/>
    </xf>
    <xf numFmtId="0" fontId="4" fillId="6" borderId="0" xfId="0" applyFont="1" applyFill="1" applyBorder="1" applyAlignment="1">
      <alignment horizontal="left" vertical="center" wrapText="1"/>
    </xf>
    <xf numFmtId="1" fontId="17" fillId="6" borderId="0" xfId="0" applyNumberFormat="1" applyFont="1" applyFill="1" applyBorder="1" applyAlignment="1">
      <alignment horizontal="center" vertical="top" shrinkToFit="1"/>
    </xf>
    <xf numFmtId="1" fontId="17" fillId="6" borderId="0" xfId="0" applyNumberFormat="1" applyFont="1" applyFill="1" applyBorder="1" applyAlignment="1">
      <alignment horizontal="right" vertical="top" indent="1" shrinkToFit="1"/>
    </xf>
    <xf numFmtId="6" fontId="15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top" wrapText="1" indent="1"/>
    </xf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wrapText="1"/>
    </xf>
    <xf numFmtId="0" fontId="7" fillId="3" borderId="10" xfId="0" applyFont="1" applyFill="1" applyBorder="1" applyAlignment="1">
      <alignment horizontal="left" vertical="top" wrapText="1"/>
    </xf>
    <xf numFmtId="0" fontId="11" fillId="3" borderId="10" xfId="0" applyFont="1" applyFill="1" applyBorder="1" applyAlignment="1">
      <alignment horizontal="left" vertical="top" wrapText="1"/>
    </xf>
    <xf numFmtId="0" fontId="11" fillId="3" borderId="0" xfId="0" applyFont="1" applyFill="1" applyAlignment="1">
      <alignment vertical="top" wrapText="1"/>
    </xf>
    <xf numFmtId="1" fontId="11" fillId="3" borderId="0" xfId="0" applyNumberFormat="1" applyFont="1" applyFill="1" applyAlignment="1">
      <alignment horizontal="left" vertical="top" shrinkToFit="1"/>
    </xf>
    <xf numFmtId="6" fontId="7" fillId="3" borderId="0" xfId="0" applyNumberFormat="1" applyFont="1" applyFill="1" applyAlignment="1">
      <alignment horizontal="left" vertical="top" shrinkToFit="1"/>
    </xf>
    <xf numFmtId="0" fontId="7" fillId="3" borderId="0" xfId="0" applyFont="1" applyFill="1" applyAlignment="1">
      <alignment vertical="top" wrapText="1"/>
    </xf>
    <xf numFmtId="0" fontId="6" fillId="3" borderId="0" xfId="0" applyFont="1" applyFill="1" applyAlignment="1">
      <alignment wrapText="1"/>
    </xf>
    <xf numFmtId="0" fontId="11" fillId="3" borderId="10" xfId="0" applyFont="1" applyFill="1" applyBorder="1" applyAlignment="1">
      <alignment horizontal="left" vertical="center" wrapText="1"/>
    </xf>
    <xf numFmtId="6" fontId="21" fillId="3" borderId="0" xfId="0" applyNumberFormat="1" applyFont="1" applyFill="1" applyBorder="1" applyAlignment="1">
      <alignment horizontal="left" vertical="top" shrinkToFit="1"/>
    </xf>
    <xf numFmtId="0" fontId="7" fillId="3" borderId="0" xfId="0" applyFont="1" applyFill="1" applyBorder="1" applyAlignment="1">
      <alignment horizontal="left" vertical="top" wrapText="1"/>
    </xf>
    <xf numFmtId="168" fontId="7" fillId="3" borderId="0" xfId="0" applyNumberFormat="1" applyFont="1" applyFill="1" applyBorder="1" applyAlignment="1">
      <alignment horizontal="right" vertical="top" shrinkToFit="1"/>
    </xf>
    <xf numFmtId="0" fontId="7" fillId="3" borderId="0" xfId="0" applyFont="1" applyFill="1" applyBorder="1" applyAlignment="1">
      <alignment horizontal="left" vertical="top" wrapText="1" indent="2"/>
    </xf>
    <xf numFmtId="167" fontId="7" fillId="3" borderId="0" xfId="0" applyNumberFormat="1" applyFont="1" applyFill="1" applyBorder="1" applyAlignment="1">
      <alignment horizontal="right" vertical="top" indent="1" shrinkToFit="1"/>
    </xf>
    <xf numFmtId="6" fontId="7" fillId="3" borderId="0" xfId="0" applyNumberFormat="1" applyFont="1" applyFill="1" applyBorder="1" applyAlignment="1">
      <alignment horizontal="right" vertical="top" shrinkToFit="1"/>
    </xf>
    <xf numFmtId="6" fontId="6" fillId="3" borderId="0" xfId="0" applyNumberFormat="1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left" vertical="top" wrapText="1"/>
    </xf>
    <xf numFmtId="6" fontId="21" fillId="3" borderId="0" xfId="0" applyNumberFormat="1" applyFont="1" applyFill="1" applyBorder="1" applyAlignment="1">
      <alignment horizontal="right" vertical="top" shrinkToFit="1"/>
    </xf>
    <xf numFmtId="6" fontId="7" fillId="3" borderId="0" xfId="0" applyNumberFormat="1" applyFont="1" applyFill="1" applyBorder="1" applyAlignment="1">
      <alignment horizontal="right" vertical="top" wrapText="1"/>
    </xf>
    <xf numFmtId="168" fontId="21" fillId="3" borderId="0" xfId="0" applyNumberFormat="1" applyFont="1" applyFill="1" applyBorder="1" applyAlignment="1">
      <alignment horizontal="right" vertical="top" shrinkToFit="1"/>
    </xf>
    <xf numFmtId="0" fontId="11" fillId="3" borderId="10" xfId="0" applyFont="1" applyFill="1" applyBorder="1" applyAlignment="1">
      <alignment horizontal="left" vertical="top" wrapText="1" indent="1"/>
    </xf>
    <xf numFmtId="0" fontId="11" fillId="3" borderId="0" xfId="0" applyFont="1" applyFill="1" applyAlignment="1">
      <alignment vertical="center" wrapText="1"/>
    </xf>
    <xf numFmtId="167" fontId="4" fillId="0" borderId="4" xfId="0" applyNumberFormat="1" applyFont="1" applyBorder="1"/>
    <xf numFmtId="164" fontId="3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horizontal="left" vertical="center" wrapText="1"/>
    </xf>
    <xf numFmtId="0" fontId="3" fillId="0" borderId="12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6" fontId="3" fillId="0" borderId="0" xfId="0" applyNumberFormat="1" applyFont="1" applyAlignment="1">
      <alignment horizontal="right" vertical="center" wrapText="1"/>
    </xf>
    <xf numFmtId="6" fontId="3" fillId="0" borderId="0" xfId="0" applyNumberFormat="1" applyFont="1" applyAlignment="1">
      <alignment horizontal="right" vertical="center" shrinkToFit="1"/>
    </xf>
    <xf numFmtId="6" fontId="3" fillId="0" borderId="11" xfId="0" applyNumberFormat="1" applyFont="1" applyBorder="1" applyAlignment="1">
      <alignment horizontal="right" vertical="top" shrinkToFit="1"/>
    </xf>
    <xf numFmtId="6" fontId="3" fillId="0" borderId="12" xfId="0" applyNumberFormat="1" applyFont="1" applyBorder="1" applyAlignment="1">
      <alignment horizontal="right" vertical="center" wrapText="1"/>
    </xf>
    <xf numFmtId="6" fontId="3" fillId="0" borderId="0" xfId="0" applyNumberFormat="1" applyFont="1" applyBorder="1" applyAlignment="1">
      <alignment horizontal="right" vertical="center" wrapText="1"/>
    </xf>
    <xf numFmtId="6" fontId="3" fillId="0" borderId="11" xfId="0" applyNumberFormat="1" applyFont="1" applyBorder="1" applyAlignment="1">
      <alignment horizontal="right" vertical="top" wrapText="1"/>
    </xf>
    <xf numFmtId="6" fontId="3" fillId="0" borderId="13" xfId="0" applyNumberFormat="1" applyFont="1" applyBorder="1" applyAlignment="1">
      <alignment horizontal="right" vertical="center" shrinkToFit="1"/>
    </xf>
    <xf numFmtId="0" fontId="16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9" fontId="4" fillId="0" borderId="4" xfId="0" applyNumberFormat="1" applyFont="1" applyBorder="1"/>
    <xf numFmtId="8" fontId="4" fillId="0" borderId="4" xfId="0" applyNumberFormat="1" applyFont="1" applyBorder="1"/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1" fontId="17" fillId="6" borderId="0" xfId="0" applyNumberFormat="1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/>
    <xf numFmtId="0" fontId="9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3"/>
    </xf>
    <xf numFmtId="6" fontId="4" fillId="0" borderId="3" xfId="0" applyNumberFormat="1" applyFont="1" applyBorder="1"/>
    <xf numFmtId="6" fontId="3" fillId="0" borderId="3" xfId="0" applyNumberFormat="1" applyFont="1" applyBorder="1" applyAlignment="1">
      <alignment horizontal="right" vertical="top" shrinkToFi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Continuous" vertical="center" wrapText="1"/>
    </xf>
    <xf numFmtId="0" fontId="9" fillId="0" borderId="4" xfId="0" applyFont="1" applyBorder="1" applyAlignment="1">
      <alignment horizontal="left" vertical="center" wrapText="1"/>
    </xf>
    <xf numFmtId="168" fontId="0" fillId="0" borderId="0" xfId="0" applyNumberFormat="1"/>
    <xf numFmtId="0" fontId="13" fillId="0" borderId="6" xfId="0" applyFont="1" applyBorder="1" applyAlignment="1">
      <alignment horizontal="centerContinuous" wrapText="1"/>
    </xf>
    <xf numFmtId="0" fontId="13" fillId="0" borderId="3" xfId="0" applyFont="1" applyBorder="1" applyAlignment="1">
      <alignment horizontal="centerContinuous" wrapText="1"/>
    </xf>
    <xf numFmtId="0" fontId="13" fillId="0" borderId="7" xfId="0" applyFont="1" applyBorder="1" applyAlignment="1">
      <alignment horizontal="centerContinuous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6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top" wrapText="1"/>
    </xf>
    <xf numFmtId="0" fontId="16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horizontal="left" vertical="top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top" wrapText="1"/>
    </xf>
    <xf numFmtId="0" fontId="12" fillId="2" borderId="9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 wrapText="1"/>
    </xf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rporate.%20Finance(As%20result)/Corporate%20Finance%20%5b12%5d/Excel/2%20.ACCOUNTING%20STATEMENTS,%20TAXES,%20AND%20CASH%20FLO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SINE~1/AppData/Local/Temp/Rar$DIa8468.26704/2.%20FINANCIAL%20STATEMENTS,%20TAXES,%20AND%20CASH%20F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"/>
      <sheetName val="1P"/>
      <sheetName val="2."/>
      <sheetName val="2P"/>
      <sheetName val="3."/>
      <sheetName val="3P"/>
      <sheetName val="4."/>
      <sheetName val="4P"/>
      <sheetName val="5."/>
      <sheetName val="5P"/>
      <sheetName val="6."/>
      <sheetName val="6P"/>
      <sheetName val="7."/>
      <sheetName val="7P"/>
      <sheetName val="8."/>
      <sheetName val="8P"/>
      <sheetName val="9."/>
      <sheetName val="9P"/>
      <sheetName val="10."/>
      <sheetName val="10P"/>
      <sheetName val="11."/>
      <sheetName val="11.a"/>
      <sheetName val="11P"/>
      <sheetName val="11.aP"/>
      <sheetName val="12."/>
      <sheetName val="12P"/>
      <sheetName val="13."/>
      <sheetName val="13P"/>
      <sheetName val="14."/>
      <sheetName val="14P"/>
      <sheetName val="15."/>
      <sheetName val="15P"/>
      <sheetName val="17. &amp; 18."/>
      <sheetName val="17&amp;18PP"/>
      <sheetName val="19."/>
      <sheetName val="19P"/>
      <sheetName val="20."/>
      <sheetName val="20P"/>
      <sheetName val="21. &amp; 22."/>
      <sheetName val="21&amp;22PP"/>
      <sheetName val="23."/>
      <sheetName val="23P"/>
      <sheetName val="CASH FLOWS AT WARF COMPUTERS"/>
      <sheetName val="Pract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B5">
            <v>90000</v>
          </cell>
        </row>
      </sheetData>
      <sheetData sheetId="15" refreshError="1"/>
      <sheetData sheetId="16">
        <row r="7">
          <cell r="B7">
            <v>-50000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ate"/>
      <sheetName val="1."/>
      <sheetName val="2. &amp; 3. &amp; 4."/>
      <sheetName val="5."/>
      <sheetName val="6."/>
      <sheetName val="7."/>
      <sheetName val="8."/>
      <sheetName val="9."/>
      <sheetName val="10."/>
      <sheetName val="11."/>
      <sheetName val="12."/>
      <sheetName val="13."/>
      <sheetName val="14."/>
      <sheetName val="15."/>
      <sheetName val="17. &amp; 18."/>
      <sheetName val="19."/>
      <sheetName val="20."/>
      <sheetName val="21."/>
      <sheetName val="23.&amp; 24."/>
      <sheetName val="Sunset Boards, Inc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-105000</v>
          </cell>
        </row>
      </sheetData>
      <sheetData sheetId="8">
        <row r="7">
          <cell r="B7">
            <v>209000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A728-D59B-47F9-9DC7-DBE56C56B293}">
  <dimension ref="A1:D9"/>
  <sheetViews>
    <sheetView showGridLines="0" tabSelected="1" topLeftCell="A13" zoomScale="145" zoomScaleNormal="145" workbookViewId="0">
      <selection activeCell="C13" sqref="C13"/>
    </sheetView>
  </sheetViews>
  <sheetFormatPr defaultRowHeight="14.55" x14ac:dyDescent="0.3"/>
  <sheetData>
    <row r="1" spans="1:4" ht="26.05" x14ac:dyDescent="0.45">
      <c r="A1" s="165" t="s">
        <v>225</v>
      </c>
    </row>
    <row r="3" spans="1:4" x14ac:dyDescent="0.3">
      <c r="A3" s="166" t="s">
        <v>226</v>
      </c>
      <c r="B3" t="s">
        <v>227</v>
      </c>
    </row>
    <row r="4" spans="1:4" x14ac:dyDescent="0.3">
      <c r="B4" t="s">
        <v>228</v>
      </c>
    </row>
    <row r="5" spans="1:4" x14ac:dyDescent="0.3">
      <c r="B5" t="s">
        <v>229</v>
      </c>
    </row>
    <row r="6" spans="1:4" x14ac:dyDescent="0.3">
      <c r="B6" t="s">
        <v>230</v>
      </c>
    </row>
    <row r="7" spans="1:4" x14ac:dyDescent="0.3">
      <c r="B7" t="s">
        <v>231</v>
      </c>
    </row>
    <row r="9" spans="1:4" x14ac:dyDescent="0.3">
      <c r="A9" s="167" t="s">
        <v>232</v>
      </c>
      <c r="B9" s="166"/>
      <c r="C9" s="166"/>
      <c r="D9" s="166"/>
    </row>
  </sheetData>
  <sheetProtection algorithmName="SHA-512" hashValue="msGdWP+W9FWN6l5zpNLEG8nEb4LiIJwImAxMkT+xfLjfObD+KLeim5T1QrtqUdskxmyKnu3c59EN53w7JrzgFg==" saltValue="opAS8TRtIKfeogGNSgqSn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92F4-B66F-4995-866D-F2FBC8F5A2E1}">
  <sheetPr codeName="Sheet9"/>
  <dimension ref="A1:C7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38" bestFit="1" customWidth="1"/>
    <col min="2" max="3" width="12.33203125" bestFit="1" customWidth="1"/>
  </cols>
  <sheetData>
    <row r="1" spans="1:3" ht="15.75" x14ac:dyDescent="0.3">
      <c r="A1" s="50" t="s">
        <v>43</v>
      </c>
      <c r="B1" s="58">
        <v>490000</v>
      </c>
      <c r="C1" s="2"/>
    </row>
    <row r="2" spans="1:3" ht="15.75" x14ac:dyDescent="0.3">
      <c r="A2" s="50" t="s">
        <v>44</v>
      </c>
      <c r="B2" s="58">
        <v>525000</v>
      </c>
      <c r="C2" s="2"/>
    </row>
    <row r="3" spans="1:3" ht="15.75" x14ac:dyDescent="0.3">
      <c r="A3" s="50" t="s">
        <v>45</v>
      </c>
      <c r="B3" s="58">
        <v>3400000</v>
      </c>
      <c r="C3" s="2"/>
    </row>
    <row r="4" spans="1:3" ht="15.75" x14ac:dyDescent="0.3">
      <c r="A4" s="50" t="s">
        <v>46</v>
      </c>
      <c r="B4" s="58">
        <v>3750000</v>
      </c>
      <c r="C4" s="2"/>
    </row>
    <row r="5" spans="1:3" ht="15.75" x14ac:dyDescent="0.3">
      <c r="A5" s="50" t="s">
        <v>47</v>
      </c>
      <c r="B5" s="58">
        <v>335000</v>
      </c>
      <c r="C5" s="2"/>
    </row>
    <row r="6" spans="1:3" ht="15.75" x14ac:dyDescent="0.3">
      <c r="A6" s="2"/>
      <c r="B6" s="2"/>
      <c r="C6" s="2"/>
    </row>
    <row r="7" spans="1:3" ht="15.75" x14ac:dyDescent="0.3">
      <c r="A7" s="55" t="s">
        <v>48</v>
      </c>
      <c r="B7" s="58">
        <f>B5-((B4+B2)-(B3+B1))</f>
        <v>-50000</v>
      </c>
      <c r="C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198A-E255-45B9-A7D9-4FDF2D69D8B6}">
  <sheetPr codeName="Sheet10"/>
  <dimension ref="A1:C7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25.44140625" bestFit="1" customWidth="1"/>
    <col min="2" max="2" width="10.5546875" bestFit="1" customWidth="1"/>
    <col min="3" max="3" width="9.88671875" bestFit="1" customWidth="1"/>
  </cols>
  <sheetData>
    <row r="1" spans="1:3" ht="15.75" x14ac:dyDescent="0.3">
      <c r="A1" s="50" t="s">
        <v>42</v>
      </c>
      <c r="B1" s="58">
        <v>735000</v>
      </c>
    </row>
    <row r="2" spans="1:3" ht="15.75" x14ac:dyDescent="0.3">
      <c r="A2" s="50" t="s">
        <v>49</v>
      </c>
      <c r="B2" s="58">
        <v>-96000</v>
      </c>
    </row>
    <row r="3" spans="1:3" ht="15.75" x14ac:dyDescent="0.3">
      <c r="A3" s="2"/>
      <c r="B3" s="2"/>
    </row>
    <row r="4" spans="1:3" ht="15.75" x14ac:dyDescent="0.3">
      <c r="A4" s="55" t="s">
        <v>50</v>
      </c>
      <c r="B4" s="58">
        <f>B5+B1+B2</f>
        <v>679000</v>
      </c>
      <c r="C4" s="6"/>
    </row>
    <row r="5" spans="1:3" ht="15.75" x14ac:dyDescent="0.3">
      <c r="A5" s="55" t="s">
        <v>51</v>
      </c>
      <c r="B5" s="58">
        <f>CFC__2019+CFS__2019</f>
        <v>40000</v>
      </c>
    </row>
    <row r="7" spans="1:3" ht="15.75" x14ac:dyDescent="0.3">
      <c r="A7" s="55" t="s">
        <v>216</v>
      </c>
      <c r="B7" s="58">
        <f>B4-B1-B2</f>
        <v>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3E12-4247-468F-AE58-788156E7C622}">
  <sheetPr codeName="Sheet11"/>
  <dimension ref="A1:K17"/>
  <sheetViews>
    <sheetView showGridLines="0" topLeftCell="A8" zoomScale="130" zoomScaleNormal="130" workbookViewId="0">
      <selection activeCell="C3" sqref="C3"/>
    </sheetView>
  </sheetViews>
  <sheetFormatPr defaultRowHeight="14.55" x14ac:dyDescent="0.3"/>
  <cols>
    <col min="1" max="1" width="12.6640625" customWidth="1"/>
    <col min="2" max="2" width="21.5546875" customWidth="1"/>
    <col min="4" max="4" width="27.5546875" bestFit="1" customWidth="1"/>
    <col min="5" max="5" width="9.109375" customWidth="1"/>
    <col min="10" max="10" width="0.44140625" customWidth="1"/>
  </cols>
  <sheetData>
    <row r="1" spans="1:11" ht="37.700000000000003" customHeight="1" x14ac:dyDescent="0.3">
      <c r="A1" s="153" t="s">
        <v>156</v>
      </c>
      <c r="B1" s="153"/>
      <c r="C1" s="2"/>
      <c r="D1" s="154" t="s">
        <v>162</v>
      </c>
      <c r="E1" s="154"/>
      <c r="F1" s="154"/>
      <c r="G1" s="154"/>
      <c r="H1" s="154"/>
      <c r="I1" s="154"/>
      <c r="J1" s="154"/>
    </row>
    <row r="2" spans="1:11" ht="15.75" x14ac:dyDescent="0.3">
      <c r="A2" s="69" t="s">
        <v>157</v>
      </c>
      <c r="B2" s="70">
        <v>797</v>
      </c>
      <c r="C2" s="2"/>
      <c r="D2" s="155" t="s">
        <v>163</v>
      </c>
      <c r="E2" s="155"/>
      <c r="F2" s="155"/>
      <c r="G2" s="155"/>
      <c r="H2" s="134">
        <v>2018</v>
      </c>
      <c r="I2" s="134">
        <v>2019</v>
      </c>
      <c r="J2" s="71"/>
    </row>
    <row r="3" spans="1:11" ht="15.75" x14ac:dyDescent="0.3">
      <c r="A3" s="69" t="s">
        <v>158</v>
      </c>
      <c r="B3" s="70">
        <v>576</v>
      </c>
      <c r="C3" s="2"/>
      <c r="D3" s="156" t="s">
        <v>164</v>
      </c>
      <c r="E3" s="156"/>
      <c r="F3" s="156"/>
      <c r="G3" s="156"/>
      <c r="H3" s="72">
        <v>63</v>
      </c>
      <c r="I3" s="72">
        <v>84</v>
      </c>
      <c r="J3" s="71"/>
    </row>
    <row r="4" spans="1:11" ht="15.75" x14ac:dyDescent="0.3">
      <c r="A4" s="69" t="s">
        <v>159</v>
      </c>
      <c r="B4" s="70">
        <v>92</v>
      </c>
      <c r="C4" s="2"/>
      <c r="D4" s="156" t="s">
        <v>165</v>
      </c>
      <c r="E4" s="156"/>
      <c r="F4" s="156"/>
      <c r="G4" s="156"/>
      <c r="H4" s="72">
        <v>175</v>
      </c>
      <c r="I4" s="72">
        <v>192</v>
      </c>
      <c r="J4" s="71"/>
    </row>
    <row r="5" spans="1:11" ht="15.75" x14ac:dyDescent="0.3">
      <c r="A5" s="69" t="s">
        <v>160</v>
      </c>
      <c r="B5" s="70">
        <v>129</v>
      </c>
      <c r="C5" s="2"/>
      <c r="D5" s="156" t="s">
        <v>166</v>
      </c>
      <c r="E5" s="156"/>
      <c r="F5" s="156"/>
      <c r="G5" s="156"/>
      <c r="H5" s="72">
        <v>398</v>
      </c>
      <c r="I5" s="72">
        <v>417</v>
      </c>
      <c r="J5" s="71"/>
    </row>
    <row r="6" spans="1:11" ht="15.75" x14ac:dyDescent="0.3">
      <c r="A6" s="69" t="s">
        <v>161</v>
      </c>
      <c r="B6" s="70">
        <v>97</v>
      </c>
      <c r="C6" s="2"/>
      <c r="D6" s="73" t="s">
        <v>56</v>
      </c>
      <c r="E6" s="73"/>
      <c r="F6" s="73"/>
      <c r="G6" s="73"/>
      <c r="H6" s="74">
        <f>SUM(H3:H5)</f>
        <v>636</v>
      </c>
      <c r="I6" s="74">
        <f>SUM(I3:I5)</f>
        <v>693</v>
      </c>
      <c r="J6" s="71"/>
    </row>
    <row r="7" spans="1:11" ht="17.25" customHeight="1" x14ac:dyDescent="0.3">
      <c r="A7" s="2"/>
      <c r="B7" s="2"/>
      <c r="C7" s="2"/>
      <c r="D7" s="155" t="s">
        <v>52</v>
      </c>
      <c r="E7" s="155"/>
      <c r="F7" s="155"/>
      <c r="G7" s="155"/>
      <c r="H7" s="75"/>
      <c r="I7" s="75"/>
      <c r="J7" s="71"/>
      <c r="K7" s="9"/>
    </row>
    <row r="8" spans="1:11" ht="15.75" x14ac:dyDescent="0.3">
      <c r="A8" s="2"/>
      <c r="B8" s="2"/>
      <c r="C8" s="2"/>
      <c r="D8" s="156" t="s">
        <v>53</v>
      </c>
      <c r="E8" s="156"/>
      <c r="F8" s="156"/>
      <c r="G8" s="156"/>
      <c r="H8" s="76">
        <v>129</v>
      </c>
      <c r="I8" s="76">
        <v>146</v>
      </c>
      <c r="J8" s="71"/>
    </row>
    <row r="9" spans="1:11" ht="15.75" x14ac:dyDescent="0.3">
      <c r="A9" s="2"/>
      <c r="B9" s="2"/>
      <c r="C9" s="2"/>
      <c r="D9" s="156" t="s">
        <v>31</v>
      </c>
      <c r="E9" s="156"/>
      <c r="F9" s="156"/>
      <c r="G9" s="156"/>
      <c r="H9" s="72">
        <v>155</v>
      </c>
      <c r="I9" s="72">
        <v>163</v>
      </c>
      <c r="J9" s="71"/>
    </row>
    <row r="10" spans="1:11" ht="15.75" x14ac:dyDescent="0.3">
      <c r="A10" s="2"/>
      <c r="B10" s="2"/>
      <c r="C10" s="2"/>
      <c r="D10" s="156" t="s">
        <v>54</v>
      </c>
      <c r="E10" s="156"/>
      <c r="F10" s="156"/>
      <c r="G10" s="156"/>
      <c r="H10" s="72">
        <v>352</v>
      </c>
      <c r="I10" s="72">
        <v>384</v>
      </c>
      <c r="J10" s="71"/>
    </row>
    <row r="11" spans="1:11" ht="15.75" x14ac:dyDescent="0.3">
      <c r="A11" s="2"/>
      <c r="B11" s="2"/>
      <c r="C11" s="2"/>
      <c r="D11" s="156" t="s">
        <v>55</v>
      </c>
      <c r="E11" s="156"/>
      <c r="F11" s="156"/>
      <c r="G11" s="156"/>
      <c r="H11" s="77">
        <f>SUM(H8:H10)</f>
        <v>636</v>
      </c>
      <c r="I11" s="77">
        <f>SUM(I8:I10)</f>
        <v>693</v>
      </c>
      <c r="J11" s="71"/>
    </row>
    <row r="12" spans="1:11" ht="15.75" x14ac:dyDescent="0.3">
      <c r="A12" s="2"/>
      <c r="B12" s="2"/>
      <c r="C12" s="5" t="s">
        <v>68</v>
      </c>
      <c r="D12" s="50" t="s">
        <v>49</v>
      </c>
      <c r="E12" s="58">
        <f>(I3+I4-I8)-(H3+H4-H8)</f>
        <v>21</v>
      </c>
      <c r="F12" s="6"/>
      <c r="G12" s="2"/>
      <c r="H12" s="2"/>
      <c r="I12" s="2"/>
      <c r="J12" s="2"/>
    </row>
    <row r="13" spans="1:11" ht="15.75" x14ac:dyDescent="0.3">
      <c r="A13" s="2"/>
      <c r="B13" s="2"/>
      <c r="C13" s="5" t="s">
        <v>69</v>
      </c>
      <c r="D13" s="50" t="s">
        <v>50</v>
      </c>
      <c r="E13" s="58">
        <f>B5+B4</f>
        <v>221</v>
      </c>
      <c r="F13" s="6"/>
      <c r="G13" s="2"/>
      <c r="H13" s="2"/>
      <c r="I13" s="2"/>
      <c r="J13" s="2"/>
    </row>
    <row r="14" spans="1:11" ht="15.75" x14ac:dyDescent="0.3">
      <c r="A14" s="2"/>
      <c r="B14" s="2"/>
      <c r="C14" s="2"/>
      <c r="D14" s="50" t="s">
        <v>42</v>
      </c>
      <c r="E14" s="58">
        <f>(I5-H5)+B4</f>
        <v>111</v>
      </c>
      <c r="F14" s="6"/>
      <c r="G14" s="2"/>
      <c r="H14" s="2"/>
      <c r="I14" s="2"/>
      <c r="J14" s="2"/>
    </row>
    <row r="15" spans="1:11" ht="15.75" x14ac:dyDescent="0.3">
      <c r="A15" s="2"/>
      <c r="B15" s="2"/>
      <c r="C15" s="2"/>
      <c r="D15" s="50" t="s">
        <v>70</v>
      </c>
      <c r="E15" s="58">
        <f>E13-E14-E12</f>
        <v>89</v>
      </c>
      <c r="F15" s="79"/>
      <c r="G15" s="2"/>
      <c r="H15" s="2"/>
      <c r="I15" s="2"/>
      <c r="J15" s="2"/>
    </row>
    <row r="16" spans="1:11" x14ac:dyDescent="0.3">
      <c r="G16" s="7"/>
    </row>
    <row r="17" spans="4:5" ht="15.75" x14ac:dyDescent="0.3">
      <c r="D17" s="55" t="s">
        <v>218</v>
      </c>
      <c r="E17" s="58">
        <f>E15+E14+E12</f>
        <v>221</v>
      </c>
    </row>
  </sheetData>
  <mergeCells count="11">
    <mergeCell ref="D9:G9"/>
    <mergeCell ref="D10:G10"/>
    <mergeCell ref="D11:G11"/>
    <mergeCell ref="D3:G3"/>
    <mergeCell ref="D4:G4"/>
    <mergeCell ref="D5:G5"/>
    <mergeCell ref="A1:B1"/>
    <mergeCell ref="D1:J1"/>
    <mergeCell ref="D2:G2"/>
    <mergeCell ref="D7:G7"/>
    <mergeCell ref="D8:G8"/>
  </mergeCells>
  <pageMargins left="0.7" right="0.7" top="0.75" bottom="0.75" header="0.3" footer="0.3"/>
  <ignoredErrors>
    <ignoredError sqref="H6:I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2EA5A-B46F-44A3-994E-609C506257C0}">
  <sheetPr codeName="Sheet12"/>
  <dimension ref="A1:B16"/>
  <sheetViews>
    <sheetView showGridLines="0" topLeftCell="A6" zoomScale="130" zoomScaleNormal="130" workbookViewId="0">
      <selection activeCell="C3" sqref="C3"/>
    </sheetView>
  </sheetViews>
  <sheetFormatPr defaultRowHeight="14.55" x14ac:dyDescent="0.3"/>
  <cols>
    <col min="1" max="1" width="40.44140625" bestFit="1" customWidth="1"/>
    <col min="2" max="2" width="6.6640625" bestFit="1" customWidth="1"/>
  </cols>
  <sheetData>
    <row r="1" spans="1:2" ht="15.75" x14ac:dyDescent="0.3">
      <c r="A1" s="81" t="s">
        <v>217</v>
      </c>
      <c r="B1" s="10"/>
    </row>
    <row r="2" spans="1:2" ht="15.75" x14ac:dyDescent="0.3">
      <c r="A2" s="131" t="s">
        <v>57</v>
      </c>
      <c r="B2" s="10"/>
    </row>
    <row r="3" spans="1:2" ht="15.75" x14ac:dyDescent="0.3">
      <c r="A3" s="132" t="s">
        <v>17</v>
      </c>
      <c r="B3" s="4">
        <f>'11.'!B5</f>
        <v>129</v>
      </c>
    </row>
    <row r="4" spans="1:2" ht="15.75" x14ac:dyDescent="0.3">
      <c r="A4" s="132" t="s">
        <v>12</v>
      </c>
      <c r="B4" s="4">
        <f>'11.'!B4</f>
        <v>92</v>
      </c>
    </row>
    <row r="5" spans="1:2" ht="15.75" x14ac:dyDescent="0.3">
      <c r="A5" s="132" t="s">
        <v>58</v>
      </c>
      <c r="B5" s="4">
        <f>'11.'!H4-'11.'!I4</f>
        <v>-17</v>
      </c>
    </row>
    <row r="6" spans="1:2" ht="15.75" x14ac:dyDescent="0.3">
      <c r="A6" s="132" t="s">
        <v>59</v>
      </c>
      <c r="B6" s="4">
        <f>'11.'!I8-'11.'!H8</f>
        <v>17</v>
      </c>
    </row>
    <row r="7" spans="1:2" ht="15.75" x14ac:dyDescent="0.3">
      <c r="A7" s="132" t="s">
        <v>60</v>
      </c>
      <c r="B7" s="8">
        <f>SUM(B3:B6)</f>
        <v>221</v>
      </c>
    </row>
    <row r="8" spans="1:2" ht="15.75" x14ac:dyDescent="0.3">
      <c r="A8" s="131" t="s">
        <v>61</v>
      </c>
      <c r="B8" s="12"/>
    </row>
    <row r="9" spans="1:2" ht="15.75" x14ac:dyDescent="0.3">
      <c r="A9" s="132" t="s">
        <v>62</v>
      </c>
      <c r="B9" s="13">
        <f>-('11.'!I5-'11.'!H5)+-'11.'!B4</f>
        <v>-111</v>
      </c>
    </row>
    <row r="10" spans="1:2" ht="15.75" x14ac:dyDescent="0.3">
      <c r="A10" s="132" t="s">
        <v>63</v>
      </c>
      <c r="B10" s="8">
        <f>SUM(B9)</f>
        <v>-111</v>
      </c>
    </row>
    <row r="11" spans="1:2" ht="15.75" x14ac:dyDescent="0.3">
      <c r="A11" s="131" t="s">
        <v>64</v>
      </c>
      <c r="B11" s="12"/>
    </row>
    <row r="12" spans="1:2" ht="15.75" x14ac:dyDescent="0.3">
      <c r="A12" s="132" t="s">
        <v>65</v>
      </c>
      <c r="B12" s="4">
        <f>'11.'!I9-'11.'!H9</f>
        <v>8</v>
      </c>
    </row>
    <row r="13" spans="1:2" ht="15.75" x14ac:dyDescent="0.3">
      <c r="A13" s="132" t="s">
        <v>19</v>
      </c>
      <c r="B13" s="4">
        <f>-'11.'!B6</f>
        <v>-97</v>
      </c>
    </row>
    <row r="14" spans="1:2" ht="15.75" x14ac:dyDescent="0.3">
      <c r="A14" s="133" t="s">
        <v>66</v>
      </c>
      <c r="B14" s="8">
        <f>SUM(B12:B13)</f>
        <v>-89</v>
      </c>
    </row>
    <row r="15" spans="1:2" ht="16.350000000000001" thickBot="1" x14ac:dyDescent="0.35">
      <c r="A15" s="133" t="s">
        <v>67</v>
      </c>
      <c r="B15" s="78">
        <f>B7+B10+B14</f>
        <v>21</v>
      </c>
    </row>
    <row r="16" spans="1:2" ht="15.15" thickTop="1" x14ac:dyDescent="0.3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D3A3-FC0F-4CEB-BB63-E2FBF6418653}">
  <sheetPr codeName="Sheet13"/>
  <dimension ref="A1:C16"/>
  <sheetViews>
    <sheetView showGridLines="0" topLeftCell="B1" zoomScale="130" zoomScaleNormal="130" workbookViewId="0">
      <selection activeCell="C3" sqref="C3"/>
    </sheetView>
  </sheetViews>
  <sheetFormatPr defaultRowHeight="14.55" x14ac:dyDescent="0.3"/>
  <cols>
    <col min="1" max="1" width="26" hidden="1" customWidth="1"/>
    <col min="2" max="2" width="37.6640625" bestFit="1" customWidth="1"/>
    <col min="3" max="3" width="12.33203125" bestFit="1" customWidth="1"/>
  </cols>
  <sheetData>
    <row r="1" spans="2:3" ht="15.75" x14ac:dyDescent="0.3">
      <c r="B1" s="14" t="s">
        <v>71</v>
      </c>
      <c r="C1" s="15">
        <v>16400</v>
      </c>
    </row>
    <row r="2" spans="2:3" ht="15.75" x14ac:dyDescent="0.3">
      <c r="B2" s="14" t="s">
        <v>72</v>
      </c>
      <c r="C2" s="15">
        <v>4000</v>
      </c>
    </row>
    <row r="3" spans="2:3" ht="15.75" x14ac:dyDescent="0.3">
      <c r="B3" s="14" t="s">
        <v>73</v>
      </c>
      <c r="C3" s="15">
        <v>29000</v>
      </c>
    </row>
    <row r="4" spans="2:3" ht="18" customHeight="1" x14ac:dyDescent="0.3">
      <c r="B4" s="16" t="s">
        <v>74</v>
      </c>
      <c r="C4" s="15">
        <v>2400</v>
      </c>
    </row>
    <row r="5" spans="2:3" ht="15.75" x14ac:dyDescent="0.3">
      <c r="B5" s="14" t="s">
        <v>75</v>
      </c>
      <c r="C5" s="15">
        <v>13100</v>
      </c>
    </row>
    <row r="7" spans="2:3" ht="15.75" x14ac:dyDescent="0.3">
      <c r="B7" s="135" t="s">
        <v>76</v>
      </c>
      <c r="C7" s="10"/>
    </row>
    <row r="8" spans="2:3" ht="15.75" x14ac:dyDescent="0.3">
      <c r="B8" s="132" t="s">
        <v>77</v>
      </c>
      <c r="C8" s="17">
        <f>-C3</f>
        <v>-29000</v>
      </c>
    </row>
    <row r="9" spans="2:3" ht="15.75" x14ac:dyDescent="0.3">
      <c r="B9" s="132" t="s">
        <v>78</v>
      </c>
      <c r="C9" s="17">
        <f>-C4</f>
        <v>-2400</v>
      </c>
    </row>
    <row r="10" spans="2:3" ht="15.75" x14ac:dyDescent="0.3">
      <c r="B10" s="133" t="s">
        <v>79</v>
      </c>
      <c r="C10" s="19">
        <f>SUM(C8:C9)</f>
        <v>-31400</v>
      </c>
    </row>
    <row r="11" spans="2:3" ht="15.75" x14ac:dyDescent="0.3">
      <c r="B11" s="136"/>
      <c r="C11" s="2"/>
    </row>
    <row r="12" spans="2:3" ht="15.75" x14ac:dyDescent="0.3">
      <c r="B12" s="135" t="s">
        <v>80</v>
      </c>
      <c r="C12" s="10"/>
    </row>
    <row r="13" spans="2:3" ht="15.75" x14ac:dyDescent="0.3">
      <c r="B13" s="132" t="s">
        <v>81</v>
      </c>
      <c r="C13" s="17">
        <f>-C1</f>
        <v>-16400</v>
      </c>
    </row>
    <row r="14" spans="2:3" ht="15.75" x14ac:dyDescent="0.3">
      <c r="B14" s="132" t="s">
        <v>82</v>
      </c>
      <c r="C14" s="17">
        <f>-C2</f>
        <v>-4000</v>
      </c>
    </row>
    <row r="15" spans="2:3" ht="15.75" x14ac:dyDescent="0.3">
      <c r="B15" s="132" t="s">
        <v>83</v>
      </c>
      <c r="C15" s="4">
        <f>C5</f>
        <v>13100</v>
      </c>
    </row>
    <row r="16" spans="2:3" ht="15.75" x14ac:dyDescent="0.3">
      <c r="B16" s="133" t="s">
        <v>80</v>
      </c>
      <c r="C16" s="19">
        <f>SUM(C13:C15)</f>
        <v>-7300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DAC2-F42A-449B-B4AB-5197B9849841}">
  <sheetPr codeName="Sheet14"/>
  <dimension ref="A1:B12"/>
  <sheetViews>
    <sheetView showGridLines="0" topLeftCell="A5" zoomScale="130" zoomScaleNormal="130" workbookViewId="0">
      <selection activeCell="C3" sqref="C3"/>
    </sheetView>
  </sheetViews>
  <sheetFormatPr defaultRowHeight="14.55" x14ac:dyDescent="0.3"/>
  <cols>
    <col min="1" max="1" width="17.6640625" bestFit="1" customWidth="1"/>
    <col min="2" max="2" width="10.6640625" bestFit="1" customWidth="1"/>
  </cols>
  <sheetData>
    <row r="1" spans="1:2" ht="15.75" x14ac:dyDescent="0.3">
      <c r="A1" s="149" t="s">
        <v>9</v>
      </c>
      <c r="B1" s="150"/>
    </row>
    <row r="2" spans="1:2" ht="15.75" x14ac:dyDescent="0.3">
      <c r="A2" s="47" t="s">
        <v>10</v>
      </c>
      <c r="B2" s="48">
        <v>865000</v>
      </c>
    </row>
    <row r="3" spans="1:2" ht="15.75" x14ac:dyDescent="0.3">
      <c r="A3" s="47" t="s">
        <v>84</v>
      </c>
      <c r="B3" s="48">
        <v>455000</v>
      </c>
    </row>
    <row r="4" spans="1:2" ht="15.75" x14ac:dyDescent="0.3">
      <c r="A4" s="47" t="s">
        <v>85</v>
      </c>
      <c r="B4" s="48">
        <v>210000</v>
      </c>
    </row>
    <row r="5" spans="1:2" ht="15.75" x14ac:dyDescent="0.3">
      <c r="A5" s="47" t="s">
        <v>12</v>
      </c>
      <c r="B5" s="48">
        <v>105000</v>
      </c>
    </row>
    <row r="6" spans="1:2" ht="15.75" x14ac:dyDescent="0.3">
      <c r="A6" s="54" t="s">
        <v>13</v>
      </c>
      <c r="B6" s="48">
        <f>B2-B3-B4-B5</f>
        <v>95000</v>
      </c>
    </row>
    <row r="7" spans="1:2" ht="15.75" x14ac:dyDescent="0.3">
      <c r="A7" s="47" t="s">
        <v>14</v>
      </c>
      <c r="B7" s="48">
        <f>680000*0.04</f>
        <v>27200</v>
      </c>
    </row>
    <row r="8" spans="1:2" ht="15.75" x14ac:dyDescent="0.3">
      <c r="A8" s="54" t="s">
        <v>15</v>
      </c>
      <c r="B8" s="48">
        <f>B6-B7</f>
        <v>67800</v>
      </c>
    </row>
    <row r="9" spans="1:2" ht="15.75" x14ac:dyDescent="0.3">
      <c r="A9" s="47" t="s">
        <v>16</v>
      </c>
      <c r="B9" s="48">
        <f>B8*0.21</f>
        <v>14238</v>
      </c>
    </row>
    <row r="10" spans="1:2" ht="15.75" x14ac:dyDescent="0.3">
      <c r="A10" s="54" t="s">
        <v>17</v>
      </c>
      <c r="B10" s="48">
        <f>B8-B9</f>
        <v>53562</v>
      </c>
    </row>
    <row r="11" spans="1:2" ht="15.75" x14ac:dyDescent="0.3">
      <c r="A11" s="54" t="s">
        <v>27</v>
      </c>
      <c r="B11" s="48">
        <f>B6+B5-B9</f>
        <v>185762</v>
      </c>
    </row>
    <row r="12" spans="1:2" ht="15.75" x14ac:dyDescent="0.3">
      <c r="B12" s="41"/>
    </row>
  </sheetData>
  <mergeCells count="1">
    <mergeCell ref="A1:B1"/>
  </mergeCells>
  <pageMargins left="0.7" right="0.7" top="0.75" bottom="0.75" header="0.3" footer="0.3"/>
  <ignoredErrors>
    <ignoredError sqref="B9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0FD8-79E7-4D2F-B2FD-24922F45BAFF}">
  <sheetPr codeName="Sheet15"/>
  <dimension ref="A1:D21"/>
  <sheetViews>
    <sheetView showGridLines="0" topLeftCell="A10" zoomScale="130" zoomScaleNormal="130" workbookViewId="0">
      <selection activeCell="C3" sqref="C3"/>
    </sheetView>
  </sheetViews>
  <sheetFormatPr defaultRowHeight="14.55" x14ac:dyDescent="0.3"/>
  <cols>
    <col min="1" max="1" width="29.33203125" bestFit="1" customWidth="1"/>
    <col min="2" max="2" width="9.88671875" bestFit="1" customWidth="1"/>
  </cols>
  <sheetData>
    <row r="1" spans="1:3" ht="15" customHeight="1" x14ac:dyDescent="0.3">
      <c r="A1" s="157" t="s">
        <v>9</v>
      </c>
      <c r="B1" s="158"/>
      <c r="C1" s="3"/>
    </row>
    <row r="2" spans="1:3" ht="15.75" x14ac:dyDescent="0.3">
      <c r="A2" s="47" t="s">
        <v>10</v>
      </c>
      <c r="B2" s="48">
        <v>246000</v>
      </c>
      <c r="C2" s="1"/>
    </row>
    <row r="3" spans="1:3" ht="15.75" x14ac:dyDescent="0.3">
      <c r="A3" s="47" t="s">
        <v>11</v>
      </c>
      <c r="B3" s="48">
        <v>135000</v>
      </c>
      <c r="C3" s="1"/>
    </row>
    <row r="4" spans="1:3" ht="15.75" x14ac:dyDescent="0.3">
      <c r="A4" s="47" t="s">
        <v>86</v>
      </c>
      <c r="B4" s="48">
        <v>7100</v>
      </c>
      <c r="C4" s="1"/>
    </row>
    <row r="5" spans="1:3" ht="15.75" x14ac:dyDescent="0.3">
      <c r="A5" s="47" t="s">
        <v>12</v>
      </c>
      <c r="B5" s="48">
        <v>19100</v>
      </c>
      <c r="C5" s="1"/>
    </row>
    <row r="6" spans="1:3" ht="15.75" x14ac:dyDescent="0.3">
      <c r="A6" s="54" t="s">
        <v>13</v>
      </c>
      <c r="B6" s="48">
        <f>B2-B3-B4-B5</f>
        <v>84800</v>
      </c>
      <c r="C6" s="1"/>
    </row>
    <row r="7" spans="1:3" ht="15.75" x14ac:dyDescent="0.3">
      <c r="A7" s="47" t="s">
        <v>14</v>
      </c>
      <c r="B7" s="48">
        <v>10000</v>
      </c>
      <c r="C7" s="1"/>
    </row>
    <row r="8" spans="1:3" ht="15.75" x14ac:dyDescent="0.3">
      <c r="A8" s="54" t="s">
        <v>15</v>
      </c>
      <c r="B8" s="48">
        <f>B6-B7</f>
        <v>74800</v>
      </c>
      <c r="C8" s="1"/>
    </row>
    <row r="9" spans="1:3" ht="15.75" x14ac:dyDescent="0.3">
      <c r="A9" s="47" t="s">
        <v>16</v>
      </c>
      <c r="B9" s="48">
        <v>18876</v>
      </c>
      <c r="C9" s="1"/>
    </row>
    <row r="10" spans="1:3" ht="15.75" x14ac:dyDescent="0.3">
      <c r="A10" s="54" t="s">
        <v>17</v>
      </c>
      <c r="B10" s="48">
        <f>B8-B9</f>
        <v>55924</v>
      </c>
      <c r="C10" s="1"/>
    </row>
    <row r="11" spans="1:3" ht="15.75" x14ac:dyDescent="0.3">
      <c r="A11" s="47" t="s">
        <v>19</v>
      </c>
      <c r="B11" s="48">
        <v>9800</v>
      </c>
      <c r="C11" s="1"/>
    </row>
    <row r="12" spans="1:3" ht="15.75" x14ac:dyDescent="0.3">
      <c r="A12" s="47" t="s">
        <v>87</v>
      </c>
      <c r="B12" s="48">
        <f>B10-B11</f>
        <v>46124</v>
      </c>
      <c r="C12" s="1"/>
    </row>
    <row r="13" spans="1:3" ht="15.75" x14ac:dyDescent="0.3">
      <c r="A13" s="54" t="s">
        <v>88</v>
      </c>
      <c r="B13" s="48">
        <f>B6+B5-B9</f>
        <v>85024</v>
      </c>
    </row>
    <row r="14" spans="1:3" ht="15.75" x14ac:dyDescent="0.3">
      <c r="A14" s="54" t="s">
        <v>89</v>
      </c>
      <c r="B14" s="51">
        <f>B7+6800</f>
        <v>16800</v>
      </c>
      <c r="C14" s="7"/>
    </row>
    <row r="15" spans="1:3" ht="15.75" x14ac:dyDescent="0.3">
      <c r="A15" s="54" t="s">
        <v>90</v>
      </c>
      <c r="B15" s="58">
        <f>B11-7900</f>
        <v>1900</v>
      </c>
      <c r="C15" s="7"/>
    </row>
    <row r="16" spans="1:3" ht="15.75" x14ac:dyDescent="0.3">
      <c r="A16" s="54" t="s">
        <v>167</v>
      </c>
      <c r="B16" s="58">
        <f>41900+B5</f>
        <v>61000</v>
      </c>
    </row>
    <row r="17" spans="1:4" ht="15.75" x14ac:dyDescent="0.3">
      <c r="A17" s="54" t="s">
        <v>51</v>
      </c>
      <c r="B17" s="58">
        <f>B14+B15</f>
        <v>18700</v>
      </c>
      <c r="C17" s="7"/>
    </row>
    <row r="18" spans="1:4" ht="15.75" x14ac:dyDescent="0.3">
      <c r="A18" s="54" t="s">
        <v>49</v>
      </c>
      <c r="B18" s="58">
        <f>B13-B16-B17</f>
        <v>5324</v>
      </c>
      <c r="C18" s="45"/>
      <c r="D18" s="45"/>
    </row>
    <row r="19" spans="1:4" ht="15.75" x14ac:dyDescent="0.3">
      <c r="B19" s="80"/>
      <c r="C19" s="45"/>
    </row>
    <row r="20" spans="1:4" ht="15.75" x14ac:dyDescent="0.3">
      <c r="A20" s="54" t="s">
        <v>219</v>
      </c>
      <c r="B20" s="58">
        <f>B17+B16+B18</f>
        <v>85024</v>
      </c>
    </row>
    <row r="21" spans="1:4" ht="15.75" x14ac:dyDescent="0.3">
      <c r="A21" s="54" t="s">
        <v>220</v>
      </c>
      <c r="B21" s="58">
        <f>B13-B16-B18</f>
        <v>18700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9C44-85C2-48DE-9CFF-127BE323E717}">
  <sheetPr codeName="Sheet16"/>
  <dimension ref="A1:D11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14.44140625" bestFit="1" customWidth="1"/>
    <col min="2" max="3" width="11.5546875" bestFit="1" customWidth="1"/>
  </cols>
  <sheetData>
    <row r="1" spans="1:4" ht="15.75" x14ac:dyDescent="0.3">
      <c r="A1" s="157" t="s">
        <v>9</v>
      </c>
      <c r="B1" s="158"/>
    </row>
    <row r="2" spans="1:4" ht="15.75" x14ac:dyDescent="0.3">
      <c r="A2" s="47" t="s">
        <v>10</v>
      </c>
      <c r="B2" s="48">
        <v>54000</v>
      </c>
    </row>
    <row r="3" spans="1:4" ht="15.75" x14ac:dyDescent="0.3">
      <c r="A3" s="47" t="s">
        <v>11</v>
      </c>
      <c r="B3" s="48">
        <v>29500</v>
      </c>
    </row>
    <row r="4" spans="1:4" ht="15.75" x14ac:dyDescent="0.3">
      <c r="A4" s="47" t="s">
        <v>12</v>
      </c>
      <c r="B4" s="82">
        <f>B2-B3-B5</f>
        <v>13563.924050632912</v>
      </c>
      <c r="C4" s="40"/>
    </row>
    <row r="5" spans="1:4" ht="15.75" x14ac:dyDescent="0.3">
      <c r="A5" s="54" t="s">
        <v>13</v>
      </c>
      <c r="B5" s="48">
        <f>B7+B6</f>
        <v>10936.075949367088</v>
      </c>
    </row>
    <row r="6" spans="1:4" ht="15.75" x14ac:dyDescent="0.3">
      <c r="A6" s="47" t="s">
        <v>14</v>
      </c>
      <c r="B6" s="48">
        <v>2050</v>
      </c>
    </row>
    <row r="7" spans="1:4" ht="15.75" x14ac:dyDescent="0.3">
      <c r="A7" s="54" t="s">
        <v>15</v>
      </c>
      <c r="B7" s="48">
        <f>B9/(1-0.21)</f>
        <v>8886.0759493670885</v>
      </c>
    </row>
    <row r="8" spans="1:4" ht="15.75" x14ac:dyDescent="0.3">
      <c r="A8" s="47" t="s">
        <v>16</v>
      </c>
      <c r="B8" s="48">
        <f>B7-B9</f>
        <v>1866.0759493670885</v>
      </c>
      <c r="C8" s="46"/>
      <c r="D8" s="46"/>
    </row>
    <row r="9" spans="1:4" ht="15.75" x14ac:dyDescent="0.3">
      <c r="A9" s="54" t="s">
        <v>17</v>
      </c>
      <c r="B9" s="48">
        <f>B11+B10</f>
        <v>7020</v>
      </c>
      <c r="C9" s="7"/>
    </row>
    <row r="10" spans="1:4" ht="15.75" x14ac:dyDescent="0.3">
      <c r="A10" s="47" t="s">
        <v>19</v>
      </c>
      <c r="B10" s="48">
        <v>1720</v>
      </c>
    </row>
    <row r="11" spans="1:4" ht="15.75" x14ac:dyDescent="0.3">
      <c r="A11" s="47" t="s">
        <v>87</v>
      </c>
      <c r="B11" s="48">
        <v>5300</v>
      </c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0EC9-9BF2-43D9-B174-F29F270D1468}">
  <sheetPr codeName="Sheet17"/>
  <dimension ref="A1:C17"/>
  <sheetViews>
    <sheetView showGridLines="0" topLeftCell="A2" zoomScale="130" zoomScaleNormal="130" workbookViewId="0">
      <selection activeCell="C3" sqref="C3"/>
    </sheetView>
  </sheetViews>
  <sheetFormatPr defaultRowHeight="14.55" x14ac:dyDescent="0.3"/>
  <cols>
    <col min="1" max="1" width="19.109375" bestFit="1" customWidth="1"/>
    <col min="2" max="2" width="10.6640625" bestFit="1" customWidth="1"/>
  </cols>
  <sheetData>
    <row r="1" spans="1:3" ht="15" customHeight="1" x14ac:dyDescent="0.3">
      <c r="A1" s="159" t="s">
        <v>9</v>
      </c>
      <c r="B1" s="160"/>
      <c r="C1" s="18"/>
    </row>
    <row r="2" spans="1:3" ht="15.75" x14ac:dyDescent="0.3">
      <c r="A2" s="47" t="s">
        <v>10</v>
      </c>
      <c r="B2" s="48">
        <v>630000</v>
      </c>
      <c r="C2" s="1"/>
    </row>
    <row r="3" spans="1:3" ht="15.75" x14ac:dyDescent="0.3">
      <c r="A3" s="47" t="s">
        <v>92</v>
      </c>
      <c r="B3" s="48">
        <v>465000</v>
      </c>
      <c r="C3" s="1"/>
    </row>
    <row r="4" spans="1:3" ht="15.75" x14ac:dyDescent="0.3">
      <c r="A4" s="47" t="s">
        <v>93</v>
      </c>
      <c r="B4" s="48">
        <v>85000</v>
      </c>
      <c r="C4" s="1"/>
    </row>
    <row r="5" spans="1:3" ht="15.75" x14ac:dyDescent="0.3">
      <c r="A5" s="47" t="s">
        <v>12</v>
      </c>
      <c r="B5" s="48">
        <v>135000</v>
      </c>
      <c r="C5" s="1"/>
    </row>
    <row r="6" spans="1:3" ht="15.75" x14ac:dyDescent="0.3">
      <c r="A6" s="54" t="s">
        <v>13</v>
      </c>
      <c r="B6" s="83">
        <f>B2-B3-B4-B5</f>
        <v>-55000</v>
      </c>
      <c r="C6" s="1"/>
    </row>
    <row r="7" spans="1:3" ht="15.75" x14ac:dyDescent="0.3">
      <c r="A7" s="47" t="s">
        <v>14</v>
      </c>
      <c r="B7" s="48">
        <v>70000</v>
      </c>
      <c r="C7" s="1"/>
    </row>
    <row r="8" spans="1:3" ht="15.75" x14ac:dyDescent="0.3">
      <c r="A8" s="54" t="s">
        <v>15</v>
      </c>
      <c r="B8" s="83">
        <f>B6-B7</f>
        <v>-125000</v>
      </c>
      <c r="C8" s="1"/>
    </row>
    <row r="9" spans="1:3" ht="15.75" x14ac:dyDescent="0.3">
      <c r="A9" s="47" t="s">
        <v>94</v>
      </c>
      <c r="B9" s="48">
        <v>0</v>
      </c>
      <c r="C9" s="1"/>
    </row>
    <row r="10" spans="1:3" ht="15.75" x14ac:dyDescent="0.3">
      <c r="A10" s="54" t="s">
        <v>17</v>
      </c>
      <c r="B10" s="83">
        <f>B8</f>
        <v>-125000</v>
      </c>
      <c r="C10" s="1"/>
    </row>
    <row r="11" spans="1:3" ht="15.75" x14ac:dyDescent="0.3">
      <c r="A11" s="54" t="s">
        <v>50</v>
      </c>
      <c r="B11" s="48">
        <f>B6+B5-B9</f>
        <v>80000</v>
      </c>
    </row>
    <row r="12" spans="1:3" ht="15.75" x14ac:dyDescent="0.3">
      <c r="A12" s="54" t="s">
        <v>95</v>
      </c>
      <c r="B12" s="48">
        <f>B11-0-0</f>
        <v>80000</v>
      </c>
    </row>
    <row r="13" spans="1:3" ht="15.75" x14ac:dyDescent="0.3">
      <c r="A13" s="54" t="s">
        <v>96</v>
      </c>
      <c r="B13" s="48">
        <f>34000-0</f>
        <v>34000</v>
      </c>
    </row>
    <row r="14" spans="1:3" ht="15.75" x14ac:dyDescent="0.3">
      <c r="A14" s="54" t="s">
        <v>97</v>
      </c>
      <c r="B14" s="48">
        <f>B12-B13</f>
        <v>46000</v>
      </c>
      <c r="C14" s="7"/>
    </row>
    <row r="15" spans="1:3" ht="15.75" x14ac:dyDescent="0.3">
      <c r="A15" s="54" t="s">
        <v>98</v>
      </c>
      <c r="B15" s="48">
        <f>B7-B14</f>
        <v>24000</v>
      </c>
      <c r="C15" s="7"/>
    </row>
    <row r="17" spans="1:2" ht="15.75" x14ac:dyDescent="0.3">
      <c r="A17" s="54" t="s">
        <v>220</v>
      </c>
      <c r="B17" s="48">
        <f>B14+B13</f>
        <v>80000</v>
      </c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9205-77CC-47A0-9343-FE23D363E4C9}">
  <sheetPr codeName="Sheet18"/>
  <dimension ref="A1:C27"/>
  <sheetViews>
    <sheetView showGridLines="0" topLeftCell="A17" zoomScale="130" zoomScaleNormal="130" workbookViewId="0">
      <selection activeCell="C3" sqref="C3"/>
    </sheetView>
  </sheetViews>
  <sheetFormatPr defaultRowHeight="14.55" x14ac:dyDescent="0.3"/>
  <cols>
    <col min="1" max="1" width="26.88671875" bestFit="1" customWidth="1"/>
    <col min="2" max="2" width="8.88671875" bestFit="1" customWidth="1"/>
  </cols>
  <sheetData>
    <row r="1" spans="1:2" ht="15.75" x14ac:dyDescent="0.3">
      <c r="A1" s="149" t="s">
        <v>9</v>
      </c>
      <c r="B1" s="150"/>
    </row>
    <row r="2" spans="1:2" ht="15.75" x14ac:dyDescent="0.3">
      <c r="A2" s="47" t="s">
        <v>10</v>
      </c>
      <c r="B2" s="48">
        <v>24360</v>
      </c>
    </row>
    <row r="3" spans="1:2" ht="15.75" x14ac:dyDescent="0.3">
      <c r="A3" s="47" t="s">
        <v>84</v>
      </c>
      <c r="B3" s="48">
        <v>17600</v>
      </c>
    </row>
    <row r="4" spans="1:2" ht="15.75" x14ac:dyDescent="0.3">
      <c r="A4" s="47" t="s">
        <v>12</v>
      </c>
      <c r="B4" s="48">
        <v>3400</v>
      </c>
    </row>
    <row r="5" spans="1:2" ht="15.75" x14ac:dyDescent="0.3">
      <c r="A5" s="54" t="s">
        <v>13</v>
      </c>
      <c r="B5" s="48">
        <f>B2-B3-B4</f>
        <v>3360</v>
      </c>
    </row>
    <row r="6" spans="1:2" ht="15.75" x14ac:dyDescent="0.3">
      <c r="A6" s="47" t="s">
        <v>14</v>
      </c>
      <c r="B6" s="48">
        <v>860</v>
      </c>
    </row>
    <row r="7" spans="1:2" ht="15.75" x14ac:dyDescent="0.3">
      <c r="A7" s="54" t="s">
        <v>15</v>
      </c>
      <c r="B7" s="48">
        <f>B5-B6</f>
        <v>2500</v>
      </c>
    </row>
    <row r="8" spans="1:2" ht="15.75" x14ac:dyDescent="0.3">
      <c r="A8" s="47" t="s">
        <v>16</v>
      </c>
      <c r="B8" s="48">
        <f>B7*0.21</f>
        <v>525</v>
      </c>
    </row>
    <row r="9" spans="1:2" ht="15.75" x14ac:dyDescent="0.3">
      <c r="A9" s="54" t="s">
        <v>17</v>
      </c>
      <c r="B9" s="48">
        <f>B7-B8</f>
        <v>1975</v>
      </c>
    </row>
    <row r="10" spans="1:2" ht="15.75" x14ac:dyDescent="0.3">
      <c r="A10" s="54" t="s">
        <v>50</v>
      </c>
      <c r="B10" s="48">
        <f>B5+B4-B8</f>
        <v>6235</v>
      </c>
    </row>
    <row r="11" spans="1:2" ht="15.75" x14ac:dyDescent="0.3">
      <c r="A11" s="47" t="s">
        <v>28</v>
      </c>
      <c r="B11" s="48">
        <v>18650</v>
      </c>
    </row>
    <row r="12" spans="1:2" ht="15.75" x14ac:dyDescent="0.3">
      <c r="A12" s="47" t="s">
        <v>29</v>
      </c>
      <c r="B12" s="48">
        <v>21180</v>
      </c>
    </row>
    <row r="13" spans="1:2" ht="15.75" x14ac:dyDescent="0.3">
      <c r="A13" s="47" t="s">
        <v>99</v>
      </c>
      <c r="B13" s="48">
        <v>5560</v>
      </c>
    </row>
    <row r="14" spans="1:2" ht="15.75" x14ac:dyDescent="0.3">
      <c r="A14" s="47" t="s">
        <v>100</v>
      </c>
      <c r="B14" s="48">
        <v>6410</v>
      </c>
    </row>
    <row r="15" spans="1:2" ht="15.75" x14ac:dyDescent="0.3">
      <c r="A15" s="47" t="s">
        <v>101</v>
      </c>
      <c r="B15" s="48">
        <v>3040</v>
      </c>
    </row>
    <row r="16" spans="1:2" ht="15.75" x14ac:dyDescent="0.3">
      <c r="A16" s="47" t="s">
        <v>102</v>
      </c>
      <c r="B16" s="48">
        <v>3445</v>
      </c>
    </row>
    <row r="17" spans="1:3" ht="15.75" x14ac:dyDescent="0.3">
      <c r="A17" s="54" t="s">
        <v>49</v>
      </c>
      <c r="B17" s="48">
        <f>(B14-B16)-(B13-B15)</f>
        <v>445</v>
      </c>
      <c r="C17" s="7"/>
    </row>
    <row r="18" spans="1:3" ht="15.75" x14ac:dyDescent="0.3">
      <c r="A18" s="54" t="s">
        <v>42</v>
      </c>
      <c r="B18" s="48">
        <f>(B12-B11)+B4</f>
        <v>5930</v>
      </c>
    </row>
    <row r="19" spans="1:3" ht="15.75" x14ac:dyDescent="0.3">
      <c r="A19" s="54" t="s">
        <v>51</v>
      </c>
      <c r="B19" s="48">
        <f>B10-B18-B17</f>
        <v>-140</v>
      </c>
      <c r="C19" s="7"/>
    </row>
    <row r="20" spans="1:3" ht="15.75" x14ac:dyDescent="0.3">
      <c r="A20" s="54" t="s">
        <v>41</v>
      </c>
      <c r="B20" s="48">
        <f>B6-0</f>
        <v>860</v>
      </c>
      <c r="C20" s="7"/>
    </row>
    <row r="21" spans="1:3" ht="15.75" x14ac:dyDescent="0.3">
      <c r="A21" s="54" t="s">
        <v>48</v>
      </c>
      <c r="B21" s="48">
        <f>B19-B20</f>
        <v>-1000</v>
      </c>
      <c r="C21" s="7"/>
    </row>
    <row r="22" spans="1:3" ht="15.75" x14ac:dyDescent="0.3">
      <c r="A22" s="54" t="s">
        <v>103</v>
      </c>
      <c r="B22" s="48">
        <f>790-B21</f>
        <v>1790</v>
      </c>
      <c r="C22" s="7"/>
    </row>
    <row r="24" spans="1:3" ht="15.75" x14ac:dyDescent="0.3">
      <c r="A24" s="54" t="s">
        <v>218</v>
      </c>
      <c r="B24" s="48">
        <f>B19+B18+B17</f>
        <v>6235</v>
      </c>
    </row>
    <row r="25" spans="1:3" ht="15.75" x14ac:dyDescent="0.3">
      <c r="A25" s="54" t="s">
        <v>220</v>
      </c>
      <c r="B25" s="48">
        <f>B10-B18-B17</f>
        <v>-140</v>
      </c>
    </row>
    <row r="26" spans="1:3" ht="15.75" x14ac:dyDescent="0.3">
      <c r="A26" s="54" t="s">
        <v>221</v>
      </c>
      <c r="B26" s="48">
        <f>790-B22</f>
        <v>-1000</v>
      </c>
    </row>
    <row r="27" spans="1:3" ht="15.75" x14ac:dyDescent="0.3">
      <c r="A27" s="54" t="s">
        <v>222</v>
      </c>
      <c r="B27" s="48">
        <f>B19-B21</f>
        <v>860</v>
      </c>
    </row>
  </sheetData>
  <mergeCells count="1">
    <mergeCell ref="A1:B1"/>
  </mergeCells>
  <pageMargins left="0.7" right="0.7" top="0.75" bottom="0.75" header="0.3" footer="0.3"/>
  <ignoredErrors>
    <ignoredError sqref="B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showGridLines="0" zoomScale="130" zoomScaleNormal="130" workbookViewId="0">
      <selection activeCell="C7" sqref="C7"/>
    </sheetView>
  </sheetViews>
  <sheetFormatPr defaultRowHeight="14.55" x14ac:dyDescent="0.3"/>
  <cols>
    <col min="1" max="1" width="5.109375" bestFit="1" customWidth="1"/>
    <col min="2" max="2" width="8" bestFit="1" customWidth="1"/>
    <col min="3" max="3" width="7.5546875" bestFit="1" customWidth="1"/>
    <col min="4" max="4" width="8" bestFit="1" customWidth="1"/>
  </cols>
  <sheetData>
    <row r="1" spans="1:4" ht="15" customHeight="1" x14ac:dyDescent="0.35">
      <c r="A1" s="146" t="s">
        <v>0</v>
      </c>
      <c r="B1" s="147"/>
      <c r="C1" s="147"/>
      <c r="D1" s="148"/>
    </row>
    <row r="2" spans="1:4" ht="15.75" x14ac:dyDescent="0.3">
      <c r="A2" s="52" t="s">
        <v>1</v>
      </c>
      <c r="B2" s="53">
        <v>4300</v>
      </c>
      <c r="C2" s="52" t="s">
        <v>2</v>
      </c>
      <c r="D2" s="53">
        <v>2900</v>
      </c>
    </row>
    <row r="3" spans="1:4" ht="15.75" x14ac:dyDescent="0.3">
      <c r="A3" s="47" t="s">
        <v>3</v>
      </c>
      <c r="B3" s="48">
        <v>24000</v>
      </c>
      <c r="C3" s="47" t="s">
        <v>4</v>
      </c>
      <c r="D3" s="48">
        <v>10700</v>
      </c>
    </row>
    <row r="4" spans="1:4" ht="15.9" customHeight="1" x14ac:dyDescent="0.3">
      <c r="A4" s="47" t="s">
        <v>5</v>
      </c>
      <c r="B4" s="48">
        <f>SUM(B2:B3)</f>
        <v>28300</v>
      </c>
      <c r="C4" s="54" t="s">
        <v>6</v>
      </c>
      <c r="D4" s="49">
        <f>D5-D2-D3</f>
        <v>14700</v>
      </c>
    </row>
    <row r="5" spans="1:4" ht="15.75" x14ac:dyDescent="0.3">
      <c r="A5" s="55" t="s">
        <v>8</v>
      </c>
      <c r="B5" s="49">
        <f>B2-D2</f>
        <v>1400</v>
      </c>
      <c r="C5" s="50" t="s">
        <v>7</v>
      </c>
      <c r="D5" s="56">
        <f>B4</f>
        <v>28300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CF5D-E5B9-4206-9BAC-7B64C9721A7C}">
  <sheetPr codeName="Sheet19"/>
  <dimension ref="A1:J17"/>
  <sheetViews>
    <sheetView showGridLines="0" topLeftCell="A9" zoomScale="130" zoomScaleNormal="130" workbookViewId="0">
      <selection activeCell="G24" sqref="G24"/>
    </sheetView>
  </sheetViews>
  <sheetFormatPr defaultRowHeight="14.55" x14ac:dyDescent="0.3"/>
  <cols>
    <col min="1" max="1" width="24.44140625" bestFit="1" customWidth="1"/>
    <col min="2" max="2" width="7.6640625" bestFit="1" customWidth="1"/>
    <col min="5" max="5" width="27.5546875" bestFit="1" customWidth="1"/>
    <col min="6" max="6" width="9.44140625" bestFit="1" customWidth="1"/>
    <col min="7" max="7" width="7.6640625" bestFit="1" customWidth="1"/>
    <col min="9" max="9" width="22.88671875" customWidth="1"/>
    <col min="10" max="10" width="10.44140625" bestFit="1" customWidth="1"/>
  </cols>
  <sheetData>
    <row r="1" spans="1:10" ht="53.25" customHeight="1" x14ac:dyDescent="0.3">
      <c r="A1" s="161" t="s">
        <v>168</v>
      </c>
      <c r="B1" s="161"/>
      <c r="C1" s="161"/>
      <c r="D1" s="161"/>
      <c r="E1" s="161"/>
      <c r="F1" s="161"/>
      <c r="G1" s="161"/>
      <c r="I1" s="153" t="s">
        <v>170</v>
      </c>
      <c r="J1" s="153"/>
    </row>
    <row r="2" spans="1:10" ht="18" customHeight="1" x14ac:dyDescent="0.3">
      <c r="A2" s="84"/>
      <c r="B2" s="85">
        <v>2018</v>
      </c>
      <c r="C2" s="85">
        <v>2019</v>
      </c>
      <c r="D2" s="71"/>
      <c r="E2" s="86"/>
      <c r="F2" s="85">
        <v>2018</v>
      </c>
      <c r="G2" s="85">
        <v>2019</v>
      </c>
      <c r="I2" s="127" t="s">
        <v>171</v>
      </c>
      <c r="J2" s="72">
        <v>17688</v>
      </c>
    </row>
    <row r="3" spans="1:10" ht="15.75" x14ac:dyDescent="0.3">
      <c r="A3" s="127" t="s">
        <v>169</v>
      </c>
      <c r="B3" s="72">
        <v>1157</v>
      </c>
      <c r="C3" s="87">
        <v>1411</v>
      </c>
      <c r="D3" s="88"/>
      <c r="E3" s="127" t="s">
        <v>104</v>
      </c>
      <c r="F3" s="72">
        <v>481</v>
      </c>
      <c r="G3" s="87">
        <v>534</v>
      </c>
      <c r="I3" s="127" t="s">
        <v>172</v>
      </c>
      <c r="J3" s="72">
        <v>7118</v>
      </c>
    </row>
    <row r="4" spans="1:10" ht="13.5" customHeight="1" x14ac:dyDescent="0.3">
      <c r="A4" s="127" t="s">
        <v>166</v>
      </c>
      <c r="B4" s="72">
        <v>5261</v>
      </c>
      <c r="C4" s="87">
        <v>6125</v>
      </c>
      <c r="D4" s="88"/>
      <c r="E4" s="128" t="s">
        <v>105</v>
      </c>
      <c r="F4" s="72">
        <v>2856</v>
      </c>
      <c r="G4" s="87">
        <v>3256</v>
      </c>
      <c r="I4" s="127" t="s">
        <v>159</v>
      </c>
      <c r="J4" s="72">
        <v>1478</v>
      </c>
    </row>
    <row r="5" spans="1:10" ht="15.75" x14ac:dyDescent="0.3">
      <c r="A5" s="5" t="s">
        <v>106</v>
      </c>
      <c r="I5" s="127" t="s">
        <v>173</v>
      </c>
      <c r="J5" s="72">
        <v>392</v>
      </c>
    </row>
    <row r="6" spans="1:10" ht="15.75" x14ac:dyDescent="0.3">
      <c r="A6" s="144" t="s">
        <v>109</v>
      </c>
      <c r="B6" s="58">
        <f>B3+B4</f>
        <v>6418</v>
      </c>
      <c r="C6" s="20"/>
      <c r="E6" s="144" t="s">
        <v>110</v>
      </c>
      <c r="F6" s="58">
        <f>C3+C4</f>
        <v>7536</v>
      </c>
      <c r="I6" s="126" t="s">
        <v>13</v>
      </c>
      <c r="J6" s="72">
        <f>J2-J3-J4</f>
        <v>9092</v>
      </c>
    </row>
    <row r="7" spans="1:10" ht="15.75" x14ac:dyDescent="0.3">
      <c r="A7" s="55" t="s">
        <v>108</v>
      </c>
      <c r="B7" s="58">
        <f>F3+F4</f>
        <v>3337</v>
      </c>
      <c r="C7" s="20"/>
      <c r="E7" s="55" t="s">
        <v>111</v>
      </c>
      <c r="F7" s="58">
        <f>G3+G4</f>
        <v>3790</v>
      </c>
      <c r="I7" s="126" t="s">
        <v>15</v>
      </c>
      <c r="J7" s="72">
        <f>J6-J5</f>
        <v>8700</v>
      </c>
    </row>
    <row r="8" spans="1:10" ht="15.75" x14ac:dyDescent="0.3">
      <c r="A8" s="55" t="s">
        <v>107</v>
      </c>
      <c r="B8" s="58">
        <f>B6-B7</f>
        <v>3081</v>
      </c>
      <c r="E8" s="55" t="s">
        <v>112</v>
      </c>
      <c r="F8" s="58">
        <f>F6-F7</f>
        <v>3746</v>
      </c>
      <c r="I8" s="127" t="s">
        <v>115</v>
      </c>
      <c r="J8" s="72">
        <f>J7*0.22</f>
        <v>1914</v>
      </c>
    </row>
    <row r="9" spans="1:10" ht="15.75" x14ac:dyDescent="0.3">
      <c r="I9" s="126" t="s">
        <v>116</v>
      </c>
      <c r="J9" s="72">
        <f>J7-J8</f>
        <v>6786</v>
      </c>
    </row>
    <row r="10" spans="1:10" ht="15.75" x14ac:dyDescent="0.3">
      <c r="A10" s="5" t="s">
        <v>68</v>
      </c>
      <c r="E10" s="5" t="s">
        <v>69</v>
      </c>
      <c r="I10" s="126" t="s">
        <v>114</v>
      </c>
      <c r="J10" s="72">
        <f>J6+J4-J8</f>
        <v>8656</v>
      </c>
    </row>
    <row r="11" spans="1:10" ht="15.75" x14ac:dyDescent="0.3">
      <c r="A11" s="144" t="s">
        <v>113</v>
      </c>
      <c r="B11" s="58">
        <f>(C3-G3)-(B3-F3)</f>
        <v>201</v>
      </c>
      <c r="E11" s="144" t="s">
        <v>175</v>
      </c>
      <c r="F11" s="58">
        <f>(C4-B4)+J4</f>
        <v>2342</v>
      </c>
    </row>
    <row r="12" spans="1:10" ht="15.75" x14ac:dyDescent="0.3">
      <c r="E12" s="144" t="s">
        <v>176</v>
      </c>
      <c r="F12" s="58">
        <f>2820-F11</f>
        <v>478</v>
      </c>
    </row>
    <row r="13" spans="1:10" ht="15.75" x14ac:dyDescent="0.3">
      <c r="E13" s="144" t="s">
        <v>117</v>
      </c>
      <c r="F13" s="58">
        <f>J10-F11-B11</f>
        <v>6113</v>
      </c>
    </row>
    <row r="14" spans="1:10" ht="15.75" x14ac:dyDescent="0.3">
      <c r="A14" s="5" t="s">
        <v>91</v>
      </c>
    </row>
    <row r="15" spans="1:10" ht="15.75" x14ac:dyDescent="0.3">
      <c r="A15" s="55" t="s">
        <v>174</v>
      </c>
      <c r="B15" s="58">
        <f>G4-F4</f>
        <v>400</v>
      </c>
    </row>
    <row r="16" spans="1:10" ht="15.75" x14ac:dyDescent="0.3">
      <c r="A16" s="55" t="s">
        <v>118</v>
      </c>
      <c r="B16" s="58">
        <f>545-B15</f>
        <v>145</v>
      </c>
    </row>
    <row r="17" spans="1:2" ht="15.75" x14ac:dyDescent="0.3">
      <c r="A17" s="55" t="s">
        <v>119</v>
      </c>
      <c r="B17" s="58">
        <f>J5-(G4-F4)</f>
        <v>-8</v>
      </c>
    </row>
  </sheetData>
  <mergeCells count="2">
    <mergeCell ref="A1:G1"/>
    <mergeCell ref="I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CDEE-ED8F-497C-BC1F-938AED8495FA}">
  <sheetPr codeName="Sheet21"/>
  <dimension ref="A1:B60"/>
  <sheetViews>
    <sheetView showGridLines="0" topLeftCell="A48" zoomScale="130" zoomScaleNormal="130" workbookViewId="0">
      <selection activeCell="C3" sqref="C3"/>
    </sheetView>
  </sheetViews>
  <sheetFormatPr defaultRowHeight="14.55" x14ac:dyDescent="0.3"/>
  <cols>
    <col min="1" max="1" width="44.6640625" customWidth="1"/>
    <col min="2" max="2" width="8" bestFit="1" customWidth="1"/>
  </cols>
  <sheetData>
    <row r="1" spans="1:2" ht="36.799999999999997" customHeight="1" x14ac:dyDescent="0.3">
      <c r="A1" s="162" t="s">
        <v>131</v>
      </c>
      <c r="B1" s="162"/>
    </row>
    <row r="2" spans="1:2" ht="15.75" x14ac:dyDescent="0.3">
      <c r="A2" s="25" t="s">
        <v>57</v>
      </c>
      <c r="B2" s="22"/>
    </row>
    <row r="3" spans="1:2" ht="15.75" x14ac:dyDescent="0.3">
      <c r="A3" s="26" t="s">
        <v>17</v>
      </c>
      <c r="B3" s="29">
        <v>187</v>
      </c>
    </row>
    <row r="4" spans="1:2" ht="15.75" x14ac:dyDescent="0.3">
      <c r="A4" s="26" t="s">
        <v>12</v>
      </c>
      <c r="B4" s="29">
        <v>74</v>
      </c>
    </row>
    <row r="5" spans="1:2" ht="15.75" x14ac:dyDescent="0.3">
      <c r="A5" s="26" t="s">
        <v>120</v>
      </c>
      <c r="B5" s="29">
        <v>11</v>
      </c>
    </row>
    <row r="6" spans="1:2" ht="15.75" x14ac:dyDescent="0.3">
      <c r="A6" s="26" t="s">
        <v>121</v>
      </c>
      <c r="B6" s="30"/>
    </row>
    <row r="7" spans="1:2" ht="15.75" x14ac:dyDescent="0.3">
      <c r="A7" s="27" t="s">
        <v>122</v>
      </c>
      <c r="B7" s="31">
        <v>-12</v>
      </c>
    </row>
    <row r="8" spans="1:2" ht="15.75" x14ac:dyDescent="0.3">
      <c r="A8" s="27" t="s">
        <v>123</v>
      </c>
      <c r="B8" s="29">
        <v>15</v>
      </c>
    </row>
    <row r="9" spans="1:2" ht="15.75" x14ac:dyDescent="0.3">
      <c r="A9" s="27" t="s">
        <v>53</v>
      </c>
      <c r="B9" s="29">
        <v>11</v>
      </c>
    </row>
    <row r="10" spans="1:2" ht="15.75" x14ac:dyDescent="0.3">
      <c r="A10" s="27" t="s">
        <v>124</v>
      </c>
      <c r="B10" s="31">
        <v>-6</v>
      </c>
    </row>
    <row r="11" spans="1:2" ht="15.75" x14ac:dyDescent="0.3">
      <c r="A11" s="27" t="s">
        <v>125</v>
      </c>
      <c r="B11" s="29">
        <v>2</v>
      </c>
    </row>
    <row r="12" spans="1:2" ht="15.75" x14ac:dyDescent="0.3">
      <c r="A12" s="25" t="s">
        <v>60</v>
      </c>
      <c r="B12" s="33">
        <f>SUM(B3:B11)</f>
        <v>282</v>
      </c>
    </row>
    <row r="13" spans="1:2" ht="15.75" x14ac:dyDescent="0.3">
      <c r="A13" s="25" t="s">
        <v>61</v>
      </c>
      <c r="B13" s="32"/>
    </row>
    <row r="14" spans="1:2" ht="15.75" x14ac:dyDescent="0.3">
      <c r="A14" s="27" t="s">
        <v>62</v>
      </c>
      <c r="B14" s="31">
        <v>-194</v>
      </c>
    </row>
    <row r="15" spans="1:2" ht="15.75" x14ac:dyDescent="0.3">
      <c r="A15" s="27" t="s">
        <v>126</v>
      </c>
      <c r="B15" s="29">
        <v>19</v>
      </c>
    </row>
    <row r="16" spans="1:2" ht="15.75" x14ac:dyDescent="0.3">
      <c r="A16" s="25" t="s">
        <v>63</v>
      </c>
      <c r="B16" s="33">
        <f>SUM(B14:B15)</f>
        <v>-175</v>
      </c>
    </row>
    <row r="17" spans="1:2" ht="15.75" x14ac:dyDescent="0.3">
      <c r="A17" s="25" t="s">
        <v>64</v>
      </c>
      <c r="B17" s="32"/>
    </row>
    <row r="18" spans="1:2" ht="15.75" x14ac:dyDescent="0.3">
      <c r="A18" s="27" t="s">
        <v>127</v>
      </c>
      <c r="B18" s="31">
        <v>-145</v>
      </c>
    </row>
    <row r="19" spans="1:2" ht="15.75" x14ac:dyDescent="0.3">
      <c r="A19" s="27" t="s">
        <v>128</v>
      </c>
      <c r="B19" s="29">
        <v>110</v>
      </c>
    </row>
    <row r="20" spans="1:2" ht="15.75" x14ac:dyDescent="0.3">
      <c r="A20" s="27" t="s">
        <v>19</v>
      </c>
      <c r="B20" s="31">
        <v>-67</v>
      </c>
    </row>
    <row r="21" spans="1:2" ht="15.75" x14ac:dyDescent="0.3">
      <c r="A21" s="27" t="s">
        <v>129</v>
      </c>
      <c r="B21" s="29">
        <v>-32</v>
      </c>
    </row>
    <row r="22" spans="1:2" ht="15.75" x14ac:dyDescent="0.3">
      <c r="A22" s="27" t="s">
        <v>130</v>
      </c>
      <c r="B22" s="29">
        <v>39</v>
      </c>
    </row>
    <row r="23" spans="1:2" ht="15.75" x14ac:dyDescent="0.3">
      <c r="A23" s="25" t="s">
        <v>66</v>
      </c>
      <c r="B23" s="33">
        <f>SUM(B18:B22)</f>
        <v>-95</v>
      </c>
    </row>
    <row r="24" spans="1:2" ht="15.75" x14ac:dyDescent="0.3">
      <c r="A24" s="25" t="s">
        <v>67</v>
      </c>
      <c r="B24" s="33">
        <f>B12+B16+B23</f>
        <v>12</v>
      </c>
    </row>
    <row r="26" spans="1:2" ht="15.75" x14ac:dyDescent="0.3">
      <c r="A26" s="5" t="s">
        <v>13</v>
      </c>
      <c r="B26" s="139">
        <f>B3+81+B5+38</f>
        <v>317</v>
      </c>
    </row>
    <row r="27" spans="1:2" ht="15.75" x14ac:dyDescent="0.3">
      <c r="A27" s="23" t="s">
        <v>132</v>
      </c>
      <c r="B27" s="12"/>
    </row>
    <row r="28" spans="1:2" ht="15.75" x14ac:dyDescent="0.3">
      <c r="A28" s="11" t="s">
        <v>133</v>
      </c>
      <c r="B28" s="4">
        <f>B26</f>
        <v>317</v>
      </c>
    </row>
    <row r="29" spans="1:2" ht="15.75" x14ac:dyDescent="0.3">
      <c r="A29" s="11" t="s">
        <v>12</v>
      </c>
      <c r="B29" s="4">
        <f>B4</f>
        <v>74</v>
      </c>
    </row>
    <row r="30" spans="1:2" ht="15.75" x14ac:dyDescent="0.3">
      <c r="A30" s="11" t="s">
        <v>134</v>
      </c>
      <c r="B30" s="17">
        <f>-81</f>
        <v>-81</v>
      </c>
    </row>
    <row r="31" spans="1:2" ht="15.75" x14ac:dyDescent="0.3">
      <c r="A31" s="137" t="s">
        <v>132</v>
      </c>
      <c r="B31" s="8">
        <f>SUM(B28:B30)</f>
        <v>310</v>
      </c>
    </row>
    <row r="32" spans="1:2" ht="15.75" x14ac:dyDescent="0.3">
      <c r="A32" s="2"/>
      <c r="B32" s="6"/>
    </row>
    <row r="33" spans="1:2" ht="15.75" x14ac:dyDescent="0.3">
      <c r="A33" s="23" t="s">
        <v>135</v>
      </c>
      <c r="B33" s="24"/>
    </row>
    <row r="34" spans="1:2" ht="15.75" x14ac:dyDescent="0.3">
      <c r="A34" s="11" t="s">
        <v>62</v>
      </c>
      <c r="B34" s="4">
        <f>B14</f>
        <v>-194</v>
      </c>
    </row>
    <row r="35" spans="1:2" ht="15.75" x14ac:dyDescent="0.3">
      <c r="A35" s="11" t="s">
        <v>126</v>
      </c>
      <c r="B35" s="17">
        <f>B15</f>
        <v>19</v>
      </c>
    </row>
    <row r="36" spans="1:2" ht="15.75" x14ac:dyDescent="0.3">
      <c r="A36" s="137" t="s">
        <v>77</v>
      </c>
      <c r="B36" s="8">
        <f>-B34-B35</f>
        <v>175</v>
      </c>
    </row>
    <row r="37" spans="1:2" ht="15.75" x14ac:dyDescent="0.3">
      <c r="A37" s="2"/>
      <c r="B37" s="6"/>
    </row>
    <row r="38" spans="1:2" ht="15.75" x14ac:dyDescent="0.3">
      <c r="A38" s="23" t="s">
        <v>136</v>
      </c>
      <c r="B38" s="12"/>
    </row>
    <row r="39" spans="1:2" ht="15.75" x14ac:dyDescent="0.3">
      <c r="A39" s="11" t="s">
        <v>137</v>
      </c>
      <c r="B39" s="4">
        <f>B24</f>
        <v>12</v>
      </c>
    </row>
    <row r="40" spans="1:2" ht="15.75" x14ac:dyDescent="0.3">
      <c r="A40" s="11" t="s">
        <v>122</v>
      </c>
      <c r="B40" s="4">
        <f>-B7</f>
        <v>12</v>
      </c>
    </row>
    <row r="41" spans="1:2" ht="15.75" x14ac:dyDescent="0.3">
      <c r="A41" s="11" t="s">
        <v>123</v>
      </c>
      <c r="B41" s="17">
        <f>-B8</f>
        <v>-15</v>
      </c>
    </row>
    <row r="42" spans="1:2" ht="15.75" x14ac:dyDescent="0.3">
      <c r="A42" s="11" t="s">
        <v>53</v>
      </c>
      <c r="B42" s="17">
        <f>-B9</f>
        <v>-11</v>
      </c>
    </row>
    <row r="43" spans="1:2" ht="15.75" x14ac:dyDescent="0.3">
      <c r="A43" s="11" t="s">
        <v>124</v>
      </c>
      <c r="B43" s="4">
        <f>-B10</f>
        <v>6</v>
      </c>
    </row>
    <row r="44" spans="1:2" ht="15.75" x14ac:dyDescent="0.3">
      <c r="A44" s="11" t="s">
        <v>125</v>
      </c>
      <c r="B44" s="17">
        <f>-B11</f>
        <v>-2</v>
      </c>
    </row>
    <row r="45" spans="1:2" ht="15.75" x14ac:dyDescent="0.3">
      <c r="A45" s="137" t="s">
        <v>138</v>
      </c>
      <c r="B45" s="8">
        <f>SUM(B39:B44)</f>
        <v>2</v>
      </c>
    </row>
    <row r="46" spans="1:2" ht="15.75" x14ac:dyDescent="0.3">
      <c r="A46" s="137" t="s">
        <v>223</v>
      </c>
      <c r="B46" s="140">
        <f>B31-B36-B45</f>
        <v>133</v>
      </c>
    </row>
    <row r="47" spans="1:2" ht="15.75" x14ac:dyDescent="0.3">
      <c r="A47" s="2"/>
      <c r="B47" s="6"/>
    </row>
    <row r="48" spans="1:2" ht="15.75" x14ac:dyDescent="0.3">
      <c r="A48" s="23" t="s">
        <v>139</v>
      </c>
      <c r="B48" s="12"/>
    </row>
    <row r="49" spans="1:2" ht="15.75" x14ac:dyDescent="0.3">
      <c r="A49" s="11" t="s">
        <v>14</v>
      </c>
      <c r="B49" s="4">
        <v>38</v>
      </c>
    </row>
    <row r="50" spans="1:2" ht="15.75" x14ac:dyDescent="0.3">
      <c r="A50" s="11" t="s">
        <v>140</v>
      </c>
      <c r="B50" s="4">
        <f>-B18</f>
        <v>145</v>
      </c>
    </row>
    <row r="51" spans="1:2" ht="15.75" x14ac:dyDescent="0.3">
      <c r="A51" s="137" t="s">
        <v>141</v>
      </c>
      <c r="B51" s="8">
        <f>SUM(B49:B50)</f>
        <v>183</v>
      </c>
    </row>
    <row r="52" spans="1:2" ht="15.75" x14ac:dyDescent="0.3">
      <c r="A52" s="11" t="s">
        <v>142</v>
      </c>
      <c r="B52" s="17">
        <f>-B19</f>
        <v>-110</v>
      </c>
    </row>
    <row r="53" spans="1:2" ht="15.75" x14ac:dyDescent="0.3">
      <c r="A53" s="137" t="s">
        <v>143</v>
      </c>
      <c r="B53" s="8">
        <f>B51+B52</f>
        <v>73</v>
      </c>
    </row>
    <row r="54" spans="1:2" ht="15.75" x14ac:dyDescent="0.3">
      <c r="A54" s="2"/>
      <c r="B54" s="6"/>
    </row>
    <row r="55" spans="1:2" ht="15.75" x14ac:dyDescent="0.3">
      <c r="A55" s="23" t="s">
        <v>144</v>
      </c>
      <c r="B55" s="24"/>
    </row>
    <row r="56" spans="1:2" ht="15.75" x14ac:dyDescent="0.3">
      <c r="A56" s="11" t="s">
        <v>19</v>
      </c>
      <c r="B56" s="4">
        <f>-B20</f>
        <v>67</v>
      </c>
    </row>
    <row r="57" spans="1:2" ht="15.75" x14ac:dyDescent="0.3">
      <c r="A57" s="11" t="s">
        <v>129</v>
      </c>
      <c r="B57" s="4">
        <f>-B21</f>
        <v>32</v>
      </c>
    </row>
    <row r="58" spans="1:2" ht="15.75" x14ac:dyDescent="0.3">
      <c r="A58" s="137" t="s">
        <v>145</v>
      </c>
      <c r="B58" s="4">
        <f>SUM(B56:B57)</f>
        <v>99</v>
      </c>
    </row>
    <row r="59" spans="1:2" ht="15.75" x14ac:dyDescent="0.3">
      <c r="A59" s="11" t="s">
        <v>130</v>
      </c>
      <c r="B59" s="17">
        <f>-B22</f>
        <v>-39</v>
      </c>
    </row>
    <row r="60" spans="1:2" ht="15.75" x14ac:dyDescent="0.3">
      <c r="A60" s="138" t="s">
        <v>143</v>
      </c>
      <c r="B60" s="8">
        <f>B58+B59</f>
        <v>60</v>
      </c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F6E1-FCE5-44B1-9DD5-680F6E24C959}">
  <sheetPr codeName="Sheet22"/>
  <dimension ref="A1:I46"/>
  <sheetViews>
    <sheetView showGridLines="0" zoomScale="160" zoomScaleNormal="160" workbookViewId="0">
      <selection activeCell="C7" sqref="C7"/>
    </sheetView>
  </sheetViews>
  <sheetFormatPr defaultRowHeight="14.55" x14ac:dyDescent="0.3"/>
  <cols>
    <col min="1" max="1" width="38.33203125" customWidth="1"/>
    <col min="2" max="2" width="10.44140625" bestFit="1" customWidth="1"/>
    <col min="3" max="3" width="11.88671875" bestFit="1" customWidth="1"/>
    <col min="4" max="4" width="43.44140625" customWidth="1"/>
    <col min="8" max="8" width="44.33203125" customWidth="1"/>
    <col min="9" max="9" width="20" customWidth="1"/>
  </cols>
  <sheetData>
    <row r="1" spans="1:9" ht="39.799999999999997" customHeight="1" x14ac:dyDescent="0.3">
      <c r="A1" s="163" t="s">
        <v>185</v>
      </c>
      <c r="B1" s="163"/>
      <c r="C1" s="163"/>
      <c r="D1" s="163"/>
      <c r="E1" s="163"/>
      <c r="F1" s="163"/>
      <c r="H1" s="164" t="s">
        <v>215</v>
      </c>
      <c r="I1" s="164"/>
    </row>
    <row r="2" spans="1:9" ht="15.75" x14ac:dyDescent="0.3">
      <c r="A2" s="100" t="s">
        <v>177</v>
      </c>
      <c r="B2" s="96">
        <v>2018</v>
      </c>
      <c r="C2" s="96">
        <v>2019</v>
      </c>
      <c r="D2" s="113" t="s">
        <v>178</v>
      </c>
      <c r="E2" s="96">
        <v>2018</v>
      </c>
      <c r="F2" s="96">
        <v>2019</v>
      </c>
      <c r="H2" s="102" t="s">
        <v>10</v>
      </c>
      <c r="I2" s="106">
        <v>9068</v>
      </c>
    </row>
    <row r="3" spans="1:9" ht="15.75" x14ac:dyDescent="0.3">
      <c r="A3" s="90" t="s">
        <v>179</v>
      </c>
      <c r="B3" s="97">
        <v>469</v>
      </c>
      <c r="C3" s="97">
        <v>542</v>
      </c>
      <c r="D3" s="98" t="s">
        <v>53</v>
      </c>
      <c r="E3" s="97">
        <v>582</v>
      </c>
      <c r="F3" s="97">
        <v>623</v>
      </c>
      <c r="H3" s="102" t="s">
        <v>84</v>
      </c>
      <c r="I3" s="106">
        <v>5347</v>
      </c>
    </row>
    <row r="4" spans="1:9" ht="15.75" x14ac:dyDescent="0.3">
      <c r="A4" s="90" t="s">
        <v>122</v>
      </c>
      <c r="B4" s="97">
        <v>802</v>
      </c>
      <c r="C4" s="97">
        <v>859</v>
      </c>
      <c r="D4" s="98" t="s">
        <v>124</v>
      </c>
      <c r="E4" s="97">
        <v>481</v>
      </c>
      <c r="F4" s="97">
        <v>296</v>
      </c>
      <c r="H4" s="102" t="s">
        <v>195</v>
      </c>
      <c r="I4" s="106">
        <v>848</v>
      </c>
    </row>
    <row r="5" spans="1:9" ht="15.75" x14ac:dyDescent="0.3">
      <c r="A5" s="90" t="s">
        <v>123</v>
      </c>
      <c r="B5" s="97">
        <v>795</v>
      </c>
      <c r="C5" s="97">
        <v>769</v>
      </c>
      <c r="D5" s="95" t="s">
        <v>189</v>
      </c>
      <c r="E5" s="101">
        <f>SUM(E$3:E$4)</f>
        <v>1063</v>
      </c>
      <c r="F5" s="101">
        <f>SUM(F$3:F$4)</f>
        <v>919</v>
      </c>
      <c r="H5" s="102" t="s">
        <v>12</v>
      </c>
      <c r="I5" s="106">
        <v>298</v>
      </c>
    </row>
    <row r="6" spans="1:9" ht="15.75" x14ac:dyDescent="0.3">
      <c r="A6" s="90" t="s">
        <v>125</v>
      </c>
      <c r="B6" s="97">
        <v>94</v>
      </c>
      <c r="C6" s="97">
        <v>110</v>
      </c>
      <c r="D6" s="98" t="s">
        <v>182</v>
      </c>
      <c r="E6" s="92"/>
      <c r="F6" s="92"/>
      <c r="H6" s="108" t="s">
        <v>196</v>
      </c>
      <c r="I6" s="109">
        <f>I2-I3-I4-I5</f>
        <v>2575</v>
      </c>
    </row>
    <row r="7" spans="1:9" ht="15.9" customHeight="1" x14ac:dyDescent="0.3">
      <c r="A7" s="94" t="s">
        <v>181</v>
      </c>
      <c r="B7" s="101">
        <f>SUM(B$3:B$6)</f>
        <v>2160</v>
      </c>
      <c r="C7" s="101">
        <f>SUM(C$3:C$6)</f>
        <v>2280</v>
      </c>
      <c r="D7" s="98" t="s">
        <v>120</v>
      </c>
      <c r="E7" s="97">
        <v>191</v>
      </c>
      <c r="F7" s="97">
        <v>257</v>
      </c>
      <c r="H7" s="102" t="s">
        <v>197</v>
      </c>
      <c r="I7" s="106">
        <v>90</v>
      </c>
    </row>
    <row r="8" spans="1:9" ht="15.75" x14ac:dyDescent="0.3">
      <c r="A8" s="93" t="s">
        <v>183</v>
      </c>
      <c r="B8" s="91"/>
      <c r="C8" s="91"/>
      <c r="D8" s="98" t="s">
        <v>31</v>
      </c>
      <c r="E8" s="97">
        <v>1379</v>
      </c>
      <c r="F8" s="97">
        <v>1415</v>
      </c>
      <c r="H8" s="108" t="s">
        <v>13</v>
      </c>
      <c r="I8" s="109">
        <f>I6+I7</f>
        <v>2665</v>
      </c>
    </row>
    <row r="9" spans="1:9" ht="15.75" x14ac:dyDescent="0.3">
      <c r="A9" s="90" t="s">
        <v>186</v>
      </c>
      <c r="B9" s="97">
        <v>3815</v>
      </c>
      <c r="C9" s="97">
        <v>4978</v>
      </c>
      <c r="D9" s="95" t="s">
        <v>190</v>
      </c>
      <c r="E9" s="101">
        <f>SUM(E$7:E$8)</f>
        <v>1570</v>
      </c>
      <c r="F9" s="101">
        <f>SUM(F$7:F$8)</f>
        <v>1672</v>
      </c>
      <c r="H9" s="102" t="s">
        <v>198</v>
      </c>
      <c r="I9" s="106">
        <v>164</v>
      </c>
    </row>
    <row r="10" spans="1:9" ht="15.75" x14ac:dyDescent="0.3">
      <c r="A10" s="90" t="s">
        <v>187</v>
      </c>
      <c r="B10" s="97">
        <f>1310</f>
        <v>1310</v>
      </c>
      <c r="C10" s="97">
        <v>1608</v>
      </c>
      <c r="D10" s="99" t="s">
        <v>191</v>
      </c>
      <c r="E10" s="99"/>
      <c r="F10" s="99"/>
      <c r="H10" s="108" t="s">
        <v>199</v>
      </c>
      <c r="I10" s="109">
        <f>I8-I9</f>
        <v>2501</v>
      </c>
    </row>
    <row r="11" spans="1:9" ht="15.75" x14ac:dyDescent="0.3">
      <c r="A11" s="112" t="s">
        <v>188</v>
      </c>
      <c r="B11" s="101">
        <f>B$9-B$10</f>
        <v>2505</v>
      </c>
      <c r="C11" s="101">
        <f>C$9-C$10</f>
        <v>3370</v>
      </c>
      <c r="D11" s="98" t="s">
        <v>32</v>
      </c>
      <c r="E11" s="97">
        <v>25</v>
      </c>
      <c r="F11" s="97">
        <v>25</v>
      </c>
      <c r="H11" s="108" t="s">
        <v>16</v>
      </c>
      <c r="I11" s="109">
        <f>I12+I13</f>
        <v>625</v>
      </c>
    </row>
    <row r="12" spans="1:9" ht="15.75" x14ac:dyDescent="0.3">
      <c r="A12" s="89" t="s">
        <v>194</v>
      </c>
      <c r="B12" s="97">
        <v>851</v>
      </c>
      <c r="C12" s="97">
        <v>952</v>
      </c>
      <c r="D12" s="98" t="s">
        <v>192</v>
      </c>
      <c r="E12" s="97">
        <v>151</v>
      </c>
      <c r="F12" s="97">
        <v>155</v>
      </c>
      <c r="H12" s="104" t="s">
        <v>200</v>
      </c>
      <c r="I12" s="107">
        <v>559</v>
      </c>
    </row>
    <row r="13" spans="1:9" ht="15.75" x14ac:dyDescent="0.3">
      <c r="A13" s="94" t="s">
        <v>180</v>
      </c>
      <c r="B13" s="101">
        <f>SUM(B$11:B$12)</f>
        <v>3356</v>
      </c>
      <c r="C13" s="101">
        <f>C11+C12</f>
        <v>4322</v>
      </c>
      <c r="D13" s="98" t="s">
        <v>35</v>
      </c>
      <c r="E13" s="97">
        <v>934</v>
      </c>
      <c r="F13" s="97">
        <v>949</v>
      </c>
      <c r="H13" s="104" t="s">
        <v>201</v>
      </c>
      <c r="I13" s="110">
        <v>66</v>
      </c>
    </row>
    <row r="14" spans="1:9" ht="15.75" x14ac:dyDescent="0.3">
      <c r="A14" s="94" t="s">
        <v>56</v>
      </c>
      <c r="B14" s="101">
        <f>B$7+B$13</f>
        <v>5516</v>
      </c>
      <c r="C14" s="101">
        <f>C$7+C$13</f>
        <v>6602</v>
      </c>
      <c r="D14" s="98" t="s">
        <v>34</v>
      </c>
      <c r="E14" s="97">
        <v>1924</v>
      </c>
      <c r="F14" s="97">
        <v>3112</v>
      </c>
      <c r="H14" s="108" t="s">
        <v>17</v>
      </c>
      <c r="I14" s="111">
        <f>I10-I11</f>
        <v>1876</v>
      </c>
    </row>
    <row r="15" spans="1:9" ht="15.75" x14ac:dyDescent="0.3">
      <c r="A15" s="55" t="s">
        <v>203</v>
      </c>
      <c r="B15" s="58">
        <f>I8+I5-I12</f>
        <v>2404</v>
      </c>
      <c r="C15" s="145"/>
      <c r="D15" s="98" t="s">
        <v>184</v>
      </c>
      <c r="E15" s="97">
        <v>151</v>
      </c>
      <c r="F15" s="97">
        <v>230</v>
      </c>
      <c r="H15" s="102" t="s">
        <v>19</v>
      </c>
      <c r="I15" s="105">
        <v>688</v>
      </c>
    </row>
    <row r="16" spans="1:9" ht="15.9" customHeight="1" x14ac:dyDescent="0.3">
      <c r="A16" s="55" t="s">
        <v>204</v>
      </c>
      <c r="B16" s="58">
        <f>(C13-B13)+I5</f>
        <v>1264</v>
      </c>
      <c r="C16" s="7"/>
      <c r="D16" s="95" t="s">
        <v>36</v>
      </c>
      <c r="E16" s="101">
        <f>SUM(E$11:E$14)-E$15</f>
        <v>2883</v>
      </c>
      <c r="F16" s="101">
        <f>SUM(F$11:F$14)-F$15</f>
        <v>4011</v>
      </c>
      <c r="H16" s="102" t="s">
        <v>202</v>
      </c>
      <c r="I16" s="103">
        <f>I14-I15</f>
        <v>1188</v>
      </c>
    </row>
    <row r="17" spans="1:6" ht="15.75" x14ac:dyDescent="0.3">
      <c r="A17" s="55" t="s">
        <v>205</v>
      </c>
      <c r="B17" s="58">
        <f>(C7-F5)-(B7-E5)</f>
        <v>264</v>
      </c>
      <c r="D17" s="95" t="s">
        <v>193</v>
      </c>
      <c r="E17" s="101">
        <f>E$5+E$9+E$16</f>
        <v>5516</v>
      </c>
      <c r="F17" s="101">
        <f>F$5+F$9+F$16</f>
        <v>6602</v>
      </c>
    </row>
    <row r="18" spans="1:6" ht="15.75" x14ac:dyDescent="0.3">
      <c r="A18" s="55" t="s">
        <v>206</v>
      </c>
      <c r="B18" s="58">
        <f>B15-B16-B17</f>
        <v>876</v>
      </c>
    </row>
    <row r="19" spans="1:6" ht="15.75" x14ac:dyDescent="0.3">
      <c r="A19" s="55" t="s">
        <v>207</v>
      </c>
      <c r="B19" s="58">
        <f>I9-(F8-E8)</f>
        <v>128</v>
      </c>
    </row>
    <row r="20" spans="1:6" ht="15.75" x14ac:dyDescent="0.3">
      <c r="A20" s="55" t="s">
        <v>208</v>
      </c>
      <c r="B20" s="114">
        <f>I15-(F16-E16-I16)</f>
        <v>748</v>
      </c>
      <c r="C20" s="7"/>
    </row>
    <row r="23" spans="1:6" ht="15.9" customHeight="1" x14ac:dyDescent="0.3">
      <c r="A23" s="143" t="s">
        <v>209</v>
      </c>
      <c r="B23" s="143"/>
      <c r="C23" s="142"/>
    </row>
    <row r="24" spans="1:6" ht="18" customHeight="1" x14ac:dyDescent="0.3">
      <c r="A24" s="133" t="s">
        <v>211</v>
      </c>
      <c r="B24" s="115"/>
      <c r="C24" s="116"/>
    </row>
    <row r="25" spans="1:6" ht="15.75" x14ac:dyDescent="0.3">
      <c r="A25" s="132" t="s">
        <v>17</v>
      </c>
      <c r="B25" s="120">
        <f>I14</f>
        <v>1876</v>
      </c>
      <c r="C25" s="116"/>
    </row>
    <row r="26" spans="1:6" ht="15.75" x14ac:dyDescent="0.3">
      <c r="A26" s="132" t="s">
        <v>12</v>
      </c>
      <c r="B26" s="4">
        <f>I5</f>
        <v>298</v>
      </c>
      <c r="C26" s="10"/>
    </row>
    <row r="27" spans="1:6" ht="15.75" x14ac:dyDescent="0.3">
      <c r="A27" s="132" t="s">
        <v>120</v>
      </c>
      <c r="B27" s="4">
        <f>I13</f>
        <v>66</v>
      </c>
      <c r="C27" s="10"/>
    </row>
    <row r="28" spans="1:6" ht="18.8" customHeight="1" x14ac:dyDescent="0.3">
      <c r="A28" s="133" t="s">
        <v>212</v>
      </c>
      <c r="B28" s="119"/>
      <c r="C28" s="116"/>
    </row>
    <row r="29" spans="1:6" ht="15.75" x14ac:dyDescent="0.3">
      <c r="A29" s="132" t="s">
        <v>122</v>
      </c>
      <c r="B29" s="119">
        <f>B4-C4</f>
        <v>-57</v>
      </c>
      <c r="C29" s="116"/>
    </row>
    <row r="30" spans="1:6" ht="15.75" x14ac:dyDescent="0.3">
      <c r="A30" s="132" t="s">
        <v>123</v>
      </c>
      <c r="B30" s="4">
        <f>B5-C5</f>
        <v>26</v>
      </c>
      <c r="C30" s="10"/>
    </row>
    <row r="31" spans="1:6" ht="15.75" x14ac:dyDescent="0.3">
      <c r="A31" s="132" t="s">
        <v>53</v>
      </c>
      <c r="B31" s="4">
        <f>F3-E3</f>
        <v>41</v>
      </c>
      <c r="C31" s="10"/>
    </row>
    <row r="32" spans="1:6" ht="15.75" x14ac:dyDescent="0.3">
      <c r="A32" s="132" t="s">
        <v>124</v>
      </c>
      <c r="B32" s="17">
        <f>F4-E4</f>
        <v>-185</v>
      </c>
      <c r="C32" s="10"/>
    </row>
    <row r="33" spans="1:3" ht="15.75" x14ac:dyDescent="0.3">
      <c r="A33" s="132" t="s">
        <v>125</v>
      </c>
      <c r="B33" s="17">
        <f>B6-C6</f>
        <v>-16</v>
      </c>
      <c r="C33" s="10"/>
    </row>
    <row r="34" spans="1:3" ht="15.75" x14ac:dyDescent="0.3">
      <c r="A34" s="131" t="s">
        <v>60</v>
      </c>
      <c r="B34" s="121">
        <f>_xlfn.AGGREGATE(9,4,B25:B33)</f>
        <v>2049</v>
      </c>
      <c r="C34" s="10"/>
    </row>
    <row r="35" spans="1:3" ht="15.75" x14ac:dyDescent="0.3">
      <c r="A35" s="133" t="s">
        <v>213</v>
      </c>
      <c r="B35" s="122"/>
      <c r="C35" s="118"/>
    </row>
    <row r="36" spans="1:3" ht="15.75" x14ac:dyDescent="0.3">
      <c r="A36" s="132" t="s">
        <v>62</v>
      </c>
      <c r="B36" s="17">
        <f>-1778</f>
        <v>-1778</v>
      </c>
      <c r="C36" s="118"/>
    </row>
    <row r="37" spans="1:3" ht="15.75" x14ac:dyDescent="0.3">
      <c r="A37" s="132" t="s">
        <v>126</v>
      </c>
      <c r="B37" s="17">
        <v>514</v>
      </c>
      <c r="C37" s="10"/>
    </row>
    <row r="38" spans="1:3" ht="15.75" x14ac:dyDescent="0.3">
      <c r="A38" s="131" t="s">
        <v>63</v>
      </c>
      <c r="B38" s="17">
        <f>SUM(B36:B37)</f>
        <v>-1264</v>
      </c>
      <c r="C38" s="10"/>
    </row>
    <row r="39" spans="1:3" ht="15.75" x14ac:dyDescent="0.3">
      <c r="A39" s="133" t="s">
        <v>214</v>
      </c>
      <c r="B39" s="117"/>
      <c r="C39" s="118"/>
    </row>
    <row r="40" spans="1:3" ht="15.75" x14ac:dyDescent="0.3">
      <c r="A40" s="132" t="s">
        <v>140</v>
      </c>
      <c r="B40" s="123">
        <v>-238</v>
      </c>
      <c r="C40" s="118"/>
    </row>
    <row r="41" spans="1:3" ht="15.75" x14ac:dyDescent="0.3">
      <c r="A41" s="132" t="s">
        <v>65</v>
      </c>
      <c r="B41" s="4">
        <v>274</v>
      </c>
      <c r="C41" s="10"/>
    </row>
    <row r="42" spans="1:3" ht="15.75" x14ac:dyDescent="0.3">
      <c r="A42" s="132" t="s">
        <v>19</v>
      </c>
      <c r="B42" s="17">
        <f>-I15</f>
        <v>-688</v>
      </c>
      <c r="C42" s="10"/>
    </row>
    <row r="43" spans="1:3" ht="15.75" x14ac:dyDescent="0.3">
      <c r="A43" s="132" t="s">
        <v>129</v>
      </c>
      <c r="B43" s="17">
        <v>-79</v>
      </c>
      <c r="C43" s="10"/>
    </row>
    <row r="44" spans="1:3" ht="15.75" x14ac:dyDescent="0.3">
      <c r="A44" s="132" t="s">
        <v>210</v>
      </c>
      <c r="B44" s="4">
        <v>19</v>
      </c>
      <c r="C44" s="10"/>
    </row>
    <row r="45" spans="1:3" ht="15.75" x14ac:dyDescent="0.3">
      <c r="A45" s="131" t="s">
        <v>66</v>
      </c>
      <c r="B45" s="124">
        <f>SUM(B40:B44)</f>
        <v>-712</v>
      </c>
      <c r="C45" s="10"/>
    </row>
    <row r="46" spans="1:3" ht="15.75" x14ac:dyDescent="0.3">
      <c r="A46" s="141" t="s">
        <v>67</v>
      </c>
      <c r="B46" s="125">
        <f>B34+B38+B45</f>
        <v>73</v>
      </c>
      <c r="C46" s="116"/>
    </row>
  </sheetData>
  <mergeCells count="2">
    <mergeCell ref="A1:F1"/>
    <mergeCell ref="H1:I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5886C-485D-46AC-91AC-8EC8429AA6A8}">
  <sheetPr codeName="Sheet2"/>
  <dimension ref="A1:C12"/>
  <sheetViews>
    <sheetView showGridLines="0" zoomScale="130" zoomScaleNormal="130" workbookViewId="0">
      <selection activeCell="B11" sqref="B11"/>
    </sheetView>
  </sheetViews>
  <sheetFormatPr defaultRowHeight="14.55" x14ac:dyDescent="0.3"/>
  <cols>
    <col min="1" max="1" width="18" bestFit="1" customWidth="1"/>
    <col min="2" max="2" width="11.5546875" bestFit="1" customWidth="1"/>
    <col min="3" max="3" width="9.88671875" bestFit="1" customWidth="1"/>
  </cols>
  <sheetData>
    <row r="1" spans="1:3" ht="15.75" x14ac:dyDescent="0.3">
      <c r="A1" s="149" t="s">
        <v>9</v>
      </c>
      <c r="B1" s="150"/>
      <c r="C1" s="2"/>
    </row>
    <row r="2" spans="1:3" ht="15.75" x14ac:dyDescent="0.3">
      <c r="A2" s="47" t="s">
        <v>10</v>
      </c>
      <c r="B2" s="48">
        <v>473000</v>
      </c>
      <c r="C2" s="2"/>
    </row>
    <row r="3" spans="1:3" ht="15.75" x14ac:dyDescent="0.3">
      <c r="A3" s="47" t="s">
        <v>11</v>
      </c>
      <c r="B3" s="48">
        <v>275000</v>
      </c>
      <c r="C3" s="2"/>
    </row>
    <row r="4" spans="1:3" ht="15.75" x14ac:dyDescent="0.3">
      <c r="A4" s="47" t="s">
        <v>12</v>
      </c>
      <c r="B4" s="48">
        <v>42000</v>
      </c>
      <c r="C4" s="2"/>
    </row>
    <row r="5" spans="1:3" ht="15.75" x14ac:dyDescent="0.3">
      <c r="A5" s="54" t="s">
        <v>13</v>
      </c>
      <c r="B5" s="57">
        <f>B2-B3-B4</f>
        <v>156000</v>
      </c>
    </row>
    <row r="6" spans="1:3" ht="15.75" x14ac:dyDescent="0.3">
      <c r="A6" s="47" t="s">
        <v>14</v>
      </c>
      <c r="B6" s="48">
        <v>23000</v>
      </c>
    </row>
    <row r="7" spans="1:3" ht="15.75" x14ac:dyDescent="0.3">
      <c r="A7" s="54" t="s">
        <v>15</v>
      </c>
      <c r="B7" s="57">
        <f>B5-B6</f>
        <v>133000</v>
      </c>
    </row>
    <row r="8" spans="1:3" ht="15.75" x14ac:dyDescent="0.3">
      <c r="A8" s="47" t="s">
        <v>224</v>
      </c>
      <c r="B8" s="58">
        <f>B7*0.21</f>
        <v>27930</v>
      </c>
    </row>
    <row r="9" spans="1:3" ht="15.75" x14ac:dyDescent="0.3">
      <c r="A9" s="54" t="s">
        <v>17</v>
      </c>
      <c r="B9" s="57">
        <f>B7-B8</f>
        <v>105070</v>
      </c>
    </row>
    <row r="10" spans="1:3" ht="15.75" x14ac:dyDescent="0.3">
      <c r="A10" s="2"/>
      <c r="B10" s="2"/>
      <c r="C10" s="2"/>
    </row>
    <row r="11" spans="1:3" ht="15.75" x14ac:dyDescent="0.3">
      <c r="A11" s="47" t="s">
        <v>19</v>
      </c>
      <c r="B11" s="58">
        <v>25000</v>
      </c>
      <c r="C11" s="2"/>
    </row>
    <row r="12" spans="1:3" ht="31.5" x14ac:dyDescent="0.3">
      <c r="A12" s="47" t="s">
        <v>18</v>
      </c>
      <c r="B12" s="59">
        <f>B9-B11</f>
        <v>80070</v>
      </c>
      <c r="C12" s="2"/>
    </row>
  </sheetData>
  <mergeCells count="1">
    <mergeCell ref="A1:B1"/>
  </mergeCells>
  <pageMargins left="0.7" right="0.7" top="0.75" bottom="0.75" header="0.3" footer="0.3"/>
  <ignoredErrors>
    <ignoredError sqref="B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182F-A1AF-40F6-B89E-C192804F1EC5}">
  <sheetPr codeName="Sheet3"/>
  <dimension ref="A1:C7"/>
  <sheetViews>
    <sheetView showGridLines="0" zoomScale="130" zoomScaleNormal="130" workbookViewId="0">
      <selection activeCell="B1" sqref="B1"/>
    </sheetView>
  </sheetViews>
  <sheetFormatPr defaultRowHeight="14.55" x14ac:dyDescent="0.3"/>
  <cols>
    <col min="1" max="1" width="18.88671875" bestFit="1" customWidth="1"/>
    <col min="2" max="2" width="14.44140625" bestFit="1" customWidth="1"/>
    <col min="3" max="3" width="11.5546875" customWidth="1"/>
    <col min="4" max="4" width="19" customWidth="1"/>
    <col min="5" max="6" width="11.5546875" bestFit="1" customWidth="1"/>
  </cols>
  <sheetData>
    <row r="1" spans="1:3" ht="15.75" x14ac:dyDescent="0.3">
      <c r="A1" s="50" t="s">
        <v>21</v>
      </c>
      <c r="B1" s="58">
        <f>2200000+850000</f>
        <v>3050000</v>
      </c>
      <c r="C1" s="34"/>
    </row>
    <row r="2" spans="1:3" ht="15.75" x14ac:dyDescent="0.3">
      <c r="A2" s="50" t="s">
        <v>20</v>
      </c>
      <c r="B2" s="58">
        <v>4900000</v>
      </c>
      <c r="C2" s="34"/>
    </row>
    <row r="3" spans="1:3" ht="15.75" x14ac:dyDescent="0.3">
      <c r="A3" s="50" t="s">
        <v>22</v>
      </c>
      <c r="B3" s="58">
        <f>SUM(B1:B2)</f>
        <v>7950000</v>
      </c>
      <c r="C3" s="34"/>
    </row>
    <row r="4" spans="1:3" ht="15.75" x14ac:dyDescent="0.3">
      <c r="A4" s="2"/>
      <c r="B4" s="2"/>
    </row>
    <row r="5" spans="1:3" ht="15.75" x14ac:dyDescent="0.3">
      <c r="A5" s="50" t="s">
        <v>23</v>
      </c>
      <c r="B5" s="58">
        <v>2700000</v>
      </c>
    </row>
    <row r="6" spans="1:3" ht="15.75" x14ac:dyDescent="0.3">
      <c r="A6" s="50" t="s">
        <v>153</v>
      </c>
      <c r="B6" s="58">
        <v>6400000</v>
      </c>
    </row>
    <row r="7" spans="1:3" ht="15.75" x14ac:dyDescent="0.3">
      <c r="A7" s="50" t="s">
        <v>154</v>
      </c>
      <c r="B7" s="58">
        <f>SUM(B5:B6)</f>
        <v>9100000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80CA4-A63B-448D-BCB9-FF1FE0A207CC}">
  <sheetPr codeName="Sheet4"/>
  <dimension ref="A1:D12"/>
  <sheetViews>
    <sheetView showGridLines="0" zoomScale="160" zoomScaleNormal="160" workbookViewId="0">
      <selection activeCell="B9" sqref="B9"/>
    </sheetView>
  </sheetViews>
  <sheetFormatPr defaultRowHeight="14.55" x14ac:dyDescent="0.3"/>
  <cols>
    <col min="1" max="1" width="23.109375" bestFit="1" customWidth="1"/>
    <col min="2" max="2" width="14" bestFit="1" customWidth="1"/>
    <col min="3" max="3" width="11.5546875" bestFit="1" customWidth="1"/>
    <col min="4" max="4" width="12.6640625" bestFit="1" customWidth="1"/>
    <col min="5" max="5" width="9.88671875" bestFit="1" customWidth="1"/>
  </cols>
  <sheetData>
    <row r="1" spans="1:4" ht="18" customHeight="1" x14ac:dyDescent="0.3">
      <c r="A1" s="28" t="s">
        <v>24</v>
      </c>
      <c r="B1" s="35" t="s">
        <v>25</v>
      </c>
    </row>
    <row r="2" spans="1:4" ht="15.75" x14ac:dyDescent="0.3">
      <c r="A2" s="36" t="s">
        <v>146</v>
      </c>
      <c r="B2" s="37">
        <v>0.1</v>
      </c>
    </row>
    <row r="3" spans="1:4" ht="15.75" x14ac:dyDescent="0.3">
      <c r="A3" s="36" t="s">
        <v>147</v>
      </c>
      <c r="B3" s="37">
        <v>0.12</v>
      </c>
    </row>
    <row r="4" spans="1:4" ht="15.75" x14ac:dyDescent="0.3">
      <c r="A4" s="36" t="s">
        <v>148</v>
      </c>
      <c r="B4" s="37">
        <v>0.22</v>
      </c>
    </row>
    <row r="5" spans="1:4" ht="15.75" x14ac:dyDescent="0.3">
      <c r="A5" s="36" t="s">
        <v>149</v>
      </c>
      <c r="B5" s="37">
        <v>0.24</v>
      </c>
    </row>
    <row r="6" spans="1:4" ht="15.75" x14ac:dyDescent="0.3">
      <c r="A6" s="36" t="s">
        <v>150</v>
      </c>
      <c r="B6" s="37">
        <v>0.32</v>
      </c>
    </row>
    <row r="7" spans="1:4" ht="15.75" x14ac:dyDescent="0.3">
      <c r="A7" s="36" t="s">
        <v>151</v>
      </c>
      <c r="B7" s="37">
        <v>0.35</v>
      </c>
    </row>
    <row r="8" spans="1:4" ht="15.75" x14ac:dyDescent="0.3">
      <c r="A8" s="38" t="s">
        <v>152</v>
      </c>
      <c r="B8" s="37">
        <v>0.37</v>
      </c>
    </row>
    <row r="9" spans="1:4" ht="15.75" x14ac:dyDescent="0.3">
      <c r="A9" s="50" t="s">
        <v>16</v>
      </c>
      <c r="B9" s="130">
        <f>(9525*B2)+((38700-9525)*B3)+((82500-38700)*B4)+((157500-82500)*B5)+((D10-157500)*B6)</f>
        <v>42169.5</v>
      </c>
    </row>
    <row r="10" spans="1:4" ht="15.75" x14ac:dyDescent="0.3">
      <c r="A10" s="50" t="s">
        <v>26</v>
      </c>
      <c r="B10" s="61">
        <f>B9/D10</f>
        <v>0.22311904761904761</v>
      </c>
      <c r="D10" s="39">
        <v>189000</v>
      </c>
    </row>
    <row r="11" spans="1:4" ht="15.75" x14ac:dyDescent="0.3">
      <c r="A11" s="50" t="s">
        <v>155</v>
      </c>
      <c r="B11" s="129">
        <f>B6</f>
        <v>0.32</v>
      </c>
    </row>
    <row r="12" spans="1:4" x14ac:dyDescent="0.3">
      <c r="B12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AD74-6D8F-4E02-8D88-F48A48642937}">
  <sheetPr codeName="Sheet5"/>
  <dimension ref="A1:C11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12.5546875" customWidth="1"/>
    <col min="2" max="3" width="10.44140625" bestFit="1" customWidth="1"/>
  </cols>
  <sheetData>
    <row r="1" spans="1:3" ht="18.149999999999999" x14ac:dyDescent="0.3">
      <c r="A1" s="151" t="s">
        <v>9</v>
      </c>
      <c r="B1" s="152"/>
    </row>
    <row r="2" spans="1:3" ht="15.75" x14ac:dyDescent="0.3">
      <c r="A2" s="47" t="s">
        <v>10</v>
      </c>
      <c r="B2" s="48">
        <v>22400</v>
      </c>
    </row>
    <row r="3" spans="1:3" ht="15.75" x14ac:dyDescent="0.3">
      <c r="A3" s="47" t="s">
        <v>11</v>
      </c>
      <c r="B3" s="48">
        <v>11600</v>
      </c>
    </row>
    <row r="4" spans="1:3" ht="15.75" x14ac:dyDescent="0.3">
      <c r="A4" s="47" t="s">
        <v>12</v>
      </c>
      <c r="B4" s="48">
        <v>2200</v>
      </c>
    </row>
    <row r="5" spans="1:3" ht="15.75" x14ac:dyDescent="0.3">
      <c r="A5" s="54" t="s">
        <v>13</v>
      </c>
      <c r="B5" s="48">
        <f>B2-B3-B4</f>
        <v>8600</v>
      </c>
      <c r="C5" s="42"/>
    </row>
    <row r="6" spans="1:3" ht="15.75" x14ac:dyDescent="0.3">
      <c r="A6" s="47" t="s">
        <v>14</v>
      </c>
      <c r="B6" s="48">
        <v>1370</v>
      </c>
      <c r="C6" s="21"/>
    </row>
    <row r="7" spans="1:3" ht="15.75" x14ac:dyDescent="0.3">
      <c r="A7" s="54" t="s">
        <v>15</v>
      </c>
      <c r="B7" s="48">
        <f>B5-B6</f>
        <v>7230</v>
      </c>
      <c r="C7" s="42"/>
    </row>
    <row r="8" spans="1:3" ht="15.75" x14ac:dyDescent="0.3">
      <c r="A8" s="47" t="s">
        <v>16</v>
      </c>
      <c r="B8" s="82">
        <f>B7*0.22</f>
        <v>1590.6</v>
      </c>
      <c r="C8" s="43"/>
    </row>
    <row r="9" spans="1:3" ht="15.75" x14ac:dyDescent="0.3">
      <c r="A9" s="54" t="s">
        <v>17</v>
      </c>
      <c r="B9" s="82">
        <f>B7-B8</f>
        <v>5639.4</v>
      </c>
      <c r="C9" s="43"/>
    </row>
    <row r="10" spans="1:3" ht="15.75" x14ac:dyDescent="0.3">
      <c r="A10" s="54" t="s">
        <v>27</v>
      </c>
      <c r="B10" s="82">
        <f>B5+B4-B8</f>
        <v>9209.4</v>
      </c>
      <c r="C10" s="44"/>
    </row>
    <row r="11" spans="1:3" x14ac:dyDescent="0.3">
      <c r="B11" s="40"/>
    </row>
  </sheetData>
  <mergeCells count="1">
    <mergeCell ref="A1:B1"/>
  </mergeCells>
  <pageMargins left="0.7" right="0.7" top="0.75" bottom="0.75" header="0.3" footer="0.3"/>
  <ignoredErrors>
    <ignoredError sqref="B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5DCE-2F71-4332-B982-6CE4A91D8A0E}">
  <sheetPr codeName="Sheet6"/>
  <dimension ref="A1:C5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26.5546875" bestFit="1" customWidth="1"/>
    <col min="2" max="2" width="11.5546875" bestFit="1" customWidth="1"/>
    <col min="3" max="3" width="9.88671875" bestFit="1" customWidth="1"/>
  </cols>
  <sheetData>
    <row r="1" spans="1:3" ht="15.75" x14ac:dyDescent="0.3">
      <c r="A1" s="50" t="s">
        <v>42</v>
      </c>
      <c r="B1" s="58">
        <f>(B4-B3)+B5</f>
        <v>296000</v>
      </c>
      <c r="C1" s="34"/>
    </row>
    <row r="3" spans="1:3" ht="15.75" x14ac:dyDescent="0.3">
      <c r="A3" s="50" t="s">
        <v>28</v>
      </c>
      <c r="B3" s="58">
        <v>1280000</v>
      </c>
    </row>
    <row r="4" spans="1:3" ht="15.75" x14ac:dyDescent="0.3">
      <c r="A4" s="50" t="s">
        <v>29</v>
      </c>
      <c r="B4" s="58">
        <v>1430000</v>
      </c>
    </row>
    <row r="5" spans="1:3" ht="15.75" x14ac:dyDescent="0.3">
      <c r="A5" s="50" t="s">
        <v>30</v>
      </c>
      <c r="B5" s="58">
        <v>146000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3904-7ACB-4DE9-9D20-78B28010D839}">
  <sheetPr codeName="Sheet7"/>
  <dimension ref="A1:B13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28.44140625" bestFit="1" customWidth="1"/>
    <col min="2" max="2" width="13.6640625" bestFit="1" customWidth="1"/>
  </cols>
  <sheetData>
    <row r="1" spans="1:2" ht="15.75" x14ac:dyDescent="0.3">
      <c r="A1" s="65" t="s">
        <v>31</v>
      </c>
      <c r="B1" s="66">
        <v>45000000</v>
      </c>
    </row>
    <row r="2" spans="1:2" ht="15.75" x14ac:dyDescent="0.3">
      <c r="A2" s="65" t="s">
        <v>32</v>
      </c>
      <c r="B2" s="66">
        <v>2900000</v>
      </c>
    </row>
    <row r="3" spans="1:2" ht="15.75" x14ac:dyDescent="0.3">
      <c r="A3" s="65" t="s">
        <v>33</v>
      </c>
      <c r="B3" s="67">
        <v>11000000</v>
      </c>
    </row>
    <row r="4" spans="1:2" ht="15.75" x14ac:dyDescent="0.3">
      <c r="A4" s="65" t="s">
        <v>34</v>
      </c>
      <c r="B4" s="66">
        <v>107000000</v>
      </c>
    </row>
    <row r="5" spans="1:2" ht="15.75" x14ac:dyDescent="0.3">
      <c r="A5" s="65" t="s">
        <v>35</v>
      </c>
      <c r="B5" s="66">
        <v>49000000</v>
      </c>
    </row>
    <row r="7" spans="1:2" ht="15.75" x14ac:dyDescent="0.3">
      <c r="A7" s="62" t="s">
        <v>31</v>
      </c>
      <c r="B7" s="63">
        <f>B1+30000000</f>
        <v>75000000</v>
      </c>
    </row>
    <row r="8" spans="1:2" ht="15.75" x14ac:dyDescent="0.3">
      <c r="A8" s="62" t="s">
        <v>32</v>
      </c>
      <c r="B8" s="63">
        <f>B2</f>
        <v>2900000</v>
      </c>
    </row>
    <row r="9" spans="1:2" ht="15.75" x14ac:dyDescent="0.3">
      <c r="A9" s="62" t="s">
        <v>33</v>
      </c>
      <c r="B9" s="64">
        <f>B3+4500000</f>
        <v>15500000</v>
      </c>
    </row>
    <row r="10" spans="1:2" ht="15.75" x14ac:dyDescent="0.3">
      <c r="A10" s="62" t="s">
        <v>34</v>
      </c>
      <c r="B10" s="63">
        <f>B4+(7500000-1700000)</f>
        <v>112800000</v>
      </c>
    </row>
    <row r="11" spans="1:2" ht="15.75" x14ac:dyDescent="0.3">
      <c r="A11" s="62" t="s">
        <v>35</v>
      </c>
      <c r="B11" s="63">
        <f>B5+(58000000-4500000)</f>
        <v>102500000</v>
      </c>
    </row>
    <row r="12" spans="1:2" ht="15.75" x14ac:dyDescent="0.3">
      <c r="A12" s="68" t="s">
        <v>36</v>
      </c>
      <c r="B12" s="63">
        <f>SUM(B8:B11)</f>
        <v>233700000</v>
      </c>
    </row>
    <row r="13" spans="1:2" ht="15.75" x14ac:dyDescent="0.3">
      <c r="A13" s="68" t="s">
        <v>37</v>
      </c>
      <c r="B13" s="63">
        <f>B12+B7</f>
        <v>308700000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EA14-51DE-48D8-8384-294D2022EA46}">
  <sheetPr codeName="Sheet8"/>
  <dimension ref="A1:B5"/>
  <sheetViews>
    <sheetView showGridLines="0" zoomScale="130" zoomScaleNormal="130" workbookViewId="0">
      <selection activeCell="C3" sqref="C3"/>
    </sheetView>
  </sheetViews>
  <sheetFormatPr defaultRowHeight="14.55" x14ac:dyDescent="0.3"/>
  <cols>
    <col min="1" max="1" width="21.88671875" bestFit="1" customWidth="1"/>
    <col min="2" max="2" width="11.5546875" bestFit="1" customWidth="1"/>
  </cols>
  <sheetData>
    <row r="1" spans="1:2" ht="15.75" x14ac:dyDescent="0.3">
      <c r="A1" s="50" t="s">
        <v>38</v>
      </c>
      <c r="B1" s="58">
        <v>1565000</v>
      </c>
    </row>
    <row r="2" spans="1:2" ht="15.75" x14ac:dyDescent="0.3">
      <c r="A2" s="50" t="s">
        <v>39</v>
      </c>
      <c r="B2" s="58">
        <v>1645000</v>
      </c>
    </row>
    <row r="3" spans="1:2" ht="15.75" x14ac:dyDescent="0.3">
      <c r="A3" s="50" t="s">
        <v>40</v>
      </c>
      <c r="B3" s="58">
        <v>170000</v>
      </c>
    </row>
    <row r="4" spans="1:2" ht="15.75" x14ac:dyDescent="0.3">
      <c r="A4" s="2"/>
      <c r="B4" s="2"/>
    </row>
    <row r="5" spans="1:2" ht="15.75" x14ac:dyDescent="0.3">
      <c r="A5" s="55" t="s">
        <v>41</v>
      </c>
      <c r="B5" s="58">
        <f>B3-(B2-B1)</f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Donate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11.a</vt:lpstr>
      <vt:lpstr>12.</vt:lpstr>
      <vt:lpstr>13.</vt:lpstr>
      <vt:lpstr>14.</vt:lpstr>
      <vt:lpstr>15.</vt:lpstr>
      <vt:lpstr>17. &amp; 18.</vt:lpstr>
      <vt:lpstr>19.</vt:lpstr>
      <vt:lpstr>20. &amp; 21. &amp; 22.</vt:lpstr>
      <vt:lpstr>23.</vt:lpstr>
      <vt:lpstr>CASH FLOWS AT WARF COMPUTERS</vt:lpstr>
      <vt:lpstr>CFC__2019</vt:lpstr>
      <vt:lpstr>CFS__2019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2015-06-05T18:17:20Z</dcterms:created>
  <dcterms:modified xsi:type="dcterms:W3CDTF">2023-04-24T08:27:19Z</dcterms:modified>
</cp:coreProperties>
</file>