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BD409025-97FB-43BB-B640-DE27E0525B38}" xr6:coauthVersionLast="47" xr6:coauthVersionMax="47" xr10:uidLastSave="{00000000-0000-0000-0000-000000000000}"/>
  <bookViews>
    <workbookView xWindow="-109" yWindow="-109" windowWidth="18775" windowHeight="10651" firstSheet="4" activeTab="9" xr2:uid="{A2094A07-A7D9-4213-B9F1-D26228DEDD01}"/>
  </bookViews>
  <sheets>
    <sheet name="1. &amp; 2. &amp; 3. &amp; 4. &amp; 5. &amp; .6" sheetId="1" r:id="rId1"/>
    <sheet name="7." sheetId="2" r:id="rId2"/>
    <sheet name="8." sheetId="3" r:id="rId3"/>
    <sheet name="9. &amp; 10 &amp; 11. &amp; 12. &amp; 13." sheetId="4" r:id="rId4"/>
    <sheet name="14." sheetId="5" r:id="rId5"/>
    <sheet name="15." sheetId="8" r:id="rId6"/>
    <sheet name="16." sheetId="9" r:id="rId7"/>
    <sheet name="17." sheetId="6" r:id="rId8"/>
    <sheet name="18." sheetId="7" r:id="rId9"/>
    <sheet name="THE DECISION TO LEASE OR BUY AT" sheetId="10" r:id="rId10"/>
  </sheets>
  <definedNames>
    <definedName name="Aftertax_debt_cost">'1. &amp; 2. &amp; 3. &amp; 4. &amp; 5. &amp; .6'!$B$4</definedName>
    <definedName name="OCF">'1. &amp; 2. &amp; 3. &amp; 4. &amp; 5. &amp; .6'!$B$3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0" l="1"/>
  <c r="B37" i="10"/>
  <c r="C35" i="10"/>
  <c r="D35" i="10"/>
  <c r="B35" i="10"/>
  <c r="B34" i="10"/>
  <c r="C34" i="10"/>
  <c r="B33" i="10"/>
  <c r="C33" i="10"/>
  <c r="B26" i="10"/>
  <c r="B27" i="10" s="1"/>
  <c r="D31" i="10" s="1"/>
  <c r="B20" i="10"/>
  <c r="B17" i="10"/>
  <c r="C17" i="10"/>
  <c r="D17" i="10"/>
  <c r="E17" i="10"/>
  <c r="B16" i="10"/>
  <c r="C16" i="10"/>
  <c r="D16" i="10"/>
  <c r="E16" i="10"/>
  <c r="F15" i="10"/>
  <c r="B15" i="10"/>
  <c r="C14" i="10" a="1"/>
  <c r="C14" i="10" s="1"/>
  <c r="D14" i="10"/>
  <c r="D32" i="10" s="1"/>
  <c r="F14" i="10"/>
  <c r="B12" i="10"/>
  <c r="B18" i="10" s="1"/>
  <c r="B9" i="10"/>
  <c r="F13" i="10" s="1"/>
  <c r="F18" i="10" s="1"/>
  <c r="C32" i="10" l="1"/>
  <c r="C18" i="10"/>
  <c r="B21" i="10" s="1"/>
  <c r="B30" i="10"/>
  <c r="E14" i="10"/>
  <c r="E18" i="10" s="1"/>
  <c r="D18" i="10"/>
  <c r="B18" i="7" l="1"/>
  <c r="G12" i="7"/>
  <c r="F12" i="7"/>
  <c r="E12" i="7"/>
  <c r="D12" i="7"/>
  <c r="C12" i="7"/>
  <c r="B11" i="7"/>
  <c r="B13" i="7" s="1"/>
  <c r="G10" i="7"/>
  <c r="G13" i="7" s="1"/>
  <c r="F10" i="7"/>
  <c r="F13" i="7" s="1"/>
  <c r="E10" i="7"/>
  <c r="E13" i="7" s="1"/>
  <c r="D10" i="7"/>
  <c r="D13" i="7" s="1"/>
  <c r="C10" i="7"/>
  <c r="C13" i="7" s="1"/>
  <c r="F5" i="7"/>
  <c r="D5" i="7"/>
  <c r="B5" i="7"/>
  <c r="F4" i="7"/>
  <c r="E4" i="7"/>
  <c r="E5" i="7" s="1"/>
  <c r="D4" i="7"/>
  <c r="C4" i="7"/>
  <c r="C5" i="7" s="1"/>
  <c r="B4" i="7"/>
  <c r="B6" i="7" s="1"/>
  <c r="B16" i="7" s="1"/>
  <c r="G3" i="7"/>
  <c r="G6" i="7" s="1"/>
  <c r="F3" i="7"/>
  <c r="F6" i="7" s="1"/>
  <c r="F16" i="7" s="1"/>
  <c r="E3" i="7"/>
  <c r="E6" i="7" s="1"/>
  <c r="D3" i="7"/>
  <c r="D6" i="7" s="1"/>
  <c r="D16" i="7" s="1"/>
  <c r="C3" i="7"/>
  <c r="C6" i="7" s="1"/>
  <c r="D16" i="6"/>
  <c r="B16" i="6"/>
  <c r="D15" i="6"/>
  <c r="B15" i="6"/>
  <c r="D14" i="6"/>
  <c r="B14" i="6"/>
  <c r="D13" i="6"/>
  <c r="B18" i="6" s="1"/>
  <c r="B13" i="6"/>
  <c r="C10" i="6"/>
  <c r="C9" i="6"/>
  <c r="C8" i="6"/>
  <c r="C7" i="6"/>
  <c r="B7" i="6"/>
  <c r="E7" i="6" s="1"/>
  <c r="B1" i="6"/>
  <c r="B12" i="9"/>
  <c r="B11" i="9"/>
  <c r="B13" i="9" s="1"/>
  <c r="B10" i="9"/>
  <c r="B14" i="5"/>
  <c r="B10" i="5"/>
  <c r="B11" i="5" s="1"/>
  <c r="B7" i="5"/>
  <c r="F6" i="5"/>
  <c r="F8" i="5" s="1"/>
  <c r="E6" i="5"/>
  <c r="D6" i="5"/>
  <c r="C6" i="5"/>
  <c r="E4" i="5"/>
  <c r="E5" i="5" s="1"/>
  <c r="E8" i="5" s="1"/>
  <c r="D4" i="5"/>
  <c r="C4" i="5"/>
  <c r="C5" i="5" s="1"/>
  <c r="C8" i="5" s="1"/>
  <c r="B4" i="5"/>
  <c r="C16" i="7" l="1"/>
  <c r="B19" i="7" s="1"/>
  <c r="E16" i="7"/>
  <c r="G16" i="7"/>
  <c r="D7" i="6"/>
  <c r="F7" i="6"/>
  <c r="B8" i="6" s="1"/>
  <c r="B15" i="9"/>
  <c r="B14" i="9"/>
  <c r="B5" i="5"/>
  <c r="B8" i="5" s="1"/>
  <c r="D5" i="5"/>
  <c r="D8" i="5" s="1"/>
  <c r="B22" i="7" l="1"/>
  <c r="D8" i="6"/>
  <c r="E8" i="6"/>
  <c r="F8" i="6" s="1"/>
  <c r="B9" i="6" s="1"/>
  <c r="E9" i="6" l="1"/>
  <c r="F9" i="6"/>
  <c r="B10" i="6" s="1"/>
  <c r="D9" i="6"/>
  <c r="D10" i="6" l="1"/>
  <c r="E10" i="6"/>
  <c r="F10" i="6" s="1"/>
  <c r="C4" i="4" l="1"/>
  <c r="B26" i="4"/>
  <c r="B23" i="4"/>
  <c r="B24" i="4" s="1"/>
  <c r="B21" i="4"/>
  <c r="B17" i="4"/>
  <c r="B18" i="4" s="1"/>
  <c r="B16" i="4"/>
  <c r="B14" i="4"/>
  <c r="B10" i="4"/>
  <c r="B12" i="4"/>
  <c r="B6" i="4"/>
  <c r="B8" i="4"/>
  <c r="B3" i="4"/>
  <c r="B2" i="4"/>
  <c r="B4" i="4" s="1"/>
  <c r="B1" i="4"/>
  <c r="D11" i="3" l="1"/>
  <c r="B11" i="3"/>
  <c r="B7" i="3"/>
  <c r="C8" i="3" s="1"/>
  <c r="B6" i="3"/>
  <c r="B8" i="3" s="1"/>
  <c r="B2" i="3"/>
  <c r="B4" i="2"/>
  <c r="B2" i="2"/>
  <c r="B1" i="2"/>
  <c r="B21" i="1"/>
  <c r="B20" i="1"/>
  <c r="B19" i="1"/>
  <c r="B18" i="1"/>
  <c r="B23" i="1" s="1"/>
  <c r="B15" i="1"/>
  <c r="B16" i="1"/>
  <c r="B13" i="1"/>
  <c r="B10" i="1"/>
  <c r="B11" i="1" s="1"/>
  <c r="B9" i="1"/>
  <c r="B4" i="1"/>
  <c r="B2" i="1"/>
  <c r="B1" i="1"/>
  <c r="B3" i="1" s="1"/>
  <c r="B10" i="8"/>
  <c r="B9" i="8"/>
  <c r="B8" i="8"/>
  <c r="B7" i="8"/>
  <c r="B3" i="2" l="1"/>
  <c r="B5" i="2" s="1"/>
  <c r="B5" i="1"/>
  <c r="B7" i="1"/>
</calcChain>
</file>

<file path=xl/sharedStrings.xml><?xml version="1.0" encoding="utf-8"?>
<sst xmlns="http://schemas.openxmlformats.org/spreadsheetml/2006/main" count="257" uniqueCount="123">
  <si>
    <t>Depreciation tax shield</t>
  </si>
  <si>
    <t>Aftertax lease payment</t>
  </si>
  <si>
    <t>OCF</t>
  </si>
  <si>
    <t>Aftertax debt cost</t>
  </si>
  <si>
    <t>NAL</t>
  </si>
  <si>
    <t>Break-even lease payment</t>
  </si>
  <si>
    <t>PMT</t>
  </si>
  <si>
    <t>Total payment range</t>
  </si>
  <si>
    <t>3-year MACRS</t>
  </si>
  <si>
    <t>Year:1  OCF</t>
  </si>
  <si>
    <t>Year:2  OCF</t>
  </si>
  <si>
    <t>Year:3  OCF</t>
  </si>
  <si>
    <t>Year:4  OCF</t>
  </si>
  <si>
    <t>a.</t>
  </si>
  <si>
    <t>b.</t>
  </si>
  <si>
    <t>X</t>
  </si>
  <si>
    <t>Pretax lease payment</t>
  </si>
  <si>
    <t>Aftertax interest rate</t>
  </si>
  <si>
    <t>Reduction in debt capacity</t>
  </si>
  <si>
    <t>c.</t>
  </si>
  <si>
    <t>Year 0</t>
  </si>
  <si>
    <t>Year 1</t>
  </si>
  <si>
    <t>Year 2</t>
  </si>
  <si>
    <t> Year 3</t>
  </si>
  <si>
    <t> Year 4</t>
  </si>
  <si>
    <t>Lease:</t>
  </si>
  <si>
    <t>Lease payment</t>
  </si>
  <si>
    <t>Tax savings on lease</t>
  </si>
  <si>
    <t>Lost dep. tax shield</t>
  </si>
  <si>
    <t>Equipment cost</t>
  </si>
  <si>
    <t>CFO Incremental</t>
  </si>
  <si>
    <t>Aftertax discount rate</t>
  </si>
  <si>
    <t>The annual loan payment will be:</t>
  </si>
  <si>
    <t>Year</t>
  </si>
  <si>
    <t>Beginning
balance</t>
  </si>
  <si>
    <t>Total payment</t>
  </si>
  <si>
    <t>Interest
payment</t>
  </si>
  <si>
    <t>Principal
payment</t>
  </si>
  <si>
    <t>Ending
balance</t>
  </si>
  <si>
    <t>Total cash flow</t>
  </si>
  <si>
    <t>=</t>
  </si>
  <si>
    <t> Year 5</t>
  </si>
  <si>
    <t>Aftertax savings</t>
  </si>
  <si>
    <t>Tax benefit</t>
  </si>
  <si>
    <t>Net cash flows</t>
  </si>
  <si>
    <t>Cash flows from leasing:</t>
  </si>
  <si>
    <t>Cash flows from purchasing:</t>
  </si>
  <si>
    <t>Purchase</t>
  </si>
  <si>
    <t>Dep. tax shield</t>
  </si>
  <si>
    <t>Lease – Buy</t>
  </si>
  <si>
    <t>PV</t>
  </si>
  <si>
    <t>NPER</t>
  </si>
  <si>
    <t>The lessor</t>
  </si>
  <si>
    <t>Borrow</t>
  </si>
  <si>
    <t>The lessee</t>
  </si>
  <si>
    <t>TaxRate</t>
  </si>
  <si>
    <t>Asset_Price</t>
  </si>
  <si>
    <t>PMT_Max_Lessee</t>
  </si>
  <si>
    <t>PMT_Min_Lessor</t>
  </si>
  <si>
    <t>Scanner costs</t>
  </si>
  <si>
    <t>You can lease it</t>
  </si>
  <si>
    <t>per year</t>
  </si>
  <si>
    <t>You can borrow</t>
  </si>
  <si>
    <t>before taxes</t>
  </si>
  <si>
    <t>Lease</t>
  </si>
  <si>
    <t>~ E15</t>
  </si>
  <si>
    <t>Machine costs</t>
  </si>
  <si>
    <t>Lease payments</t>
  </si>
  <si>
    <t>YTM</t>
  </si>
  <si>
    <t>Costs Equipment</t>
  </si>
  <si>
    <t>TaxRate for Lessor</t>
  </si>
  <si>
    <t>Each firm</t>
  </si>
  <si>
    <t>~</t>
  </si>
  <si>
    <t>Pretax cost savings</t>
  </si>
  <si>
    <t>The system costs</t>
  </si>
  <si>
    <t>1.For us this rate must be much greater.</t>
  </si>
  <si>
    <t>2.For us this rate must be much greater.</t>
  </si>
  <si>
    <t>Salvage Value</t>
  </si>
  <si>
    <t>Security deposit</t>
  </si>
  <si>
    <t>Asset costs</t>
  </si>
  <si>
    <t xml:space="preserve">! AfterTax </t>
  </si>
  <si>
    <t>Loan</t>
  </si>
  <si>
    <t>Principal</t>
  </si>
  <si>
    <t>Interest</t>
  </si>
  <si>
    <t>on the outstanding balance of the loan at the beginning of each year.</t>
  </si>
  <si>
    <t>per year are due at the beginning.</t>
  </si>
  <si>
    <t>Price car</t>
  </si>
  <si>
    <t>Other costs</t>
  </si>
  <si>
    <t>Down payment</t>
  </si>
  <si>
    <t>Salvage value</t>
  </si>
  <si>
    <t>after three years</t>
  </si>
  <si>
    <t>Money factor</t>
  </si>
  <si>
    <t xml:space="preserve">Lease factor </t>
  </si>
  <si>
    <t>Sales tax</t>
  </si>
  <si>
    <t>APR</t>
  </si>
  <si>
    <t>Net capitalized cost</t>
  </si>
  <si>
    <t>Depreciation charge</t>
  </si>
  <si>
    <t>Finance charge</t>
  </si>
  <si>
    <t>Taxes</t>
  </si>
  <si>
    <t>per month</t>
  </si>
  <si>
    <t>Purchase price</t>
  </si>
  <si>
    <t>due at the beginning of each year.</t>
  </si>
  <si>
    <t>Save</t>
  </si>
  <si>
    <t>per year through reductions in electricity costs.</t>
  </si>
  <si>
    <t>on the remaining balance</t>
  </si>
  <si>
    <t>for five years</t>
  </si>
  <si>
    <t>D/E</t>
  </si>
  <si>
    <t>Price equipment</t>
  </si>
  <si>
    <t>Salavage value</t>
  </si>
  <si>
    <t>four annual payments due at the beginning of the year.</t>
  </si>
  <si>
    <t xml:space="preserve">Security deposit </t>
  </si>
  <si>
    <t>Aftertax salvage value</t>
  </si>
  <si>
    <t>3 Years</t>
  </si>
  <si>
    <t>Year 3</t>
  </si>
  <si>
    <t>Year 4</t>
  </si>
  <si>
    <t>Saved purchase</t>
  </si>
  <si>
    <t>Lost salvage value</t>
  </si>
  <si>
    <t>Tax on lease payment</t>
  </si>
  <si>
    <t>Cash flow from leasing</t>
  </si>
  <si>
    <t>YTM(Cost of debt)</t>
  </si>
  <si>
    <t>Aftertax cost of debt</t>
  </si>
  <si>
    <t>Book value</t>
  </si>
  <si>
    <t>PV of lease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</si>
</sst>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164" formatCode="&quot;$&quot;#,##0"/>
    <numFmt numFmtId="165" formatCode="&quot;$&quot;#,##0.00"/>
    <numFmt numFmtId="166" formatCode="0.0%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i/>
      <sz val="12"/>
      <color indexed="8"/>
      <name val="Arial Narrow"/>
      <family val="2"/>
    </font>
    <font>
      <b/>
      <sz val="12"/>
      <name val="Arial Narrow"/>
      <family val="2"/>
    </font>
    <font>
      <sz val="10"/>
      <name val="Times New Roman"/>
      <family val="1"/>
      <charset val="204"/>
    </font>
    <font>
      <sz val="11"/>
      <color indexed="8"/>
      <name val="Arial"/>
      <family val="2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  <font>
      <b/>
      <sz val="12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9"/>
      </bottom>
      <diagonal/>
    </border>
    <border>
      <left/>
      <right/>
      <top style="thin">
        <color rgb="FF000009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left" wrapText="1"/>
    </xf>
    <xf numFmtId="0" fontId="6" fillId="0" borderId="0" xfId="0" applyFont="1" applyBorder="1" applyAlignment="1">
      <alignment horizontal="left" vertical="top" wrapText="1" indent="5"/>
    </xf>
    <xf numFmtId="0" fontId="6" fillId="0" borderId="0" xfId="0" applyFont="1" applyBorder="1" applyAlignment="1">
      <alignment horizontal="right" vertical="top" wrapText="1" indent="1"/>
    </xf>
    <xf numFmtId="0" fontId="6" fillId="0" borderId="0" xfId="0" applyFont="1" applyBorder="1" applyAlignment="1">
      <alignment horizontal="right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horizontal="left" wrapText="1"/>
    </xf>
    <xf numFmtId="6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6" fontId="6" fillId="0" borderId="0" xfId="0" applyNumberFormat="1" applyFont="1" applyAlignment="1">
      <alignment vertical="top" shrinkToFit="1"/>
    </xf>
    <xf numFmtId="6" fontId="6" fillId="0" borderId="0" xfId="0" applyNumberFormat="1" applyFont="1" applyAlignment="1">
      <alignment vertical="top" wrapText="1"/>
    </xf>
    <xf numFmtId="6" fontId="6" fillId="0" borderId="1" xfId="0" applyNumberFormat="1" applyFont="1" applyBorder="1" applyAlignment="1">
      <alignment vertical="top" shrinkToFit="1"/>
    </xf>
    <xf numFmtId="0" fontId="5" fillId="0" borderId="1" xfId="0" applyFont="1" applyBorder="1" applyAlignment="1">
      <alignment wrapText="1"/>
    </xf>
    <xf numFmtId="164" fontId="6" fillId="0" borderId="0" xfId="0" applyNumberFormat="1" applyFont="1" applyAlignment="1">
      <alignment vertical="top" shrinkToFit="1"/>
    </xf>
    <xf numFmtId="165" fontId="0" fillId="0" borderId="0" xfId="0" applyNumberFormat="1"/>
    <xf numFmtId="164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1" fontId="6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165" fontId="6" fillId="0" borderId="0" xfId="0" applyNumberFormat="1" applyFont="1" applyAlignment="1">
      <alignment horizontal="right" vertical="top" shrinkToFit="1"/>
    </xf>
    <xf numFmtId="0" fontId="9" fillId="0" borderId="0" xfId="0" applyFont="1" applyAlignment="1">
      <alignment horizontal="left" wrapText="1"/>
    </xf>
    <xf numFmtId="164" fontId="10" fillId="0" borderId="0" xfId="0" applyNumberFormat="1" applyFont="1" applyAlignment="1">
      <alignment horizontal="right" vertical="top" indent="1" shrinkToFit="1"/>
    </xf>
    <xf numFmtId="0" fontId="12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 wrapText="1" indent="1"/>
    </xf>
    <xf numFmtId="0" fontId="6" fillId="0" borderId="0" xfId="0" applyFont="1" applyAlignment="1">
      <alignment horizontal="right" vertical="top" wrapText="1"/>
    </xf>
    <xf numFmtId="164" fontId="6" fillId="0" borderId="0" xfId="0" applyNumberFormat="1" applyFont="1" applyAlignment="1">
      <alignment horizontal="right" vertical="top" indent="1" shrinkToFit="1"/>
    </xf>
    <xf numFmtId="0" fontId="6" fillId="0" borderId="1" xfId="0" applyFont="1" applyBorder="1" applyAlignment="1">
      <alignment vertical="top" wrapText="1"/>
    </xf>
    <xf numFmtId="0" fontId="5" fillId="0" borderId="0" xfId="0" applyFont="1" applyAlignment="1">
      <alignment horizontal="center" wrapText="1"/>
    </xf>
    <xf numFmtId="3" fontId="6" fillId="0" borderId="3" xfId="0" applyNumberFormat="1" applyFont="1" applyBorder="1" applyAlignment="1">
      <alignment vertical="top" shrinkToFit="1"/>
    </xf>
    <xf numFmtId="0" fontId="5" fillId="0" borderId="3" xfId="0" applyFont="1" applyBorder="1" applyAlignment="1">
      <alignment wrapText="1"/>
    </xf>
    <xf numFmtId="6" fontId="6" fillId="0" borderId="4" xfId="0" applyNumberFormat="1" applyFont="1" applyBorder="1" applyAlignment="1">
      <alignment vertical="top" wrapText="1"/>
    </xf>
    <xf numFmtId="0" fontId="2" fillId="0" borderId="5" xfId="0" applyFont="1" applyBorder="1"/>
    <xf numFmtId="6" fontId="2" fillId="0" borderId="5" xfId="0" applyNumberFormat="1" applyFont="1" applyBorder="1"/>
    <xf numFmtId="10" fontId="2" fillId="0" borderId="5" xfId="0" applyNumberFormat="1" applyFont="1" applyBorder="1"/>
    <xf numFmtId="0" fontId="3" fillId="0" borderId="5" xfId="0" applyFont="1" applyBorder="1"/>
    <xf numFmtId="8" fontId="2" fillId="0" borderId="5" xfId="0" applyNumberFormat="1" applyFont="1" applyBorder="1"/>
    <xf numFmtId="0" fontId="4" fillId="0" borderId="5" xfId="0" applyFont="1" applyBorder="1"/>
    <xf numFmtId="8" fontId="0" fillId="0" borderId="0" xfId="0" applyNumberFormat="1"/>
    <xf numFmtId="0" fontId="1" fillId="0" borderId="5" xfId="0" applyFont="1" applyBorder="1"/>
    <xf numFmtId="6" fontId="1" fillId="0" borderId="5" xfId="0" applyNumberFormat="1" applyFont="1" applyBorder="1"/>
    <xf numFmtId="0" fontId="1" fillId="0" borderId="0" xfId="0" applyFont="1"/>
    <xf numFmtId="9" fontId="1" fillId="0" borderId="5" xfId="0" applyNumberFormat="1" applyFont="1" applyBorder="1"/>
    <xf numFmtId="10" fontId="1" fillId="0" borderId="5" xfId="0" applyNumberFormat="1" applyFont="1" applyBorder="1"/>
    <xf numFmtId="8" fontId="1" fillId="0" borderId="5" xfId="0" applyNumberFormat="1" applyFont="1" applyBorder="1"/>
    <xf numFmtId="8" fontId="1" fillId="0" borderId="1" xfId="0" applyNumberFormat="1" applyFont="1" applyBorder="1"/>
    <xf numFmtId="6" fontId="1" fillId="0" borderId="0" xfId="0" applyNumberFormat="1" applyFont="1"/>
    <xf numFmtId="8" fontId="3" fillId="0" borderId="0" xfId="0" applyNumberFormat="1" applyFont="1"/>
    <xf numFmtId="8" fontId="3" fillId="0" borderId="0" xfId="0" applyNumberFormat="1" applyFont="1" applyAlignment="1">
      <alignment horizontal="center"/>
    </xf>
    <xf numFmtId="164" fontId="1" fillId="0" borderId="5" xfId="0" applyNumberFormat="1" applyFont="1" applyBorder="1"/>
    <xf numFmtId="0" fontId="1" fillId="2" borderId="0" xfId="0" applyFont="1" applyFill="1"/>
    <xf numFmtId="165" fontId="1" fillId="0" borderId="5" xfId="0" applyNumberFormat="1" applyFont="1" applyBorder="1"/>
    <xf numFmtId="0" fontId="0" fillId="2" borderId="0" xfId="0" applyFill="1"/>
    <xf numFmtId="0" fontId="6" fillId="0" borderId="5" xfId="0" applyFont="1" applyBorder="1" applyAlignment="1">
      <alignment vertical="top" wrapText="1"/>
    </xf>
    <xf numFmtId="164" fontId="6" fillId="0" borderId="5" xfId="0" applyNumberFormat="1" applyFont="1" applyBorder="1" applyAlignment="1">
      <alignment horizontal="center" vertical="top" shrinkToFit="1"/>
    </xf>
    <xf numFmtId="165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right" vertical="top" shrinkToFit="1"/>
    </xf>
    <xf numFmtId="0" fontId="5" fillId="0" borderId="0" xfId="0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centerContinuous"/>
    </xf>
    <xf numFmtId="0" fontId="6" fillId="0" borderId="5" xfId="0" applyFont="1" applyBorder="1" applyAlignment="1">
      <alignment horizontal="right" vertical="top" wrapText="1" indent="1"/>
    </xf>
    <xf numFmtId="0" fontId="6" fillId="0" borderId="5" xfId="0" applyFont="1" applyBorder="1" applyAlignment="1">
      <alignment horizontal="center" vertical="top" wrapText="1"/>
    </xf>
    <xf numFmtId="6" fontId="11" fillId="0" borderId="0" xfId="0" applyNumberFormat="1" applyFont="1" applyAlignment="1">
      <alignment horizontal="right" vertical="top" wrapText="1" indent="1"/>
    </xf>
    <xf numFmtId="166" fontId="1" fillId="0" borderId="0" xfId="0" applyNumberFormat="1" applyFont="1"/>
    <xf numFmtId="0" fontId="1" fillId="0" borderId="5" xfId="0" applyFont="1" applyBorder="1" applyAlignment="1">
      <alignment horizontal="center"/>
    </xf>
    <xf numFmtId="0" fontId="13" fillId="0" borderId="0" xfId="0" applyFont="1" applyAlignment="1">
      <alignment horizontal="center" vertical="top" wrapText="1"/>
    </xf>
    <xf numFmtId="6" fontId="6" fillId="0" borderId="0" xfId="0" applyNumberFormat="1" applyFont="1" applyAlignment="1">
      <alignment horizontal="right" vertical="top" wrapText="1"/>
    </xf>
    <xf numFmtId="8" fontId="6" fillId="0" borderId="0" xfId="0" applyNumberFormat="1" applyFont="1" applyAlignment="1">
      <alignment horizontal="right" vertical="top" wrapText="1"/>
    </xf>
    <xf numFmtId="8" fontId="6" fillId="0" borderId="0" xfId="0" applyNumberFormat="1" applyFont="1" applyAlignment="1">
      <alignment horizontal="right" vertical="top" wrapText="1" indent="1"/>
    </xf>
    <xf numFmtId="6" fontId="6" fillId="0" borderId="0" xfId="0" applyNumberFormat="1" applyFont="1" applyAlignment="1">
      <alignment horizontal="right" vertical="top" shrinkToFit="1"/>
    </xf>
    <xf numFmtId="6" fontId="6" fillId="0" borderId="0" xfId="0" applyNumberFormat="1" applyFont="1" applyAlignment="1">
      <alignment horizontal="right" vertical="top" wrapText="1" indent="1"/>
    </xf>
    <xf numFmtId="6" fontId="6" fillId="0" borderId="6" xfId="0" applyNumberFormat="1" applyFont="1" applyBorder="1" applyAlignment="1">
      <alignment horizontal="right" vertical="top" shrinkToFit="1"/>
    </xf>
    <xf numFmtId="6" fontId="6" fillId="0" borderId="6" xfId="0" applyNumberFormat="1" applyFont="1" applyBorder="1" applyAlignment="1">
      <alignment horizontal="right" vertical="top" indent="1" shrinkToFit="1"/>
    </xf>
    <xf numFmtId="0" fontId="5" fillId="0" borderId="6" xfId="0" applyFont="1" applyBorder="1" applyAlignment="1">
      <alignment horizontal="left" wrapText="1"/>
    </xf>
    <xf numFmtId="6" fontId="6" fillId="0" borderId="7" xfId="0" applyNumberFormat="1" applyFont="1" applyBorder="1" applyAlignment="1">
      <alignment horizontal="right" vertical="top" shrinkToFit="1"/>
    </xf>
    <xf numFmtId="8" fontId="6" fillId="0" borderId="7" xfId="0" applyNumberFormat="1" applyFont="1" applyBorder="1" applyAlignment="1">
      <alignment horizontal="right" vertical="top" wrapText="1"/>
    </xf>
    <xf numFmtId="8" fontId="6" fillId="0" borderId="7" xfId="0" applyNumberFormat="1" applyFont="1" applyBorder="1" applyAlignment="1">
      <alignment horizontal="right" vertical="top" wrapText="1" indent="1"/>
    </xf>
    <xf numFmtId="8" fontId="5" fillId="0" borderId="0" xfId="0" applyNumberFormat="1" applyFont="1" applyAlignment="1">
      <alignment horizontal="left" wrapText="1"/>
    </xf>
    <xf numFmtId="0" fontId="6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EC8A-1397-4EE0-81A5-66CFE620BDD5}">
  <dimension ref="A1:H23"/>
  <sheetViews>
    <sheetView showGridLines="0" zoomScale="160" zoomScaleNormal="160" workbookViewId="0"/>
  </sheetViews>
  <sheetFormatPr defaultRowHeight="14.3" x14ac:dyDescent="0.25"/>
  <cols>
    <col min="1" max="1" width="22.625" bestFit="1" customWidth="1"/>
    <col min="2" max="2" width="13.125" bestFit="1" customWidth="1"/>
    <col min="5" max="5" width="14.5" bestFit="1" customWidth="1"/>
    <col min="6" max="6" width="13.625" bestFit="1" customWidth="1"/>
    <col min="7" max="7" width="10.625" bestFit="1" customWidth="1"/>
  </cols>
  <sheetData>
    <row r="1" spans="1:8" ht="15.65" x14ac:dyDescent="0.25">
      <c r="A1" s="39" t="s">
        <v>0</v>
      </c>
      <c r="B1" s="47">
        <f>SLN(G1,,G2)*(G4)</f>
        <v>273000</v>
      </c>
      <c r="F1" s="46" t="s">
        <v>59</v>
      </c>
      <c r="G1" s="47">
        <v>5200000</v>
      </c>
      <c r="H1" s="48"/>
    </row>
    <row r="2" spans="1:8" ht="15.65" x14ac:dyDescent="0.25">
      <c r="A2" s="39" t="s">
        <v>1</v>
      </c>
      <c r="B2" s="47">
        <f>G3*(1-G4)</f>
        <v>1192900</v>
      </c>
      <c r="F2" s="46" t="s">
        <v>51</v>
      </c>
      <c r="G2" s="46">
        <v>4</v>
      </c>
      <c r="H2" s="48"/>
    </row>
    <row r="3" spans="1:8" ht="15.65" x14ac:dyDescent="0.25">
      <c r="A3" s="39" t="s">
        <v>2</v>
      </c>
      <c r="B3" s="47">
        <f>SUM(B1:B2)</f>
        <v>1465900</v>
      </c>
      <c r="F3" s="46" t="s">
        <v>60</v>
      </c>
      <c r="G3" s="47">
        <v>1510000</v>
      </c>
      <c r="H3" s="48" t="s">
        <v>61</v>
      </c>
    </row>
    <row r="4" spans="1:8" ht="15.65" x14ac:dyDescent="0.25">
      <c r="A4" s="39" t="s">
        <v>3</v>
      </c>
      <c r="B4" s="50">
        <f>G5 *(1-G4)</f>
        <v>6.3200000000000006E-2</v>
      </c>
      <c r="F4" s="46" t="s">
        <v>55</v>
      </c>
      <c r="G4" s="49">
        <v>0.21</v>
      </c>
      <c r="H4" s="48"/>
    </row>
    <row r="5" spans="1:8" ht="15.65" x14ac:dyDescent="0.25">
      <c r="A5" s="42" t="s">
        <v>4</v>
      </c>
      <c r="B5" s="51">
        <f>G1-PV(B4,G2,-B3)</f>
        <v>157501.45636788383</v>
      </c>
      <c r="C5" s="48" t="s">
        <v>64</v>
      </c>
      <c r="F5" s="46" t="s">
        <v>62</v>
      </c>
      <c r="G5" s="49">
        <v>0.08</v>
      </c>
      <c r="H5" s="48" t="s">
        <v>63</v>
      </c>
    </row>
    <row r="6" spans="1:8" x14ac:dyDescent="0.25">
      <c r="A6" s="3"/>
      <c r="B6" s="3"/>
    </row>
    <row r="7" spans="1:8" ht="15.65" x14ac:dyDescent="0.25">
      <c r="A7" s="42" t="s">
        <v>4</v>
      </c>
      <c r="B7" s="43">
        <f>-B5</f>
        <v>-157501.45636788383</v>
      </c>
    </row>
    <row r="8" spans="1:8" x14ac:dyDescent="0.25">
      <c r="A8" s="3"/>
      <c r="B8" s="3"/>
    </row>
    <row r="9" spans="1:8" ht="15.65" x14ac:dyDescent="0.25">
      <c r="A9" s="42" t="s">
        <v>4</v>
      </c>
      <c r="B9" s="47">
        <f>G1-PV(B4,G2,-E9)</f>
        <v>0</v>
      </c>
      <c r="D9" s="48" t="s">
        <v>2</v>
      </c>
      <c r="E9" s="52">
        <v>1511687.099964808</v>
      </c>
    </row>
    <row r="10" spans="1:8" ht="15.65" x14ac:dyDescent="0.25">
      <c r="A10" s="39" t="s">
        <v>1</v>
      </c>
      <c r="B10" s="51">
        <f>E9-B1</f>
        <v>1238687.099964808</v>
      </c>
    </row>
    <row r="11" spans="1:8" ht="15.65" x14ac:dyDescent="0.25">
      <c r="A11" s="39" t="s">
        <v>5</v>
      </c>
      <c r="B11" s="51">
        <f>B10/(1-G4)</f>
        <v>1567958.3543858328</v>
      </c>
    </row>
    <row r="12" spans="1:8" x14ac:dyDescent="0.25">
      <c r="A12" s="3"/>
      <c r="B12" s="3"/>
    </row>
    <row r="13" spans="1:8" ht="15.65" x14ac:dyDescent="0.25">
      <c r="A13" s="42" t="s">
        <v>4</v>
      </c>
      <c r="B13" s="51">
        <f>G1-PV(G5,G2,-G3)</f>
        <v>198688.47153305542</v>
      </c>
    </row>
    <row r="14" spans="1:8" x14ac:dyDescent="0.25">
      <c r="A14" s="3"/>
      <c r="B14" s="3"/>
    </row>
    <row r="15" spans="1:8" ht="15.65" x14ac:dyDescent="0.25">
      <c r="A15" s="42" t="s">
        <v>4</v>
      </c>
      <c r="B15" s="47">
        <f>G1-PV(G5,G2,-E15)</f>
        <v>0</v>
      </c>
      <c r="D15" s="48" t="s">
        <v>6</v>
      </c>
      <c r="E15" s="52">
        <v>1569988.1831610037</v>
      </c>
    </row>
    <row r="16" spans="1:8" ht="15.65" x14ac:dyDescent="0.25">
      <c r="A16" s="39" t="s">
        <v>7</v>
      </c>
      <c r="B16" s="43">
        <f>B11</f>
        <v>1567958.3543858328</v>
      </c>
      <c r="C16" t="s">
        <v>65</v>
      </c>
    </row>
    <row r="17" spans="1:5" x14ac:dyDescent="0.25">
      <c r="A17" s="3"/>
      <c r="B17" s="3"/>
    </row>
    <row r="18" spans="1:5" ht="15.65" x14ac:dyDescent="0.25">
      <c r="A18" s="1" t="s">
        <v>9</v>
      </c>
      <c r="B18" s="53">
        <f>$G$1*$D19*($G$4)+$B$2</f>
        <v>1556863.6</v>
      </c>
      <c r="C18" s="1"/>
      <c r="D18" s="4" t="s">
        <v>8</v>
      </c>
      <c r="E18" s="1"/>
    </row>
    <row r="19" spans="1:5" ht="15.65" x14ac:dyDescent="0.25">
      <c r="A19" s="1" t="s">
        <v>10</v>
      </c>
      <c r="B19" s="53">
        <f t="shared" ref="B19:B20" si="0">$G$1*$D20*($G$4)+$B$2</f>
        <v>1678294</v>
      </c>
      <c r="C19" s="1"/>
      <c r="D19" s="1">
        <v>0.33329999999999999</v>
      </c>
      <c r="E19" s="1"/>
    </row>
    <row r="20" spans="1:5" ht="15.65" x14ac:dyDescent="0.25">
      <c r="A20" s="1" t="s">
        <v>11</v>
      </c>
      <c r="B20" s="53">
        <f t="shared" si="0"/>
        <v>1354625.2</v>
      </c>
      <c r="C20" s="1"/>
      <c r="D20" s="1">
        <v>0.44450000000000001</v>
      </c>
      <c r="E20" s="1"/>
    </row>
    <row r="21" spans="1:5" ht="15.65" x14ac:dyDescent="0.25">
      <c r="A21" s="1" t="s">
        <v>12</v>
      </c>
      <c r="B21" s="53">
        <f>$G$1*$D22*($G$4)+$B$2</f>
        <v>1273817.2</v>
      </c>
      <c r="C21" s="1"/>
      <c r="D21" s="1">
        <v>0.14810000000000001</v>
      </c>
      <c r="E21" s="1"/>
    </row>
    <row r="22" spans="1:5" ht="15.65" x14ac:dyDescent="0.25">
      <c r="A22" s="1"/>
      <c r="B22" s="48"/>
      <c r="C22" s="1"/>
      <c r="D22" s="1">
        <v>7.4099999999999999E-2</v>
      </c>
      <c r="E22" s="1"/>
    </row>
    <row r="23" spans="1:5" ht="15.65" x14ac:dyDescent="0.25">
      <c r="A23" s="42" t="s">
        <v>4</v>
      </c>
      <c r="B23" s="51">
        <f>$G$1-NPV($B$4,$B$18:$B$21)</f>
        <v>126962.78843628708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2149-B9CB-4B91-ACBC-FB7B53F47BA8}">
  <dimension ref="A1:F5"/>
  <sheetViews>
    <sheetView showGridLines="0" zoomScale="160" zoomScaleNormal="160" workbookViewId="0">
      <selection activeCell="D1" sqref="D1"/>
    </sheetView>
  </sheetViews>
  <sheetFormatPr defaultRowHeight="14.3" x14ac:dyDescent="0.25"/>
  <cols>
    <col min="1" max="1" width="19.125" bestFit="1" customWidth="1"/>
    <col min="2" max="2" width="11.25" bestFit="1" customWidth="1"/>
    <col min="5" max="5" width="14.25" bestFit="1" customWidth="1"/>
    <col min="6" max="6" width="10.625" bestFit="1" customWidth="1"/>
  </cols>
  <sheetData>
    <row r="1" spans="1:6" ht="15.65" x14ac:dyDescent="0.25">
      <c r="A1" s="39" t="s">
        <v>0</v>
      </c>
      <c r="B1" s="40">
        <f>SLN(F1,,F2)*F5</f>
        <v>22890</v>
      </c>
      <c r="E1" s="46" t="s">
        <v>66</v>
      </c>
      <c r="F1" s="47">
        <v>545000</v>
      </c>
    </row>
    <row r="2" spans="1:6" ht="15.65" x14ac:dyDescent="0.25">
      <c r="A2" s="39" t="s">
        <v>1</v>
      </c>
      <c r="B2" s="40">
        <f>F3*(1-F5)</f>
        <v>110600</v>
      </c>
      <c r="E2" s="46" t="s">
        <v>51</v>
      </c>
      <c r="F2" s="46">
        <v>5</v>
      </c>
    </row>
    <row r="3" spans="1:6" ht="15.65" x14ac:dyDescent="0.25">
      <c r="A3" s="42" t="s">
        <v>2</v>
      </c>
      <c r="B3" s="40">
        <f>SUM(B1:B2)</f>
        <v>133490</v>
      </c>
      <c r="E3" s="46" t="s">
        <v>67</v>
      </c>
      <c r="F3" s="47">
        <v>140000</v>
      </c>
    </row>
    <row r="4" spans="1:6" ht="15.65" x14ac:dyDescent="0.25">
      <c r="A4" s="39" t="s">
        <v>3</v>
      </c>
      <c r="B4" s="41">
        <f>F4*(1-F5)</f>
        <v>5.5300000000000009E-2</v>
      </c>
      <c r="E4" s="46" t="s">
        <v>68</v>
      </c>
      <c r="F4" s="49">
        <v>7.0000000000000007E-2</v>
      </c>
    </row>
    <row r="5" spans="1:6" ht="15.65" x14ac:dyDescent="0.25">
      <c r="A5" s="42" t="s">
        <v>4</v>
      </c>
      <c r="B5" s="43">
        <f>F1-PV(B4,F2,-B3)</f>
        <v>-24571.625737433787</v>
      </c>
      <c r="E5" s="46" t="s">
        <v>55</v>
      </c>
      <c r="F5" s="49">
        <v>0.21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591A2-1455-4217-B7BC-9FA2889311D4}">
  <dimension ref="A1:G11"/>
  <sheetViews>
    <sheetView showGridLines="0" zoomScale="160" zoomScaleNormal="160" workbookViewId="0">
      <selection activeCell="D6" sqref="D6"/>
    </sheetView>
  </sheetViews>
  <sheetFormatPr defaultRowHeight="14.3" x14ac:dyDescent="0.25"/>
  <cols>
    <col min="1" max="1" width="19.625" bestFit="1" customWidth="1"/>
    <col min="2" max="2" width="11.75" bestFit="1" customWidth="1"/>
    <col min="3" max="3" width="3.625" bestFit="1" customWidth="1"/>
    <col min="4" max="4" width="11.625" bestFit="1" customWidth="1"/>
    <col min="5" max="5" width="16.125" bestFit="1" customWidth="1"/>
  </cols>
  <sheetData>
    <row r="1" spans="1:7" ht="15.65" x14ac:dyDescent="0.25">
      <c r="A1" s="2" t="s">
        <v>13</v>
      </c>
      <c r="B1" s="1"/>
      <c r="E1" s="46" t="s">
        <v>51</v>
      </c>
      <c r="F1" s="46">
        <v>5</v>
      </c>
      <c r="G1" s="48"/>
    </row>
    <row r="2" spans="1:7" ht="15.65" x14ac:dyDescent="0.25">
      <c r="A2" s="42" t="s">
        <v>4</v>
      </c>
      <c r="B2" s="47">
        <f>F2-PV(F4,F1,-B3)</f>
        <v>0</v>
      </c>
      <c r="E2" s="46" t="s">
        <v>69</v>
      </c>
      <c r="F2" s="47">
        <v>680000</v>
      </c>
      <c r="G2" s="48"/>
    </row>
    <row r="3" spans="1:7" ht="15.65" x14ac:dyDescent="0.25">
      <c r="A3" s="39" t="s">
        <v>6</v>
      </c>
      <c r="B3" s="51">
        <v>174822.87073058652</v>
      </c>
      <c r="E3" s="46" t="s">
        <v>70</v>
      </c>
      <c r="F3" s="49">
        <v>0.23</v>
      </c>
      <c r="G3" s="48"/>
    </row>
    <row r="4" spans="1:7" ht="15.65" x14ac:dyDescent="0.25">
      <c r="A4" s="1"/>
      <c r="B4" s="1"/>
      <c r="E4" s="46" t="s">
        <v>53</v>
      </c>
      <c r="F4" s="49">
        <v>0.09</v>
      </c>
      <c r="G4" s="48" t="s">
        <v>71</v>
      </c>
    </row>
    <row r="5" spans="1:7" ht="15.65" x14ac:dyDescent="0.25">
      <c r="A5" s="2" t="s">
        <v>14</v>
      </c>
      <c r="B5" s="1"/>
    </row>
    <row r="6" spans="1:7" ht="15.65" x14ac:dyDescent="0.25">
      <c r="A6" s="39" t="s">
        <v>0</v>
      </c>
      <c r="B6" s="47">
        <f>SLN(F2,,F1)*F3</f>
        <v>31280</v>
      </c>
    </row>
    <row r="7" spans="1:7" ht="15.65" x14ac:dyDescent="0.25">
      <c r="A7" s="39" t="s">
        <v>3</v>
      </c>
      <c r="B7" s="50">
        <f>F4*(1-F3)</f>
        <v>6.93E-2</v>
      </c>
    </row>
    <row r="8" spans="1:7" ht="15.65" x14ac:dyDescent="0.25">
      <c r="A8" s="42" t="s">
        <v>4</v>
      </c>
      <c r="B8" s="56">
        <f>F2-B9*(1-F3)*PV(B7,F1,-1)-B6*PV(B7,F1,-1)</f>
        <v>-1.6007106751203537E-10</v>
      </c>
      <c r="C8" s="47">
        <f>F2-PV(B7,F1,-(B9*(1-F3)))-PV(B7,F1,-B6)</f>
        <v>0</v>
      </c>
    </row>
    <row r="9" spans="1:7" ht="15.65" x14ac:dyDescent="0.25">
      <c r="A9" s="39" t="s">
        <v>6</v>
      </c>
      <c r="B9" s="51">
        <v>174357.08093947615</v>
      </c>
    </row>
    <row r="11" spans="1:7" ht="15.65" x14ac:dyDescent="0.25">
      <c r="B11" s="54">
        <f>B9</f>
        <v>174357.08093947615</v>
      </c>
      <c r="C11" s="55" t="s">
        <v>72</v>
      </c>
      <c r="D11" s="54">
        <f>B3</f>
        <v>174822.87073058652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89C3-8A33-4D8A-9AEC-790154386154}">
  <dimension ref="A1:J27"/>
  <sheetViews>
    <sheetView showGridLines="0" zoomScale="160" zoomScaleNormal="160" workbookViewId="0"/>
  </sheetViews>
  <sheetFormatPr defaultRowHeight="14.3" x14ac:dyDescent="0.25"/>
  <cols>
    <col min="1" max="1" width="21.875" bestFit="1" customWidth="1"/>
    <col min="2" max="2" width="13.125" bestFit="1" customWidth="1"/>
    <col min="3" max="3" width="11.625" bestFit="1" customWidth="1"/>
    <col min="5" max="5" width="16.25" bestFit="1" customWidth="1"/>
    <col min="6" max="6" width="10.625" bestFit="1" customWidth="1"/>
  </cols>
  <sheetData>
    <row r="1" spans="1:10" ht="15.65" x14ac:dyDescent="0.25">
      <c r="A1" s="39" t="s">
        <v>0</v>
      </c>
      <c r="B1" s="47">
        <f>SLN(F2,,F3)*F4</f>
        <v>432400</v>
      </c>
      <c r="E1" s="46" t="s">
        <v>73</v>
      </c>
      <c r="F1" s="47">
        <v>2700000</v>
      </c>
      <c r="G1" s="48" t="s">
        <v>61</v>
      </c>
    </row>
    <row r="2" spans="1:10" ht="15.65" x14ac:dyDescent="0.25">
      <c r="A2" s="39" t="s">
        <v>1</v>
      </c>
      <c r="B2" s="47">
        <f>F6*(1-F4)</f>
        <v>1578500</v>
      </c>
      <c r="E2" s="46" t="s">
        <v>74</v>
      </c>
      <c r="F2" s="47">
        <v>9400000</v>
      </c>
      <c r="G2" s="48"/>
    </row>
    <row r="3" spans="1:10" ht="15.65" x14ac:dyDescent="0.25">
      <c r="A3" s="39" t="s">
        <v>3</v>
      </c>
      <c r="B3" s="50">
        <f>F5*(1-F4)</f>
        <v>6.93E-2</v>
      </c>
      <c r="E3" s="46" t="s">
        <v>51</v>
      </c>
      <c r="F3" s="46">
        <v>5</v>
      </c>
      <c r="G3" s="48"/>
    </row>
    <row r="4" spans="1:10" ht="15.65" x14ac:dyDescent="0.25">
      <c r="A4" s="42" t="s">
        <v>4</v>
      </c>
      <c r="B4" s="51">
        <f>$F$2-$B$2-$B$2*PV($B$3,$F$3-1,-1)-PV($B$3,$F$3,-$B$1)</f>
        <v>690073.70489804586</v>
      </c>
      <c r="C4" s="51">
        <f>F2-PV(B3,F3,-B2,,1)-PV(B3,F3,-B1)</f>
        <v>690073.70489804959</v>
      </c>
      <c r="E4" s="46" t="s">
        <v>55</v>
      </c>
      <c r="F4" s="49">
        <v>0.23</v>
      </c>
      <c r="G4" s="57" t="s">
        <v>75</v>
      </c>
      <c r="H4" s="59"/>
      <c r="I4" s="59"/>
      <c r="J4" s="59"/>
    </row>
    <row r="5" spans="1:10" ht="15.65" x14ac:dyDescent="0.25">
      <c r="A5" s="3"/>
      <c r="B5" s="3"/>
      <c r="E5" s="46" t="s">
        <v>53</v>
      </c>
      <c r="F5" s="49">
        <v>0.09</v>
      </c>
      <c r="G5" s="57" t="s">
        <v>76</v>
      </c>
      <c r="H5" s="59"/>
      <c r="I5" s="59"/>
      <c r="J5" s="59"/>
    </row>
    <row r="6" spans="1:10" ht="15.65" x14ac:dyDescent="0.25">
      <c r="A6" s="42" t="s">
        <v>4</v>
      </c>
      <c r="B6" s="51">
        <f>$F$2-PV($B$3,$F$3,-$B$7,,1)-PV($B$3,$F$3,-$B$1)</f>
        <v>0</v>
      </c>
      <c r="E6" s="46" t="s">
        <v>64</v>
      </c>
      <c r="F6" s="47">
        <v>2050000</v>
      </c>
      <c r="G6" s="48" t="s">
        <v>61</v>
      </c>
    </row>
    <row r="7" spans="1:10" ht="15.65" x14ac:dyDescent="0.25">
      <c r="A7" s="44" t="s">
        <v>15</v>
      </c>
      <c r="B7" s="51">
        <v>1735600.1890185555</v>
      </c>
      <c r="E7" s="46" t="s">
        <v>77</v>
      </c>
      <c r="F7" s="47">
        <v>700000</v>
      </c>
      <c r="G7" s="48"/>
    </row>
    <row r="8" spans="1:10" ht="15.65" x14ac:dyDescent="0.25">
      <c r="A8" s="39" t="s">
        <v>16</v>
      </c>
      <c r="B8" s="51">
        <f>B7/(1-F4)</f>
        <v>2254026.2195046176</v>
      </c>
      <c r="E8" s="46" t="s">
        <v>78</v>
      </c>
      <c r="F8" s="47">
        <v>1500000</v>
      </c>
      <c r="G8" s="48"/>
    </row>
    <row r="9" spans="1:10" x14ac:dyDescent="0.25">
      <c r="A9" s="3"/>
      <c r="B9" s="3"/>
    </row>
    <row r="10" spans="1:10" ht="15.65" x14ac:dyDescent="0.25">
      <c r="A10" s="42" t="s">
        <v>4</v>
      </c>
      <c r="B10" s="58">
        <f>$F$2-PV($B$3,$F$3,-$B$11,,1)-PV($B$3,$F$3,-$B$1)-PV($B$3,$F$3,,-$F$7)</f>
        <v>4.6566128730773926E-10</v>
      </c>
      <c r="E10" s="46" t="s">
        <v>26</v>
      </c>
      <c r="F10" s="47">
        <v>325000</v>
      </c>
    </row>
    <row r="11" spans="1:10" ht="15.65" x14ac:dyDescent="0.25">
      <c r="A11" s="44" t="s">
        <v>15</v>
      </c>
      <c r="B11" s="51">
        <v>1621606.3356642756</v>
      </c>
      <c r="E11" s="46" t="s">
        <v>51</v>
      </c>
      <c r="F11" s="46">
        <v>6</v>
      </c>
    </row>
    <row r="12" spans="1:10" ht="15.65" x14ac:dyDescent="0.25">
      <c r="A12" s="39" t="s">
        <v>16</v>
      </c>
      <c r="B12" s="51">
        <f>B11/(1-F4)</f>
        <v>2105982.2541094488</v>
      </c>
      <c r="E12" s="46" t="s">
        <v>53</v>
      </c>
      <c r="F12" s="49">
        <v>0.06</v>
      </c>
    </row>
    <row r="13" spans="1:10" ht="15.65" x14ac:dyDescent="0.25">
      <c r="A13" s="3"/>
      <c r="B13" s="3"/>
      <c r="E13" s="46" t="s">
        <v>55</v>
      </c>
      <c r="F13" s="49">
        <v>0.21</v>
      </c>
    </row>
    <row r="14" spans="1:10" ht="15.65" x14ac:dyDescent="0.25">
      <c r="A14" s="42" t="s">
        <v>4</v>
      </c>
      <c r="B14" s="58">
        <f>F2-F8-PV(B3,F3,-B2,,1)-PV(B3,F3,-B1)+PV(B3,F3,,-F8)</f>
        <v>263058.14710875181</v>
      </c>
    </row>
    <row r="15" spans="1:10" ht="15.65" x14ac:dyDescent="0.25">
      <c r="A15" s="3"/>
      <c r="B15" s="3"/>
      <c r="E15" s="46" t="s">
        <v>79</v>
      </c>
      <c r="F15" s="47">
        <v>780000</v>
      </c>
    </row>
    <row r="16" spans="1:10" ht="15.65" x14ac:dyDescent="0.25">
      <c r="A16" s="39" t="s">
        <v>1</v>
      </c>
      <c r="B16" s="47">
        <f>F10*(1-F13)</f>
        <v>256750</v>
      </c>
      <c r="E16" s="46" t="s">
        <v>51</v>
      </c>
      <c r="F16" s="46">
        <v>3</v>
      </c>
    </row>
    <row r="17" spans="1:6" ht="15.65" x14ac:dyDescent="0.25">
      <c r="A17" s="39" t="s">
        <v>17</v>
      </c>
      <c r="B17" s="50">
        <f>F12*(1-F13)</f>
        <v>4.7399999999999998E-2</v>
      </c>
      <c r="E17" s="46" t="s">
        <v>53</v>
      </c>
      <c r="F17" s="49">
        <v>7.0000000000000007E-2</v>
      </c>
    </row>
    <row r="18" spans="1:6" ht="15.65" x14ac:dyDescent="0.25">
      <c r="A18" s="39" t="s">
        <v>18</v>
      </c>
      <c r="B18" s="51">
        <f>PV(B17,F11,-B16)</f>
        <v>1314090.1176264363</v>
      </c>
      <c r="E18" s="46" t="s">
        <v>55</v>
      </c>
      <c r="F18" s="49">
        <v>0.22</v>
      </c>
    </row>
    <row r="19" spans="1:6" x14ac:dyDescent="0.25">
      <c r="A19" s="3"/>
      <c r="B19" s="3"/>
    </row>
    <row r="20" spans="1:6" ht="15.65" x14ac:dyDescent="0.25">
      <c r="A20" s="2" t="s">
        <v>13</v>
      </c>
      <c r="B20" s="5"/>
    </row>
    <row r="21" spans="1:6" ht="15.65" x14ac:dyDescent="0.25">
      <c r="A21" s="39" t="s">
        <v>0</v>
      </c>
      <c r="B21" s="47">
        <f>SLN(F15,,F16)*F18</f>
        <v>57200</v>
      </c>
    </row>
    <row r="22" spans="1:6" ht="15.65" x14ac:dyDescent="0.25">
      <c r="A22" s="39" t="s">
        <v>6</v>
      </c>
      <c r="B22" s="51">
        <v>297044.7231459468</v>
      </c>
      <c r="C22" t="s">
        <v>80</v>
      </c>
    </row>
    <row r="23" spans="1:6" ht="15.65" x14ac:dyDescent="0.25">
      <c r="A23" s="39" t="s">
        <v>3</v>
      </c>
      <c r="B23" s="50">
        <f>F17*(1-F18)</f>
        <v>5.460000000000001E-2</v>
      </c>
    </row>
    <row r="24" spans="1:6" ht="15.65" x14ac:dyDescent="0.25">
      <c r="A24" s="42" t="s">
        <v>4</v>
      </c>
      <c r="B24" s="51">
        <f>F15-PV(B23,F16,-(B22*(1-F18)))-PV(B23,F16,-B21)</f>
        <v>0</v>
      </c>
    </row>
    <row r="25" spans="1:6" ht="15.65" x14ac:dyDescent="0.25">
      <c r="A25" s="2" t="s">
        <v>19</v>
      </c>
      <c r="B25" s="1"/>
    </row>
    <row r="26" spans="1:6" ht="15.65" x14ac:dyDescent="0.25">
      <c r="A26" s="42" t="s">
        <v>4</v>
      </c>
      <c r="B26" s="51">
        <f>-F15+B27*PV(F17,F16,-1)</f>
        <v>0</v>
      </c>
    </row>
    <row r="27" spans="1:6" ht="15.65" x14ac:dyDescent="0.25">
      <c r="A27" s="39" t="s">
        <v>6</v>
      </c>
      <c r="B27" s="51">
        <v>297220.29923170217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CD67-B793-4BA3-BDD3-7575DEE69463}">
  <dimension ref="A1:J15"/>
  <sheetViews>
    <sheetView showGridLines="0" topLeftCell="A3" zoomScale="160" zoomScaleNormal="160" workbookViewId="0">
      <selection activeCell="B14" sqref="B14"/>
    </sheetView>
  </sheetViews>
  <sheetFormatPr defaultRowHeight="14.3" x14ac:dyDescent="0.25"/>
  <cols>
    <col min="1" max="1" width="17.875" bestFit="1" customWidth="1"/>
    <col min="2" max="2" width="13.75" bestFit="1" customWidth="1"/>
    <col min="3" max="6" width="9.75" bestFit="1" customWidth="1"/>
    <col min="8" max="8" width="12.25" bestFit="1" customWidth="1"/>
    <col min="9" max="9" width="10.625" bestFit="1" customWidth="1"/>
  </cols>
  <sheetData>
    <row r="1" spans="1:10" ht="15.65" x14ac:dyDescent="0.25">
      <c r="A1" s="2" t="s">
        <v>13</v>
      </c>
      <c r="B1" s="1"/>
      <c r="C1" s="1"/>
      <c r="D1" s="1"/>
      <c r="E1" s="1"/>
      <c r="F1" s="1"/>
      <c r="H1" s="46" t="s">
        <v>66</v>
      </c>
      <c r="I1" s="47">
        <v>2400000</v>
      </c>
      <c r="J1" s="48"/>
    </row>
    <row r="2" spans="1:10" ht="15.65" x14ac:dyDescent="0.25">
      <c r="A2" s="6"/>
      <c r="B2" s="7" t="s">
        <v>20</v>
      </c>
      <c r="C2" s="8" t="s">
        <v>21</v>
      </c>
      <c r="D2" s="8" t="s">
        <v>22</v>
      </c>
      <c r="E2" s="8" t="s">
        <v>23</v>
      </c>
      <c r="F2" s="9" t="s">
        <v>24</v>
      </c>
      <c r="H2" s="60" t="s">
        <v>51</v>
      </c>
      <c r="I2" s="46">
        <v>4</v>
      </c>
      <c r="J2" s="48"/>
    </row>
    <row r="3" spans="1:10" ht="15.65" x14ac:dyDescent="0.25">
      <c r="A3" s="10" t="s">
        <v>25</v>
      </c>
      <c r="B3" s="1"/>
      <c r="C3" s="1"/>
      <c r="D3" s="1"/>
      <c r="E3" s="1"/>
      <c r="F3" s="6"/>
      <c r="H3" s="46" t="s">
        <v>55</v>
      </c>
      <c r="I3" s="49">
        <v>0.24</v>
      </c>
      <c r="J3" s="48"/>
    </row>
    <row r="4" spans="1:10" ht="15.65" x14ac:dyDescent="0.25">
      <c r="A4" s="11" t="s">
        <v>26</v>
      </c>
      <c r="B4" s="13">
        <f>-$I$7</f>
        <v>-710000</v>
      </c>
      <c r="C4" s="13">
        <f t="shared" ref="C4:E4" si="0">-$I$7</f>
        <v>-710000</v>
      </c>
      <c r="D4" s="13">
        <f t="shared" si="0"/>
        <v>-710000</v>
      </c>
      <c r="E4" s="13">
        <f t="shared" si="0"/>
        <v>-710000</v>
      </c>
      <c r="F4" s="14"/>
      <c r="H4" s="46" t="s">
        <v>81</v>
      </c>
      <c r="I4" s="47">
        <v>2400000</v>
      </c>
      <c r="J4" s="48"/>
    </row>
    <row r="5" spans="1:10" ht="15.65" x14ac:dyDescent="0.25">
      <c r="A5" s="11" t="s">
        <v>27</v>
      </c>
      <c r="B5" s="15">
        <f>-B$4*$I$3</f>
        <v>170400</v>
      </c>
      <c r="C5" s="15">
        <f t="shared" ref="C5:E5" si="1">-C$4*$I$3</f>
        <v>170400</v>
      </c>
      <c r="D5" s="15">
        <f t="shared" si="1"/>
        <v>170400</v>
      </c>
      <c r="E5" s="15">
        <f t="shared" si="1"/>
        <v>170400</v>
      </c>
      <c r="F5" s="14"/>
      <c r="H5" s="46" t="s">
        <v>82</v>
      </c>
      <c r="I5" s="47">
        <v>600000</v>
      </c>
      <c r="J5" s="48"/>
    </row>
    <row r="6" spans="1:10" ht="15.65" x14ac:dyDescent="0.25">
      <c r="A6" s="11" t="s">
        <v>28</v>
      </c>
      <c r="B6" s="14"/>
      <c r="C6" s="16">
        <f>-SLN($I$1,,$I$2)*($I$3)</f>
        <v>-144000</v>
      </c>
      <c r="D6" s="16">
        <f t="shared" ref="D6:F6" si="2">-SLN($I$1,,$I$2)*($I$3)</f>
        <v>-144000</v>
      </c>
      <c r="E6" s="16">
        <f t="shared" si="2"/>
        <v>-144000</v>
      </c>
      <c r="F6" s="16">
        <f t="shared" si="2"/>
        <v>-144000</v>
      </c>
      <c r="H6" s="46" t="s">
        <v>83</v>
      </c>
      <c r="I6" s="49">
        <v>0.09</v>
      </c>
      <c r="J6" s="48" t="s">
        <v>84</v>
      </c>
    </row>
    <row r="7" spans="1:10" ht="15.65" x14ac:dyDescent="0.25">
      <c r="A7" s="11" t="s">
        <v>29</v>
      </c>
      <c r="B7" s="17">
        <f>$I$1</f>
        <v>2400000</v>
      </c>
      <c r="C7" s="18"/>
      <c r="D7" s="18"/>
      <c r="E7" s="18"/>
      <c r="F7" s="18"/>
      <c r="H7" s="46" t="s">
        <v>64</v>
      </c>
      <c r="I7" s="47">
        <v>710000</v>
      </c>
      <c r="J7" s="48" t="s">
        <v>85</v>
      </c>
    </row>
    <row r="8" spans="1:10" ht="15.65" x14ac:dyDescent="0.25">
      <c r="A8" s="12" t="s">
        <v>30</v>
      </c>
      <c r="B8" s="19">
        <f>_xlfn.AGGREGATE(9,4,B$4:B$7)</f>
        <v>1860400</v>
      </c>
      <c r="C8" s="19">
        <f t="shared" ref="C8:F8" si="3">_xlfn.AGGREGATE(9,4,C$4:C$7)</f>
        <v>-683600</v>
      </c>
      <c r="D8" s="19">
        <f t="shared" si="3"/>
        <v>-683600</v>
      </c>
      <c r="E8" s="19">
        <f t="shared" si="3"/>
        <v>-683600</v>
      </c>
      <c r="F8" s="19">
        <f t="shared" si="3"/>
        <v>-144000</v>
      </c>
    </row>
    <row r="10" spans="1:10" ht="15.65" x14ac:dyDescent="0.25">
      <c r="A10" s="39" t="s">
        <v>31</v>
      </c>
      <c r="B10" s="50">
        <f>$I$6*(1-$I$3)</f>
        <v>6.8400000000000002E-2</v>
      </c>
      <c r="D10" s="21"/>
    </row>
    <row r="11" spans="1:10" ht="15.65" x14ac:dyDescent="0.25">
      <c r="A11" s="42" t="s">
        <v>4</v>
      </c>
      <c r="B11" s="58">
        <f>$B$8--$C$8*PV($B$10,$I$2-1,-1)-PV($B$10,$I$2,,$F$8)</f>
        <v>-49356.132440531408</v>
      </c>
      <c r="C11" s="45"/>
    </row>
    <row r="12" spans="1:10" x14ac:dyDescent="0.25">
      <c r="D12" s="21"/>
      <c r="E12" s="20"/>
    </row>
    <row r="13" spans="1:10" ht="15.65" x14ac:dyDescent="0.25">
      <c r="A13" s="2" t="s">
        <v>14</v>
      </c>
      <c r="B13" s="1"/>
    </row>
    <row r="14" spans="1:10" ht="15.65" x14ac:dyDescent="0.25">
      <c r="A14" s="42" t="s">
        <v>4</v>
      </c>
      <c r="B14" s="47">
        <f>$I$1-$B$15*(1-$I$3)-$B$15*(1-$I$3)*PV($B$10,$I$2-1,-1)--$F$8*PV($B$10,$I$2,-1)</f>
        <v>0</v>
      </c>
    </row>
    <row r="15" spans="1:10" ht="15.65" x14ac:dyDescent="0.25">
      <c r="A15" s="39" t="s">
        <v>6</v>
      </c>
      <c r="B15" s="51">
        <v>692119.44862176338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173A-EA7E-42ED-8BDB-83F8600D0CF0}">
  <dimension ref="A1:E11"/>
  <sheetViews>
    <sheetView showGridLines="0" zoomScale="160" zoomScaleNormal="160" workbookViewId="0">
      <selection activeCell="E9" sqref="E9"/>
    </sheetView>
  </sheetViews>
  <sheetFormatPr defaultRowHeight="14.3" x14ac:dyDescent="0.25"/>
  <cols>
    <col min="1" max="1" width="19" bestFit="1" customWidth="1"/>
    <col min="2" max="2" width="9.125" bestFit="1" customWidth="1"/>
    <col min="4" max="4" width="15.75" bestFit="1" customWidth="1"/>
    <col min="5" max="5" width="11.75" bestFit="1" customWidth="1"/>
  </cols>
  <sheetData>
    <row r="1" spans="1:5" ht="15.65" x14ac:dyDescent="0.25">
      <c r="A1" s="46" t="s">
        <v>56</v>
      </c>
      <c r="B1" s="47">
        <v>640000</v>
      </c>
      <c r="C1" s="48"/>
      <c r="D1" s="48"/>
      <c r="E1" s="48"/>
    </row>
    <row r="2" spans="1:5" ht="15.65" x14ac:dyDescent="0.25">
      <c r="A2" s="46" t="s">
        <v>51</v>
      </c>
      <c r="B2" s="46">
        <v>3</v>
      </c>
      <c r="C2" s="48"/>
      <c r="D2" s="48"/>
      <c r="E2" s="48"/>
    </row>
    <row r="3" spans="1:5" ht="15.65" x14ac:dyDescent="0.25">
      <c r="A3" s="46" t="s">
        <v>52</v>
      </c>
      <c r="B3" s="49">
        <v>7.0000000000000007E-2</v>
      </c>
      <c r="C3" s="48" t="s">
        <v>53</v>
      </c>
      <c r="D3" s="48"/>
      <c r="E3" s="48"/>
    </row>
    <row r="4" spans="1:5" ht="15.65" x14ac:dyDescent="0.25">
      <c r="A4" s="46" t="s">
        <v>54</v>
      </c>
      <c r="B4" s="49">
        <v>0.09</v>
      </c>
      <c r="C4" s="48" t="s">
        <v>53</v>
      </c>
      <c r="D4" s="48"/>
      <c r="E4" s="48"/>
    </row>
    <row r="5" spans="1:5" ht="15.65" x14ac:dyDescent="0.25">
      <c r="A5" s="46" t="s">
        <v>55</v>
      </c>
      <c r="B5" s="49">
        <v>0.21</v>
      </c>
      <c r="C5" s="48"/>
      <c r="D5" s="48"/>
      <c r="E5" s="48"/>
    </row>
    <row r="6" spans="1:5" ht="15.65" x14ac:dyDescent="0.25">
      <c r="A6" s="48"/>
      <c r="B6" s="48"/>
      <c r="C6" s="48"/>
      <c r="D6" s="48"/>
      <c r="E6" s="48"/>
    </row>
    <row r="7" spans="1:5" ht="15.65" x14ac:dyDescent="0.25">
      <c r="A7" s="46" t="s">
        <v>0</v>
      </c>
      <c r="B7" s="47">
        <f>SLN(B1,,B2)*B5</f>
        <v>44800</v>
      </c>
      <c r="C7" s="48"/>
      <c r="D7" s="48"/>
      <c r="E7" s="48"/>
    </row>
    <row r="8" spans="1:5" ht="15.65" x14ac:dyDescent="0.25">
      <c r="A8" s="46" t="s">
        <v>3</v>
      </c>
      <c r="B8" s="50">
        <f>B4*(1-B5)</f>
        <v>7.1099999999999997E-2</v>
      </c>
      <c r="C8" s="48"/>
      <c r="D8" s="48"/>
      <c r="E8" s="48"/>
    </row>
    <row r="9" spans="1:5" ht="15.65" x14ac:dyDescent="0.25">
      <c r="A9" s="46" t="s">
        <v>4</v>
      </c>
      <c r="B9" s="51">
        <f>$B$1-PV($B$8,$B$2,-(E9)*(1-$B$5))-PV($B$8,$B$2,-$B$7)</f>
        <v>0</v>
      </c>
      <c r="C9" s="48"/>
      <c r="D9" s="51" t="s">
        <v>58</v>
      </c>
      <c r="E9" s="51">
        <v>252611.8255591807</v>
      </c>
    </row>
    <row r="10" spans="1:5" ht="15.65" x14ac:dyDescent="0.25">
      <c r="A10" s="46" t="s">
        <v>4</v>
      </c>
      <c r="B10" s="51">
        <f>-B1+PV(B4,3,-E10)</f>
        <v>0</v>
      </c>
      <c r="C10" s="48"/>
      <c r="D10" s="51" t="s">
        <v>57</v>
      </c>
      <c r="E10" s="51">
        <v>252835.04469052178</v>
      </c>
    </row>
    <row r="11" spans="1:5" ht="15.65" x14ac:dyDescent="0.25">
      <c r="A11" s="48"/>
      <c r="B11" s="48"/>
      <c r="C11" s="48"/>
      <c r="D11" s="48"/>
      <c r="E11" s="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1855-0593-4723-8AFF-835756699DDA}">
  <dimension ref="A1:C15"/>
  <sheetViews>
    <sheetView showGridLines="0" zoomScale="160" zoomScaleNormal="160" workbookViewId="0">
      <selection sqref="A1:C8"/>
    </sheetView>
  </sheetViews>
  <sheetFormatPr defaultRowHeight="14.3" x14ac:dyDescent="0.25"/>
  <cols>
    <col min="1" max="1" width="17.375" bestFit="1" customWidth="1"/>
    <col min="2" max="2" width="10.625" bestFit="1" customWidth="1"/>
  </cols>
  <sheetData>
    <row r="1" spans="1:3" ht="15.65" x14ac:dyDescent="0.25">
      <c r="A1" s="46" t="s">
        <v>86</v>
      </c>
      <c r="B1" s="47">
        <v>38000</v>
      </c>
    </row>
    <row r="2" spans="1:3" ht="15.65" x14ac:dyDescent="0.25">
      <c r="A2" s="46" t="s">
        <v>87</v>
      </c>
      <c r="B2" s="47">
        <v>550</v>
      </c>
      <c r="C2" s="48"/>
    </row>
    <row r="3" spans="1:3" ht="15.65" x14ac:dyDescent="0.25">
      <c r="A3" s="46" t="s">
        <v>88</v>
      </c>
      <c r="B3" s="47">
        <v>4000</v>
      </c>
      <c r="C3" s="48"/>
    </row>
    <row r="4" spans="1:3" ht="15.65" x14ac:dyDescent="0.25">
      <c r="A4" s="46" t="s">
        <v>89</v>
      </c>
      <c r="B4" s="47">
        <v>20000</v>
      </c>
      <c r="C4" s="48" t="s">
        <v>90</v>
      </c>
    </row>
    <row r="5" spans="1:3" ht="15.65" x14ac:dyDescent="0.25">
      <c r="A5" s="46" t="s">
        <v>91</v>
      </c>
      <c r="B5" s="46">
        <v>2400</v>
      </c>
      <c r="C5" s="48"/>
    </row>
    <row r="6" spans="1:3" ht="15.65" x14ac:dyDescent="0.25">
      <c r="A6" s="46" t="s">
        <v>92</v>
      </c>
      <c r="B6" s="46">
        <v>2.1099999999999999E-3</v>
      </c>
      <c r="C6" s="48"/>
    </row>
    <row r="7" spans="1:3" ht="15.65" x14ac:dyDescent="0.25">
      <c r="A7" s="46" t="s">
        <v>51</v>
      </c>
      <c r="B7" s="46">
        <v>36</v>
      </c>
      <c r="C7" s="48"/>
    </row>
    <row r="8" spans="1:3" ht="15.65" x14ac:dyDescent="0.25">
      <c r="A8" s="46" t="s">
        <v>93</v>
      </c>
      <c r="B8" s="49">
        <v>0.06</v>
      </c>
      <c r="C8" s="48"/>
    </row>
    <row r="9" spans="1:3" ht="15.65" x14ac:dyDescent="0.25">
      <c r="A9" s="48"/>
      <c r="B9" s="48"/>
      <c r="C9" s="48"/>
    </row>
    <row r="10" spans="1:3" ht="15.65" x14ac:dyDescent="0.25">
      <c r="A10" s="46" t="s">
        <v>94</v>
      </c>
      <c r="B10" s="50">
        <f>(B6*B5)/100</f>
        <v>5.0639999999999998E-2</v>
      </c>
      <c r="C10" s="48"/>
    </row>
    <row r="11" spans="1:3" ht="15.65" x14ac:dyDescent="0.25">
      <c r="A11" s="46" t="s">
        <v>95</v>
      </c>
      <c r="B11" s="47">
        <f>B1+B2-B3</f>
        <v>34550</v>
      </c>
      <c r="C11" s="48"/>
    </row>
    <row r="12" spans="1:3" ht="15.65" x14ac:dyDescent="0.25">
      <c r="A12" s="46" t="s">
        <v>96</v>
      </c>
      <c r="B12" s="51">
        <f>(B11-B4)/B7</f>
        <v>404.16666666666669</v>
      </c>
      <c r="C12" s="48"/>
    </row>
    <row r="13" spans="1:3" ht="15.65" x14ac:dyDescent="0.25">
      <c r="A13" s="46" t="s">
        <v>97</v>
      </c>
      <c r="B13" s="51">
        <f>(B11+B4)*B6</f>
        <v>115.1005</v>
      </c>
      <c r="C13" s="48"/>
    </row>
    <row r="14" spans="1:3" ht="15.65" x14ac:dyDescent="0.25">
      <c r="A14" s="46" t="s">
        <v>98</v>
      </c>
      <c r="B14" s="51">
        <f>(B12+B13)*B8</f>
        <v>31.156029999999998</v>
      </c>
      <c r="C14" s="48"/>
    </row>
    <row r="15" spans="1:3" ht="15.65" x14ac:dyDescent="0.25">
      <c r="A15" s="46" t="s">
        <v>26</v>
      </c>
      <c r="B15" s="51">
        <f>SUM($B$12:$B$14)</f>
        <v>550.42319666666663</v>
      </c>
      <c r="C15" s="48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D7EE-8169-40E2-BCD3-A41B4D12F533}">
  <dimension ref="A1:F18"/>
  <sheetViews>
    <sheetView showGridLines="0" topLeftCell="A6" zoomScale="160" zoomScaleNormal="160" workbookViewId="0">
      <selection activeCell="D18" sqref="D18"/>
    </sheetView>
  </sheetViews>
  <sheetFormatPr defaultRowHeight="14.3" x14ac:dyDescent="0.25"/>
  <cols>
    <col min="1" max="1" width="27.625" bestFit="1" customWidth="1"/>
    <col min="2" max="2" width="13.125" bestFit="1" customWidth="1"/>
    <col min="3" max="3" width="14.875" bestFit="1" customWidth="1"/>
    <col min="4" max="4" width="14.375" bestFit="1" customWidth="1"/>
    <col min="5" max="6" width="14.875" bestFit="1" customWidth="1"/>
  </cols>
  <sheetData>
    <row r="1" spans="1:6" ht="15.65" x14ac:dyDescent="0.25">
      <c r="A1" s="39" t="s">
        <v>32</v>
      </c>
      <c r="B1" s="51">
        <f>PMT($B$3,$B$4,-$B$2)</f>
        <v>1569988.1831610044</v>
      </c>
      <c r="C1" s="1"/>
      <c r="D1" s="1"/>
      <c r="E1" s="1"/>
      <c r="F1" s="1"/>
    </row>
    <row r="2" spans="1:6" ht="15.65" x14ac:dyDescent="0.25">
      <c r="A2" s="46" t="s">
        <v>100</v>
      </c>
      <c r="B2" s="61">
        <v>5200000</v>
      </c>
      <c r="C2" s="1"/>
      <c r="D2" s="1"/>
      <c r="E2" s="1"/>
      <c r="F2" s="1"/>
    </row>
    <row r="3" spans="1:6" ht="15.65" x14ac:dyDescent="0.25">
      <c r="A3" s="46" t="s">
        <v>81</v>
      </c>
      <c r="B3" s="49">
        <v>0.08</v>
      </c>
      <c r="C3" s="1"/>
      <c r="D3" s="1"/>
      <c r="E3" s="1"/>
      <c r="F3" s="1"/>
    </row>
    <row r="4" spans="1:6" ht="15.65" x14ac:dyDescent="0.25">
      <c r="A4" s="60" t="s">
        <v>51</v>
      </c>
      <c r="B4" s="46">
        <v>4</v>
      </c>
      <c r="C4" s="1"/>
      <c r="D4" s="1"/>
      <c r="E4" s="1"/>
      <c r="F4" s="1"/>
    </row>
    <row r="5" spans="1:6" ht="15.65" x14ac:dyDescent="0.25">
      <c r="A5" s="46" t="s">
        <v>55</v>
      </c>
      <c r="B5" s="49">
        <v>0.21</v>
      </c>
      <c r="C5" s="1"/>
      <c r="D5" s="1"/>
      <c r="E5" s="1"/>
      <c r="F5" s="1"/>
    </row>
    <row r="6" spans="1:6" ht="31.25" x14ac:dyDescent="0.25">
      <c r="A6" s="22" t="s">
        <v>33</v>
      </c>
      <c r="B6" s="23" t="s">
        <v>34</v>
      </c>
      <c r="C6" s="22" t="s">
        <v>35</v>
      </c>
      <c r="D6" s="23" t="s">
        <v>36</v>
      </c>
      <c r="E6" s="23" t="s">
        <v>37</v>
      </c>
      <c r="F6" s="23" t="s">
        <v>38</v>
      </c>
    </row>
    <row r="7" spans="1:6" ht="15.65" x14ac:dyDescent="0.25">
      <c r="A7" s="24">
        <v>1</v>
      </c>
      <c r="B7" s="62">
        <f>$B$2</f>
        <v>5200000</v>
      </c>
      <c r="C7" s="62">
        <f>$B$1</f>
        <v>1569988.1831610044</v>
      </c>
      <c r="D7" s="62">
        <f>IPMT($B$3,$A$7,$A$10,-$B7)</f>
        <v>416000</v>
      </c>
      <c r="E7" s="62">
        <f>PPMT($B$3,$A7,$A$10,-$B7)</f>
        <v>1153988.1831610044</v>
      </c>
      <c r="F7" s="27">
        <f>$B7-$E7</f>
        <v>4046011.8168389956</v>
      </c>
    </row>
    <row r="8" spans="1:6" ht="15.65" x14ac:dyDescent="0.25">
      <c r="A8" s="24">
        <v>2</v>
      </c>
      <c r="B8" s="62">
        <f>F7</f>
        <v>4046011.8168389956</v>
      </c>
      <c r="C8" s="62">
        <f t="shared" ref="C8:C10" si="0">$B$1</f>
        <v>1569988.1831610044</v>
      </c>
      <c r="D8" s="62">
        <f t="shared" ref="D8:D9" si="1">IPMT($B$3,$A$7,$A$10,-$B8)</f>
        <v>323680.94534711959</v>
      </c>
      <c r="E8" s="62">
        <f>PPMT($B$3,$A8-1,$A$10-1,-$B8)</f>
        <v>1246307.2378138849</v>
      </c>
      <c r="F8" s="27">
        <f>$B8-$E8</f>
        <v>2799704.5790251107</v>
      </c>
    </row>
    <row r="9" spans="1:6" ht="15.65" x14ac:dyDescent="0.25">
      <c r="A9" s="24">
        <v>3</v>
      </c>
      <c r="B9" s="62">
        <f>F8</f>
        <v>2799704.5790251107</v>
      </c>
      <c r="C9" s="62">
        <f t="shared" si="0"/>
        <v>1569988.1831610044</v>
      </c>
      <c r="D9" s="62">
        <f t="shared" si="1"/>
        <v>223976.36632200886</v>
      </c>
      <c r="E9" s="62">
        <f>PPMT($B$3,$A9-2,$A$10-2,-$B9)</f>
        <v>1346011.8168389956</v>
      </c>
      <c r="F9" s="27">
        <f>$B9-$E9</f>
        <v>1453692.7621861151</v>
      </c>
    </row>
    <row r="10" spans="1:6" ht="15.65" x14ac:dyDescent="0.25">
      <c r="A10" s="24">
        <v>4</v>
      </c>
      <c r="B10" s="62">
        <f>F9</f>
        <v>1453692.7621861151</v>
      </c>
      <c r="C10" s="62">
        <f t="shared" si="0"/>
        <v>1569988.1831610044</v>
      </c>
      <c r="D10" s="62">
        <f>IPMT($B$3,$A$7,$A$10,-$B10)</f>
        <v>116295.42097488922</v>
      </c>
      <c r="E10" s="62">
        <f>PPMT($B$3,$A10-3,$A$10-3,-$B10)</f>
        <v>1453692.7621861154</v>
      </c>
      <c r="F10" s="63">
        <f>$B10-$E10</f>
        <v>0</v>
      </c>
    </row>
    <row r="12" spans="1:6" ht="15.65" x14ac:dyDescent="0.25">
      <c r="A12" s="26"/>
      <c r="B12" s="26" t="s">
        <v>2</v>
      </c>
      <c r="C12" s="64"/>
      <c r="D12" s="11" t="s">
        <v>39</v>
      </c>
    </row>
    <row r="13" spans="1:6" ht="15.65" x14ac:dyDescent="0.25">
      <c r="A13" s="25"/>
      <c r="B13" s="65">
        <f>$C7-($D7*$B$5)</f>
        <v>1482628.1831610044</v>
      </c>
      <c r="C13" s="26" t="s">
        <v>40</v>
      </c>
      <c r="D13" s="62">
        <f>$B13-OCF</f>
        <v>16728.183161004446</v>
      </c>
    </row>
    <row r="14" spans="1:6" ht="15.65" x14ac:dyDescent="0.25">
      <c r="A14" s="25"/>
      <c r="B14" s="65">
        <f t="shared" ref="B14:B16" si="2">$C8-($D8*$B$5)</f>
        <v>1502015.1846381093</v>
      </c>
      <c r="C14" s="26" t="s">
        <v>40</v>
      </c>
      <c r="D14" s="62">
        <f>$B14-OCF</f>
        <v>36115.184638109291</v>
      </c>
    </row>
    <row r="15" spans="1:6" ht="15.65" x14ac:dyDescent="0.25">
      <c r="A15" s="25"/>
      <c r="B15" s="65">
        <f t="shared" si="2"/>
        <v>1522953.1462333826</v>
      </c>
      <c r="C15" s="26" t="s">
        <v>40</v>
      </c>
      <c r="D15" s="62">
        <f>$B15-OCF</f>
        <v>57053.146233382635</v>
      </c>
    </row>
    <row r="16" spans="1:6" ht="15.65" x14ac:dyDescent="0.25">
      <c r="A16" s="25"/>
      <c r="B16" s="65">
        <f t="shared" si="2"/>
        <v>1545566.1447562778</v>
      </c>
      <c r="C16" s="26" t="s">
        <v>40</v>
      </c>
      <c r="D16" s="62">
        <f>$B16-OCF</f>
        <v>79666.14475627779</v>
      </c>
    </row>
    <row r="17" spans="1:4" ht="15.65" x14ac:dyDescent="0.25">
      <c r="A17" s="48"/>
      <c r="B17" s="48"/>
      <c r="C17" s="48"/>
      <c r="D17" s="48"/>
    </row>
    <row r="18" spans="1:4" ht="15.65" x14ac:dyDescent="0.25">
      <c r="A18" s="2" t="s">
        <v>4</v>
      </c>
      <c r="B18" s="52">
        <f>NPV(Aftertax_debt_cost,0+D13,D14,D15,D16)</f>
        <v>157501.45636787734</v>
      </c>
      <c r="C18" s="48"/>
      <c r="D18" s="48"/>
    </row>
  </sheetData>
  <conditionalFormatting sqref="E7:E10">
    <cfRule type="colorScale" priority="3">
      <colorScale>
        <cfvo type="min"/>
        <cfvo type="max"/>
        <color rgb="FFFCFCFF"/>
        <color rgb="FFF8696B"/>
      </colorScale>
    </cfRule>
  </conditionalFormatting>
  <conditionalFormatting sqref="D7:D10">
    <cfRule type="colorScale" priority="2">
      <colorScale>
        <cfvo type="min"/>
        <cfvo type="max"/>
        <color rgb="FFFCFCFF"/>
        <color rgb="FFF8696B"/>
      </colorScale>
    </cfRule>
  </conditionalFormatting>
  <conditionalFormatting sqref="B7:B1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3006-EBBE-4817-9176-6C4A48044FD9}">
  <dimension ref="A1:K22"/>
  <sheetViews>
    <sheetView showGridLines="0" topLeftCell="A14" zoomScale="160" zoomScaleNormal="160" workbookViewId="0">
      <selection activeCell="B19" sqref="B19"/>
    </sheetView>
  </sheetViews>
  <sheetFormatPr defaultRowHeight="14.3" x14ac:dyDescent="0.25"/>
  <cols>
    <col min="1" max="1" width="20.5" bestFit="1" customWidth="1"/>
    <col min="2" max="2" width="12.625" bestFit="1" customWidth="1"/>
    <col min="3" max="6" width="10.875" bestFit="1" customWidth="1"/>
    <col min="7" max="7" width="10.125" bestFit="1" customWidth="1"/>
  </cols>
  <sheetData>
    <row r="1" spans="1:11" ht="15.65" x14ac:dyDescent="0.25">
      <c r="A1" s="2" t="s">
        <v>13</v>
      </c>
      <c r="B1" s="66" t="s">
        <v>45</v>
      </c>
      <c r="C1" s="66"/>
      <c r="D1" s="66"/>
      <c r="E1" s="66"/>
      <c r="F1" s="66"/>
      <c r="G1" s="66"/>
      <c r="I1" s="46" t="s">
        <v>64</v>
      </c>
      <c r="J1" s="47">
        <v>80000</v>
      </c>
      <c r="K1" s="48" t="s">
        <v>101</v>
      </c>
    </row>
    <row r="2" spans="1:11" ht="15.65" x14ac:dyDescent="0.25">
      <c r="A2" s="6"/>
      <c r="B2" s="31" t="s">
        <v>20</v>
      </c>
      <c r="C2" s="31" t="s">
        <v>21</v>
      </c>
      <c r="D2" s="31" t="s">
        <v>22</v>
      </c>
      <c r="E2" s="31" t="s">
        <v>23</v>
      </c>
      <c r="F2" s="31" t="s">
        <v>24</v>
      </c>
      <c r="G2" s="32" t="s">
        <v>41</v>
      </c>
      <c r="I2" s="67" t="s">
        <v>51</v>
      </c>
      <c r="J2" s="46">
        <v>5</v>
      </c>
      <c r="K2" s="48"/>
    </row>
    <row r="3" spans="1:11" ht="15.65" x14ac:dyDescent="0.25">
      <c r="A3" s="11" t="s">
        <v>42</v>
      </c>
      <c r="B3" s="14"/>
      <c r="C3" s="19">
        <f>$J$3*(1-$J$9)</f>
        <v>22910</v>
      </c>
      <c r="D3" s="19">
        <f t="shared" ref="D3:G3" si="0">$J$3*(1-$J$9)</f>
        <v>22910</v>
      </c>
      <c r="E3" s="19">
        <f t="shared" si="0"/>
        <v>22910</v>
      </c>
      <c r="F3" s="19">
        <f t="shared" si="0"/>
        <v>22910</v>
      </c>
      <c r="G3" s="19">
        <f t="shared" si="0"/>
        <v>22910</v>
      </c>
      <c r="I3" s="46" t="s">
        <v>102</v>
      </c>
      <c r="J3" s="47">
        <v>29000</v>
      </c>
      <c r="K3" s="48" t="s">
        <v>103</v>
      </c>
    </row>
    <row r="4" spans="1:11" ht="15.65" x14ac:dyDescent="0.25">
      <c r="A4" s="11" t="s">
        <v>26</v>
      </c>
      <c r="B4" s="16">
        <f>-$J$1</f>
        <v>-80000</v>
      </c>
      <c r="C4" s="16">
        <f t="shared" ref="C4:F4" si="1">-$J$1</f>
        <v>-80000</v>
      </c>
      <c r="D4" s="16">
        <f t="shared" si="1"/>
        <v>-80000</v>
      </c>
      <c r="E4" s="16">
        <f t="shared" si="1"/>
        <v>-80000</v>
      </c>
      <c r="F4" s="16">
        <f t="shared" si="1"/>
        <v>-80000</v>
      </c>
      <c r="G4" s="14"/>
      <c r="I4" s="46" t="s">
        <v>47</v>
      </c>
      <c r="J4" s="47">
        <v>365000</v>
      </c>
      <c r="K4" s="48"/>
    </row>
    <row r="5" spans="1:11" ht="15.65" x14ac:dyDescent="0.25">
      <c r="A5" s="11" t="s">
        <v>43</v>
      </c>
      <c r="B5" s="36">
        <f>-B$4*$J$9</f>
        <v>16800</v>
      </c>
      <c r="C5" s="36">
        <f t="shared" ref="C5:F5" si="2">-C$4*$J$9</f>
        <v>16800</v>
      </c>
      <c r="D5" s="36">
        <f t="shared" si="2"/>
        <v>16800</v>
      </c>
      <c r="E5" s="36">
        <f t="shared" si="2"/>
        <v>16800</v>
      </c>
      <c r="F5" s="36">
        <f t="shared" si="2"/>
        <v>16800</v>
      </c>
      <c r="G5" s="37"/>
      <c r="I5" s="46" t="s">
        <v>102</v>
      </c>
      <c r="J5" s="47">
        <v>32000</v>
      </c>
      <c r="K5" s="48" t="s">
        <v>103</v>
      </c>
    </row>
    <row r="6" spans="1:11" ht="15.65" x14ac:dyDescent="0.25">
      <c r="A6" s="11" t="s">
        <v>44</v>
      </c>
      <c r="B6" s="38">
        <f>_xlfn.AGGREGATE(9,4,B$3:B$5)</f>
        <v>-63200</v>
      </c>
      <c r="C6" s="38">
        <f>_xlfn.AGGREGATE(9,4,C$3:C$5)</f>
        <v>-40290</v>
      </c>
      <c r="D6" s="38">
        <f t="shared" ref="D6:G6" si="3">_xlfn.AGGREGATE(9,4,D$3:D$5)</f>
        <v>-40290</v>
      </c>
      <c r="E6" s="38">
        <f t="shared" si="3"/>
        <v>-40290</v>
      </c>
      <c r="F6" s="38">
        <f t="shared" si="3"/>
        <v>-40290</v>
      </c>
      <c r="G6" s="38">
        <f t="shared" si="3"/>
        <v>22910</v>
      </c>
      <c r="I6" s="46" t="s">
        <v>83</v>
      </c>
      <c r="J6" s="49">
        <v>0.1</v>
      </c>
      <c r="K6" s="48" t="s">
        <v>104</v>
      </c>
    </row>
    <row r="7" spans="1:11" ht="15.65" x14ac:dyDescent="0.25">
      <c r="A7" s="48"/>
      <c r="B7" s="48"/>
      <c r="C7" s="48"/>
      <c r="D7" s="48"/>
      <c r="E7" s="48"/>
      <c r="F7" s="48"/>
      <c r="G7" s="48"/>
      <c r="I7" s="46" t="s">
        <v>82</v>
      </c>
      <c r="J7" s="47">
        <v>73000</v>
      </c>
      <c r="K7" s="48" t="s">
        <v>105</v>
      </c>
    </row>
    <row r="8" spans="1:11" ht="15.65" x14ac:dyDescent="0.25">
      <c r="A8" s="48"/>
      <c r="B8" s="66" t="s">
        <v>46</v>
      </c>
      <c r="C8" s="66"/>
      <c r="D8" s="66"/>
      <c r="E8" s="66"/>
      <c r="F8" s="66"/>
      <c r="G8" s="66"/>
      <c r="I8" s="46" t="s">
        <v>106</v>
      </c>
      <c r="J8" s="49">
        <v>0.67</v>
      </c>
      <c r="K8" s="48"/>
    </row>
    <row r="9" spans="1:11" ht="15.65" x14ac:dyDescent="0.25">
      <c r="A9" s="6"/>
      <c r="B9" s="35" t="s">
        <v>20</v>
      </c>
      <c r="C9" s="26" t="s">
        <v>21</v>
      </c>
      <c r="D9" s="26" t="s">
        <v>22</v>
      </c>
      <c r="E9" s="26" t="s">
        <v>23</v>
      </c>
      <c r="F9" s="26" t="s">
        <v>24</v>
      </c>
      <c r="G9" s="26" t="s">
        <v>41</v>
      </c>
      <c r="H9" s="30"/>
      <c r="I9" s="68" t="s">
        <v>55</v>
      </c>
      <c r="J9" s="49">
        <v>0.21</v>
      </c>
      <c r="K9" s="48"/>
    </row>
    <row r="10" spans="1:11" ht="15.65" x14ac:dyDescent="0.25">
      <c r="A10" s="11" t="s">
        <v>42</v>
      </c>
      <c r="B10" s="48"/>
      <c r="C10" s="16">
        <f t="shared" ref="C10:G10" si="4">$J$5*(1-$J$9)</f>
        <v>25280</v>
      </c>
      <c r="D10" s="16">
        <f t="shared" si="4"/>
        <v>25280</v>
      </c>
      <c r="E10" s="16">
        <f t="shared" si="4"/>
        <v>25280</v>
      </c>
      <c r="F10" s="16">
        <f t="shared" si="4"/>
        <v>25280</v>
      </c>
      <c r="G10" s="16">
        <f t="shared" si="4"/>
        <v>25280</v>
      </c>
      <c r="H10" s="29"/>
    </row>
    <row r="11" spans="1:11" ht="15.65" x14ac:dyDescent="0.25">
      <c r="A11" s="11" t="s">
        <v>47</v>
      </c>
      <c r="B11" s="16">
        <f>-J4</f>
        <v>-365000</v>
      </c>
      <c r="C11" s="16"/>
      <c r="D11" s="16"/>
      <c r="E11" s="16"/>
      <c r="F11" s="16"/>
      <c r="G11" s="16"/>
      <c r="H11" s="28"/>
    </row>
    <row r="12" spans="1:11" ht="15.65" x14ac:dyDescent="0.25">
      <c r="A12" s="11" t="s">
        <v>48</v>
      </c>
      <c r="B12" s="34"/>
      <c r="C12" s="17">
        <f t="shared" ref="C12:G12" si="5">SLN($J$4,,$J$2)*$J$9</f>
        <v>15330</v>
      </c>
      <c r="D12" s="17">
        <f t="shared" si="5"/>
        <v>15330</v>
      </c>
      <c r="E12" s="17">
        <f t="shared" si="5"/>
        <v>15330</v>
      </c>
      <c r="F12" s="17">
        <f t="shared" si="5"/>
        <v>15330</v>
      </c>
      <c r="G12" s="17">
        <f t="shared" si="5"/>
        <v>15330</v>
      </c>
      <c r="H12" s="28"/>
    </row>
    <row r="13" spans="1:11" ht="15.65" x14ac:dyDescent="0.25">
      <c r="A13" s="11" t="s">
        <v>44</v>
      </c>
      <c r="B13" s="16">
        <f>_xlfn.AGGREGATE(9,4,B$10:B$12)</f>
        <v>-365000</v>
      </c>
      <c r="C13" s="16">
        <f t="shared" ref="C13:G13" si="6">_xlfn.AGGREGATE(9,4,C$10:C$12)</f>
        <v>40610</v>
      </c>
      <c r="D13" s="16">
        <f t="shared" si="6"/>
        <v>40610</v>
      </c>
      <c r="E13" s="16">
        <f t="shared" si="6"/>
        <v>40610</v>
      </c>
      <c r="F13" s="16">
        <f t="shared" si="6"/>
        <v>40610</v>
      </c>
      <c r="G13" s="16">
        <f t="shared" si="6"/>
        <v>40610</v>
      </c>
      <c r="H13" s="69"/>
    </row>
    <row r="15" spans="1:11" ht="15.65" x14ac:dyDescent="0.25">
      <c r="A15" s="6"/>
      <c r="B15" s="26" t="s">
        <v>20</v>
      </c>
      <c r="C15" s="26" t="s">
        <v>21</v>
      </c>
      <c r="D15" s="26" t="s">
        <v>22</v>
      </c>
      <c r="E15" s="26" t="s">
        <v>23</v>
      </c>
      <c r="F15" s="26" t="s">
        <v>24</v>
      </c>
      <c r="G15" s="26" t="s">
        <v>41</v>
      </c>
    </row>
    <row r="16" spans="1:11" ht="15.65" x14ac:dyDescent="0.25">
      <c r="A16" s="11" t="s">
        <v>49</v>
      </c>
      <c r="B16" s="33">
        <f>B$6-B$13</f>
        <v>301800</v>
      </c>
      <c r="C16" s="33">
        <f t="shared" ref="C16:G16" si="7">C$6-C$13</f>
        <v>-80900</v>
      </c>
      <c r="D16" s="33">
        <f t="shared" si="7"/>
        <v>-80900</v>
      </c>
      <c r="E16" s="33">
        <f t="shared" si="7"/>
        <v>-80900</v>
      </c>
      <c r="F16" s="33">
        <f t="shared" si="7"/>
        <v>-80900</v>
      </c>
      <c r="G16" s="33">
        <f t="shared" si="7"/>
        <v>-17700</v>
      </c>
    </row>
    <row r="17" spans="1:7" ht="15.65" x14ac:dyDescent="0.25">
      <c r="A17" s="48"/>
      <c r="B17" s="48"/>
      <c r="C17" s="48"/>
      <c r="D17" s="48"/>
      <c r="E17" s="48"/>
      <c r="F17" s="48"/>
      <c r="G17" s="48"/>
    </row>
    <row r="18" spans="1:7" ht="15.65" x14ac:dyDescent="0.25">
      <c r="A18" s="48" t="s">
        <v>31</v>
      </c>
      <c r="B18" s="70">
        <f>$J$6*(1-$J$9)</f>
        <v>7.9000000000000015E-2</v>
      </c>
      <c r="C18" s="48"/>
      <c r="D18" s="48"/>
      <c r="E18" s="48"/>
      <c r="F18" s="48"/>
      <c r="G18" s="48"/>
    </row>
    <row r="19" spans="1:7" ht="15.65" x14ac:dyDescent="0.25">
      <c r="A19" s="2" t="s">
        <v>4</v>
      </c>
      <c r="B19" s="52">
        <f>B16--C16*PV(B18,J2-1,-1)-PV(B18,J2,,G16)</f>
        <v>21149.177042694289</v>
      </c>
      <c r="C19" s="48"/>
      <c r="D19" s="48"/>
      <c r="E19" s="48"/>
      <c r="F19" s="48"/>
      <c r="G19" s="48"/>
    </row>
    <row r="21" spans="1:7" ht="15.65" x14ac:dyDescent="0.25">
      <c r="A21" s="2" t="s">
        <v>19</v>
      </c>
      <c r="B21" s="48"/>
    </row>
    <row r="22" spans="1:7" ht="15.65" x14ac:dyDescent="0.25">
      <c r="A22" s="48" t="s">
        <v>50</v>
      </c>
      <c r="B22" s="52">
        <f>PV(B18,J2-1,C16)+PV(B18,J2,,G16)</f>
        <v>280650.8229573057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A8C7-5BC5-4EB3-9A54-AAE817F21993}">
  <dimension ref="A1:I39"/>
  <sheetViews>
    <sheetView showGridLines="0" tabSelected="1" topLeftCell="A19" zoomScale="160" zoomScaleNormal="160" workbookViewId="0">
      <selection activeCell="A32" sqref="A32"/>
    </sheetView>
  </sheetViews>
  <sheetFormatPr defaultRowHeight="14.3" x14ac:dyDescent="0.25"/>
  <cols>
    <col min="1" max="1" width="19.25" bestFit="1" customWidth="1"/>
    <col min="2" max="2" width="13.25" bestFit="1" customWidth="1"/>
    <col min="3" max="4" width="14.25" bestFit="1" customWidth="1"/>
    <col min="5" max="5" width="15.625" bestFit="1" customWidth="1"/>
    <col min="6" max="6" width="12.5" bestFit="1" customWidth="1"/>
    <col min="8" max="8" width="10.625" bestFit="1" customWidth="1"/>
  </cols>
  <sheetData>
    <row r="1" spans="1:9" ht="15.65" x14ac:dyDescent="0.25">
      <c r="A1" s="46" t="s">
        <v>107</v>
      </c>
      <c r="B1" s="47">
        <v>6100000</v>
      </c>
      <c r="C1" s="48"/>
      <c r="D1" s="48"/>
      <c r="E1" s="48"/>
      <c r="F1" s="48"/>
      <c r="G1" s="48"/>
      <c r="H1" s="48"/>
      <c r="I1" s="71" t="s">
        <v>112</v>
      </c>
    </row>
    <row r="2" spans="1:9" ht="15.65" x14ac:dyDescent="0.25">
      <c r="A2" s="46" t="s">
        <v>108</v>
      </c>
      <c r="B2" s="47">
        <v>780000</v>
      </c>
      <c r="C2" s="48"/>
      <c r="D2" s="48"/>
      <c r="E2" s="48"/>
      <c r="F2" s="48"/>
      <c r="G2" s="48"/>
      <c r="H2" s="48"/>
      <c r="I2" s="46">
        <v>0.33329999999999999</v>
      </c>
    </row>
    <row r="3" spans="1:9" ht="15.65" x14ac:dyDescent="0.25">
      <c r="A3" s="46" t="s">
        <v>51</v>
      </c>
      <c r="B3" s="46">
        <v>4</v>
      </c>
      <c r="C3" s="48"/>
      <c r="D3" s="48"/>
      <c r="E3" s="48"/>
      <c r="F3" s="48"/>
      <c r="G3" s="48"/>
      <c r="H3" s="48"/>
      <c r="I3" s="46">
        <v>0.44450000000000001</v>
      </c>
    </row>
    <row r="4" spans="1:9" ht="15.65" x14ac:dyDescent="0.25">
      <c r="A4" s="46" t="s">
        <v>64</v>
      </c>
      <c r="B4" s="47">
        <v>1480000</v>
      </c>
      <c r="C4" s="48" t="s">
        <v>109</v>
      </c>
      <c r="D4" s="48"/>
      <c r="E4" s="48"/>
      <c r="F4" s="48"/>
      <c r="G4" s="48"/>
      <c r="H4" s="48"/>
      <c r="I4" s="46">
        <v>0.14810000000000001</v>
      </c>
    </row>
    <row r="5" spans="1:9" ht="15.65" x14ac:dyDescent="0.25">
      <c r="A5" s="46" t="s">
        <v>110</v>
      </c>
      <c r="B5" s="47">
        <v>400000</v>
      </c>
      <c r="C5" s="48"/>
      <c r="D5" s="48"/>
      <c r="E5" s="48"/>
      <c r="F5" s="48"/>
      <c r="G5" s="48"/>
      <c r="H5" s="48"/>
      <c r="I5" s="46">
        <v>7.4099999999999999E-2</v>
      </c>
    </row>
    <row r="6" spans="1:9" ht="15.65" x14ac:dyDescent="0.25">
      <c r="A6" s="46" t="s">
        <v>119</v>
      </c>
      <c r="B6" s="49">
        <v>0.09</v>
      </c>
      <c r="C6" s="48"/>
      <c r="D6" s="48"/>
      <c r="E6" s="48"/>
      <c r="F6" s="48"/>
      <c r="G6" s="48"/>
      <c r="H6" s="48"/>
      <c r="I6" s="48"/>
    </row>
    <row r="7" spans="1:9" ht="15.65" x14ac:dyDescent="0.25">
      <c r="A7" s="46" t="s">
        <v>55</v>
      </c>
      <c r="B7" s="49">
        <v>0.21</v>
      </c>
      <c r="C7" s="48"/>
      <c r="D7" s="48"/>
      <c r="E7" s="48"/>
      <c r="F7" s="48"/>
      <c r="G7" s="48"/>
      <c r="H7" s="48"/>
      <c r="I7" s="48"/>
    </row>
    <row r="8" spans="1:9" ht="15.65" x14ac:dyDescent="0.25">
      <c r="A8" s="48"/>
      <c r="B8" s="48"/>
      <c r="C8" s="48"/>
      <c r="D8" s="48"/>
      <c r="E8" s="48"/>
      <c r="F8" s="48"/>
      <c r="G8" s="48"/>
      <c r="H8" s="48"/>
      <c r="I8" s="48"/>
    </row>
    <row r="9" spans="1:9" ht="15.65" x14ac:dyDescent="0.25">
      <c r="A9" s="46" t="s">
        <v>111</v>
      </c>
      <c r="B9" s="47">
        <f>B2+(0-B2)*B7</f>
        <v>616200</v>
      </c>
      <c r="C9" s="48"/>
      <c r="D9" s="48"/>
      <c r="E9" s="48"/>
      <c r="F9" s="48"/>
      <c r="G9" s="48"/>
      <c r="H9" s="53"/>
      <c r="I9" s="48"/>
    </row>
    <row r="10" spans="1:9" ht="15.65" x14ac:dyDescent="0.25">
      <c r="A10" s="48"/>
      <c r="B10" s="48"/>
      <c r="C10" s="48"/>
      <c r="D10" s="48"/>
      <c r="E10" s="48"/>
      <c r="F10" s="48"/>
      <c r="G10" s="48"/>
      <c r="H10" s="48"/>
      <c r="I10" s="48"/>
    </row>
    <row r="11" spans="1:9" ht="15.65" x14ac:dyDescent="0.25">
      <c r="A11" s="6"/>
      <c r="B11" s="72" t="s">
        <v>20</v>
      </c>
      <c r="C11" s="72" t="s">
        <v>21</v>
      </c>
      <c r="D11" s="72" t="s">
        <v>22</v>
      </c>
      <c r="E11" s="72" t="s">
        <v>113</v>
      </c>
      <c r="F11" s="72" t="s">
        <v>114</v>
      </c>
      <c r="G11" s="48"/>
      <c r="H11" s="48"/>
      <c r="I11" s="48"/>
    </row>
    <row r="12" spans="1:9" ht="15.65" x14ac:dyDescent="0.25">
      <c r="A12" s="25" t="s">
        <v>115</v>
      </c>
      <c r="B12" s="63">
        <f>$B$1</f>
        <v>6100000</v>
      </c>
      <c r="C12" s="6"/>
      <c r="D12" s="6"/>
      <c r="E12" s="6"/>
      <c r="F12" s="6"/>
      <c r="G12" s="48"/>
      <c r="H12" s="48"/>
      <c r="I12" s="48"/>
    </row>
    <row r="13" spans="1:9" ht="15.65" x14ac:dyDescent="0.25">
      <c r="A13" s="25" t="s">
        <v>116</v>
      </c>
      <c r="B13" s="6"/>
      <c r="C13" s="6"/>
      <c r="D13" s="6"/>
      <c r="E13" s="6"/>
      <c r="F13" s="73">
        <f>-$B$9</f>
        <v>-616200</v>
      </c>
      <c r="G13" s="48"/>
      <c r="H13" s="48"/>
      <c r="I13" s="48"/>
    </row>
    <row r="14" spans="1:9" ht="15.65" x14ac:dyDescent="0.25">
      <c r="A14" s="25" t="s">
        <v>28</v>
      </c>
      <c r="B14" s="6"/>
      <c r="C14" s="74">
        <f t="array" ref="C14:F14">-TRANSPOSE(($I$2:$I$5*$B$1)*$B$7)</f>
        <v>-426957.3</v>
      </c>
      <c r="D14" s="74">
        <v>-569404.5</v>
      </c>
      <c r="E14" s="75">
        <v>-189716.1</v>
      </c>
      <c r="F14" s="74">
        <v>-94922.099999999991</v>
      </c>
      <c r="G14" s="48"/>
      <c r="H14" s="48"/>
      <c r="I14" s="48"/>
    </row>
    <row r="15" spans="1:9" ht="15.65" x14ac:dyDescent="0.25">
      <c r="A15" s="25" t="s">
        <v>78</v>
      </c>
      <c r="B15" s="73">
        <f>-$B$5</f>
        <v>-400000</v>
      </c>
      <c r="C15" s="6"/>
      <c r="D15" s="6"/>
      <c r="E15" s="6"/>
      <c r="F15" s="76">
        <f>$B$5</f>
        <v>400000</v>
      </c>
      <c r="G15" s="48"/>
      <c r="H15" s="48"/>
      <c r="I15" s="48"/>
    </row>
    <row r="16" spans="1:9" ht="15.65" x14ac:dyDescent="0.25">
      <c r="A16" s="25" t="s">
        <v>26</v>
      </c>
      <c r="B16" s="73">
        <f t="shared" ref="B16:E16" si="0">-$B$4</f>
        <v>-1480000</v>
      </c>
      <c r="C16" s="73">
        <f t="shared" si="0"/>
        <v>-1480000</v>
      </c>
      <c r="D16" s="73">
        <f t="shared" si="0"/>
        <v>-1480000</v>
      </c>
      <c r="E16" s="77">
        <f t="shared" si="0"/>
        <v>-1480000</v>
      </c>
      <c r="F16" s="6"/>
      <c r="G16" s="48"/>
      <c r="H16" s="48"/>
      <c r="I16" s="48"/>
    </row>
    <row r="17" spans="1:9" ht="15.65" x14ac:dyDescent="0.25">
      <c r="A17" s="25" t="s">
        <v>117</v>
      </c>
      <c r="B17" s="78">
        <f t="shared" ref="B17:E17" si="1">$B$4*$B$7</f>
        <v>310800</v>
      </c>
      <c r="C17" s="78">
        <f t="shared" si="1"/>
        <v>310800</v>
      </c>
      <c r="D17" s="78">
        <f t="shared" si="1"/>
        <v>310800</v>
      </c>
      <c r="E17" s="79">
        <f t="shared" si="1"/>
        <v>310800</v>
      </c>
      <c r="F17" s="80"/>
      <c r="G17" s="48"/>
      <c r="H17" s="48"/>
      <c r="I17" s="48"/>
    </row>
    <row r="18" spans="1:9" ht="15.65" x14ac:dyDescent="0.25">
      <c r="A18" s="25" t="s">
        <v>118</v>
      </c>
      <c r="B18" s="81">
        <f t="shared" ref="B18:F18" si="2">_xlfn.AGGREGATE(9,5,B$12:B$17)</f>
        <v>4530800</v>
      </c>
      <c r="C18" s="82">
        <f t="shared" si="2"/>
        <v>-1596157.3</v>
      </c>
      <c r="D18" s="82">
        <f t="shared" si="2"/>
        <v>-1738604.5</v>
      </c>
      <c r="E18" s="83">
        <f t="shared" si="2"/>
        <v>-1358916.1</v>
      </c>
      <c r="F18" s="82">
        <f t="shared" si="2"/>
        <v>-311122.09999999998</v>
      </c>
      <c r="G18" s="48"/>
      <c r="H18" s="48"/>
      <c r="I18" s="48"/>
    </row>
    <row r="19" spans="1:9" ht="15.65" x14ac:dyDescent="0.25">
      <c r="A19" s="48"/>
      <c r="B19" s="48"/>
      <c r="C19" s="48"/>
      <c r="D19" s="48"/>
      <c r="E19" s="48"/>
      <c r="F19" s="48"/>
      <c r="G19" s="48"/>
      <c r="H19" s="48"/>
      <c r="I19" s="48"/>
    </row>
    <row r="20" spans="1:9" ht="15.65" x14ac:dyDescent="0.25">
      <c r="A20" s="46" t="s">
        <v>120</v>
      </c>
      <c r="B20" s="50">
        <f>B6*(1-B7)</f>
        <v>7.1099999999999997E-2</v>
      </c>
      <c r="C20" s="48"/>
      <c r="D20" s="48"/>
      <c r="E20" s="48"/>
      <c r="F20" s="48"/>
      <c r="G20" s="48"/>
      <c r="H20" s="48"/>
      <c r="I20" s="48"/>
    </row>
    <row r="21" spans="1:9" ht="15.65" x14ac:dyDescent="0.25">
      <c r="A21" s="85" t="s">
        <v>4</v>
      </c>
      <c r="B21" s="51">
        <f>NPV($B$20,$C$18:$F$18)+$B$18</f>
        <v>182902.92646322772</v>
      </c>
      <c r="C21" s="48"/>
      <c r="D21" s="48"/>
      <c r="E21" s="48"/>
      <c r="F21" s="48"/>
      <c r="G21" s="48"/>
      <c r="H21" s="48"/>
      <c r="I21" s="48"/>
    </row>
    <row r="22" spans="1:9" ht="15.65" x14ac:dyDescent="0.25">
      <c r="A22" s="48"/>
      <c r="B22" s="48"/>
      <c r="C22" s="48"/>
      <c r="D22" s="48"/>
      <c r="E22" s="48"/>
      <c r="F22" s="48"/>
      <c r="G22" s="48"/>
      <c r="H22" s="48"/>
      <c r="I22" s="48"/>
    </row>
    <row r="23" spans="1:9" ht="15.65" x14ac:dyDescent="0.25">
      <c r="A23" s="46" t="s">
        <v>64</v>
      </c>
      <c r="B23" s="47">
        <v>1875000</v>
      </c>
      <c r="C23" s="48"/>
      <c r="D23" s="48"/>
      <c r="E23" s="48"/>
      <c r="F23" s="48"/>
      <c r="G23" s="48"/>
      <c r="H23" s="48"/>
      <c r="I23" s="48"/>
    </row>
    <row r="24" spans="1:9" ht="15.65" x14ac:dyDescent="0.25">
      <c r="A24" s="46" t="s">
        <v>51</v>
      </c>
      <c r="B24" s="46">
        <v>2</v>
      </c>
      <c r="C24" s="48"/>
      <c r="D24" s="48"/>
      <c r="E24" s="48"/>
      <c r="F24" s="48"/>
      <c r="G24" s="48"/>
      <c r="H24" s="48"/>
      <c r="I24" s="48"/>
    </row>
    <row r="25" spans="1:9" ht="15.65" x14ac:dyDescent="0.25">
      <c r="A25" s="46" t="s">
        <v>108</v>
      </c>
      <c r="B25" s="47">
        <v>3200000</v>
      </c>
      <c r="C25" s="48"/>
      <c r="D25" s="48"/>
      <c r="E25" s="48"/>
      <c r="F25" s="48"/>
      <c r="G25" s="48"/>
      <c r="H25" s="48"/>
      <c r="I25" s="48"/>
    </row>
    <row r="26" spans="1:9" ht="15.65" x14ac:dyDescent="0.25">
      <c r="A26" s="46" t="s">
        <v>121</v>
      </c>
      <c r="B26" s="47">
        <f>$B$1-($B$1*SUM($I$2:$I$3))</f>
        <v>1355420</v>
      </c>
      <c r="C26" s="48"/>
      <c r="D26" s="48"/>
      <c r="E26" s="48"/>
      <c r="F26" s="48"/>
      <c r="G26" s="48"/>
      <c r="H26" s="48"/>
      <c r="I26" s="48"/>
    </row>
    <row r="27" spans="1:9" ht="15.65" x14ac:dyDescent="0.25">
      <c r="A27" s="46" t="s">
        <v>111</v>
      </c>
      <c r="B27" s="51">
        <f>B25+(B26-B25)*B7</f>
        <v>2812638.2</v>
      </c>
      <c r="C27" s="48"/>
      <c r="D27" s="48"/>
      <c r="E27" s="48"/>
      <c r="F27" s="48"/>
      <c r="G27" s="48"/>
      <c r="H27" s="48"/>
      <c r="I27" s="48"/>
    </row>
    <row r="28" spans="1:9" ht="15.65" x14ac:dyDescent="0.25">
      <c r="A28" s="48"/>
      <c r="B28" s="48"/>
      <c r="C28" s="48"/>
      <c r="D28" s="48"/>
      <c r="E28" s="48"/>
      <c r="F28" s="48"/>
      <c r="G28" s="48"/>
      <c r="H28" s="48"/>
      <c r="I28" s="48"/>
    </row>
    <row r="29" spans="1:9" ht="15.65" x14ac:dyDescent="0.25">
      <c r="A29" s="6"/>
      <c r="B29" s="72" t="s">
        <v>20</v>
      </c>
      <c r="C29" s="72" t="s">
        <v>21</v>
      </c>
      <c r="D29" s="72" t="s">
        <v>22</v>
      </c>
      <c r="E29" s="48"/>
      <c r="F29" s="48"/>
      <c r="G29" s="48"/>
      <c r="H29" s="48"/>
      <c r="I29" s="48"/>
    </row>
    <row r="30" spans="1:9" ht="15.65" x14ac:dyDescent="0.25">
      <c r="A30" s="25" t="s">
        <v>115</v>
      </c>
      <c r="B30" s="63">
        <f>$B$12</f>
        <v>6100000</v>
      </c>
      <c r="C30" s="6"/>
      <c r="D30" s="48"/>
      <c r="E30" s="48"/>
      <c r="F30" s="48"/>
      <c r="G30" s="48"/>
      <c r="H30" s="48"/>
      <c r="I30" s="48"/>
    </row>
    <row r="31" spans="1:9" ht="15.65" x14ac:dyDescent="0.25">
      <c r="A31" s="25" t="s">
        <v>116</v>
      </c>
      <c r="B31" s="6"/>
      <c r="C31" s="48"/>
      <c r="D31" s="84">
        <f>-$B$27</f>
        <v>-2812638.2</v>
      </c>
      <c r="E31" s="48"/>
      <c r="F31" s="48"/>
      <c r="G31" s="48"/>
      <c r="H31" s="48"/>
      <c r="I31" s="48"/>
    </row>
    <row r="32" spans="1:9" ht="15.65" x14ac:dyDescent="0.25">
      <c r="A32" s="25" t="s">
        <v>28</v>
      </c>
      <c r="B32" s="6"/>
      <c r="C32" s="74">
        <f>C$14</f>
        <v>-426957.3</v>
      </c>
      <c r="D32" s="74">
        <f>D$14</f>
        <v>-569404.5</v>
      </c>
      <c r="E32" s="48"/>
      <c r="F32" s="48"/>
      <c r="G32" s="48"/>
      <c r="H32" s="48"/>
      <c r="I32" s="48"/>
    </row>
    <row r="33" spans="1:9" ht="15.65" x14ac:dyDescent="0.25">
      <c r="A33" s="25" t="s">
        <v>26</v>
      </c>
      <c r="B33" s="73">
        <f t="shared" ref="B33:C33" si="3">-$B$23</f>
        <v>-1875000</v>
      </c>
      <c r="C33" s="73">
        <f t="shared" si="3"/>
        <v>-1875000</v>
      </c>
      <c r="D33" s="48"/>
      <c r="E33" s="48"/>
      <c r="F33" s="48"/>
      <c r="G33" s="48"/>
      <c r="H33" s="48"/>
      <c r="I33" s="48"/>
    </row>
    <row r="34" spans="1:9" ht="15.65" x14ac:dyDescent="0.25">
      <c r="A34" s="25" t="s">
        <v>117</v>
      </c>
      <c r="B34" s="78">
        <f t="shared" ref="B34:C34" si="4">$B$23*$B$7</f>
        <v>393750</v>
      </c>
      <c r="C34" s="78">
        <f t="shared" si="4"/>
        <v>393750</v>
      </c>
      <c r="D34" s="48"/>
      <c r="E34" s="48"/>
      <c r="F34" s="48"/>
      <c r="G34" s="48"/>
      <c r="H34" s="48"/>
      <c r="I34" s="48"/>
    </row>
    <row r="35" spans="1:9" ht="15.65" x14ac:dyDescent="0.25">
      <c r="A35" s="25" t="s">
        <v>118</v>
      </c>
      <c r="B35" s="81">
        <f>_xlfn.AGGREGATE(9,5,B$30:B$34)</f>
        <v>4618750</v>
      </c>
      <c r="C35" s="81">
        <f t="shared" ref="C35:D35" si="5">_xlfn.AGGREGATE(9,5,C$30:C$34)</f>
        <v>-1908207.2999999998</v>
      </c>
      <c r="D35" s="81">
        <f t="shared" si="5"/>
        <v>-3382042.7</v>
      </c>
      <c r="E35" s="48"/>
      <c r="F35" s="48"/>
      <c r="G35" s="48"/>
      <c r="H35" s="48"/>
      <c r="I35" s="48"/>
    </row>
    <row r="36" spans="1:9" ht="15.65" x14ac:dyDescent="0.25">
      <c r="A36" s="48"/>
      <c r="B36" s="48"/>
      <c r="C36" s="48"/>
      <c r="D36" s="48"/>
      <c r="E36" s="48"/>
      <c r="F36" s="48"/>
      <c r="G36" s="48"/>
      <c r="H36" s="48"/>
      <c r="I36" s="48"/>
    </row>
    <row r="37" spans="1:9" ht="15.65" x14ac:dyDescent="0.25">
      <c r="A37" s="86" t="s">
        <v>4</v>
      </c>
      <c r="B37" s="51">
        <f>NPV($B$20,$C$35:$D$35)+$B$35</f>
        <v>-110732.58742708154</v>
      </c>
      <c r="C37" s="48"/>
      <c r="D37" s="48"/>
      <c r="E37" s="48"/>
      <c r="F37" s="48"/>
      <c r="G37" s="48"/>
      <c r="H37" s="48"/>
      <c r="I37" s="48"/>
    </row>
    <row r="38" spans="1:9" ht="15.65" x14ac:dyDescent="0.25">
      <c r="A38" s="48"/>
      <c r="B38" s="48"/>
      <c r="C38" s="48"/>
      <c r="D38" s="48"/>
      <c r="E38" s="48"/>
      <c r="F38" s="48"/>
      <c r="G38" s="48"/>
      <c r="H38" s="48"/>
      <c r="I38" s="48"/>
    </row>
    <row r="39" spans="1:9" ht="15.65" x14ac:dyDescent="0.25">
      <c r="A39" s="46" t="s">
        <v>122</v>
      </c>
      <c r="B39" s="51">
        <f>B23+PV(B6,1,,-B23)</f>
        <v>3595183.4862385318</v>
      </c>
      <c r="C39" s="48"/>
      <c r="D39" s="48"/>
      <c r="E39" s="48"/>
      <c r="F39" s="48"/>
      <c r="G39" s="48"/>
      <c r="H39" s="48"/>
      <c r="I39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1. &amp; 2. &amp; 3. &amp; 4. &amp; 5. &amp; .6</vt:lpstr>
      <vt:lpstr>7.</vt:lpstr>
      <vt:lpstr>8.</vt:lpstr>
      <vt:lpstr>9. &amp; 10 &amp; 11. &amp; 12. &amp; 13.</vt:lpstr>
      <vt:lpstr>14.</vt:lpstr>
      <vt:lpstr>15.</vt:lpstr>
      <vt:lpstr>16.</vt:lpstr>
      <vt:lpstr>17.</vt:lpstr>
      <vt:lpstr>18.</vt:lpstr>
      <vt:lpstr>THE DECISION TO LEASE OR BUY AT</vt:lpstr>
      <vt:lpstr>Aftertax_debt_cost</vt:lpstr>
      <vt:lpstr>OCF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BusinessLearn365</cp:lastModifiedBy>
  <dcterms:created xsi:type="dcterms:W3CDTF">2022-03-19T07:16:34Z</dcterms:created>
  <dcterms:modified xsi:type="dcterms:W3CDTF">2023-03-27T16:07:45Z</dcterms:modified>
</cp:coreProperties>
</file>