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B24E76A3-D1A6-418D-8ED7-A88F108238B5}" xr6:coauthVersionLast="47" xr6:coauthVersionMax="47" xr10:uidLastSave="{00000000-0000-0000-0000-000000000000}"/>
  <bookViews>
    <workbookView xWindow="-109" yWindow="-109" windowWidth="18775" windowHeight="10651" firstSheet="14" activeTab="25" xr2:uid="{E0EEC181-8DEE-4912-AF66-1722FA584EB6}"/>
  </bookViews>
  <sheets>
    <sheet name="1." sheetId="1" r:id="rId1"/>
    <sheet name="3." sheetId="2" r:id="rId2"/>
    <sheet name="4." sheetId="3" r:id="rId3"/>
    <sheet name="5." sheetId="5" r:id="rId4"/>
    <sheet name="6." sheetId="4" r:id="rId5"/>
    <sheet name="7." sheetId="7" r:id="rId6"/>
    <sheet name="8." sheetId="6" r:id="rId7"/>
    <sheet name="9." sheetId="9" r:id="rId8"/>
    <sheet name="10." sheetId="8" r:id="rId9"/>
    <sheet name="11." sheetId="10" r:id="rId10"/>
    <sheet name="12." sheetId="11" r:id="rId11"/>
    <sheet name="13. &amp; 14." sheetId="12" r:id="rId12"/>
    <sheet name="15." sheetId="13" r:id="rId13"/>
    <sheet name="16. &amp; 17." sheetId="14" r:id="rId14"/>
    <sheet name="21. &amp; 22." sheetId="15" r:id="rId15"/>
    <sheet name="23." sheetId="16" r:id="rId16"/>
    <sheet name="24." sheetId="17" r:id="rId17"/>
    <sheet name="25." sheetId="18" r:id="rId18"/>
    <sheet name="26." sheetId="19" r:id="rId19"/>
    <sheet name="27." sheetId="21" r:id="rId20"/>
    <sheet name="28." sheetId="20" r:id="rId21"/>
    <sheet name="29." sheetId="22" r:id="rId22"/>
    <sheet name="30." sheetId="23" r:id="rId23"/>
    <sheet name="31." sheetId="25" r:id="rId24"/>
    <sheet name="32." sheetId="26" r:id="rId25"/>
    <sheet name="33. &amp; 34." sheetId="27" r:id="rId2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4" l="1"/>
  <c r="C14" i="14"/>
  <c r="B3" i="3"/>
  <c r="B12" i="2"/>
  <c r="B11" i="2"/>
  <c r="B15" i="27"/>
  <c r="B14" i="27"/>
  <c r="B6" i="27"/>
  <c r="B24" i="26"/>
  <c r="B28" i="26"/>
  <c r="B30" i="26" s="1"/>
  <c r="B31" i="26"/>
  <c r="B32" i="26" s="1"/>
  <c r="B18" i="26"/>
  <c r="B16" i="26"/>
  <c r="B13" i="26"/>
  <c r="B12" i="26"/>
  <c r="B11" i="26"/>
  <c r="B9" i="26"/>
  <c r="B5" i="26"/>
  <c r="B37" i="25"/>
  <c r="B36" i="25"/>
  <c r="B33" i="25"/>
  <c r="B32" i="25"/>
  <c r="B30" i="25"/>
  <c r="B29" i="25"/>
  <c r="B25" i="25"/>
  <c r="B24" i="25"/>
  <c r="B21" i="25"/>
  <c r="B18" i="25"/>
  <c r="B9" i="25"/>
  <c r="B7" i="25"/>
  <c r="B32" i="23"/>
  <c r="B18" i="23"/>
  <c r="B31" i="23"/>
  <c r="B29" i="23"/>
  <c r="B28" i="23"/>
  <c r="B15" i="23"/>
  <c r="B14" i="23"/>
  <c r="B24" i="23"/>
  <c r="B10" i="23"/>
  <c r="B23" i="23"/>
  <c r="B26" i="23"/>
  <c r="B25" i="23"/>
  <c r="B9" i="23"/>
  <c r="B21" i="23"/>
  <c r="B7" i="23"/>
  <c r="B11" i="23"/>
  <c r="B12" i="23"/>
  <c r="B21" i="22"/>
  <c r="B19" i="22"/>
  <c r="B18" i="22"/>
  <c r="B17" i="22"/>
  <c r="B15" i="22"/>
  <c r="B14" i="22"/>
  <c r="B13" i="22"/>
  <c r="B12" i="22"/>
  <c r="B11" i="22"/>
  <c r="B10" i="22"/>
  <c r="B9" i="22"/>
  <c r="B8" i="22"/>
  <c r="B1" i="22"/>
  <c r="C19" i="20"/>
  <c r="C18" i="20"/>
  <c r="C16" i="20"/>
  <c r="C15" i="20"/>
  <c r="B12" i="20"/>
  <c r="D5" i="20"/>
  <c r="C5" i="20"/>
  <c r="B8" i="20"/>
  <c r="B9" i="20" s="1"/>
  <c r="B5" i="20"/>
  <c r="B21" i="20" s="1"/>
  <c r="B4" i="20"/>
  <c r="B6" i="21"/>
  <c r="B22" i="21"/>
  <c r="B23" i="21" s="1"/>
  <c r="D16" i="21"/>
  <c r="D15" i="21"/>
  <c r="B13" i="21"/>
  <c r="C19" i="21" s="1"/>
  <c r="B7" i="21"/>
  <c r="D8" i="21"/>
  <c r="B5" i="21"/>
  <c r="B9" i="21"/>
  <c r="B10" i="21" s="1"/>
  <c r="B6" i="19"/>
  <c r="B21" i="19"/>
  <c r="C19" i="19"/>
  <c r="C18" i="19"/>
  <c r="D15" i="19"/>
  <c r="D14" i="19"/>
  <c r="B12" i="19"/>
  <c r="B8" i="19"/>
  <c r="B9" i="19" s="1"/>
  <c r="B27" i="18"/>
  <c r="B25" i="18"/>
  <c r="B24" i="18"/>
  <c r="B22" i="18"/>
  <c r="B21" i="18"/>
  <c r="B20" i="18"/>
  <c r="B19" i="18"/>
  <c r="B8" i="18"/>
  <c r="B7" i="18"/>
  <c r="B15" i="18"/>
  <c r="B9" i="18"/>
  <c r="B10" i="18"/>
  <c r="B16" i="17"/>
  <c r="B15" i="17"/>
  <c r="B14" i="17"/>
  <c r="B13" i="17"/>
  <c r="B11" i="17"/>
  <c r="B10" i="17"/>
  <c r="B9" i="17"/>
  <c r="B8" i="17"/>
  <c r="B6" i="17"/>
  <c r="B7" i="17"/>
  <c r="B2" i="17"/>
  <c r="B1" i="17"/>
  <c r="B15" i="16"/>
  <c r="B13" i="16"/>
  <c r="B12" i="16"/>
  <c r="B10" i="16"/>
  <c r="B9" i="16"/>
  <c r="B8" i="16"/>
  <c r="B7" i="16"/>
  <c r="B32" i="15"/>
  <c r="B31" i="15"/>
  <c r="B30" i="15"/>
  <c r="B29" i="15"/>
  <c r="B26" i="15"/>
  <c r="B25" i="15"/>
  <c r="B27" i="15"/>
  <c r="B24" i="15"/>
  <c r="B23" i="15"/>
  <c r="B21" i="15"/>
  <c r="B22" i="15"/>
  <c r="B20" i="15"/>
  <c r="B13" i="15"/>
  <c r="B12" i="15"/>
  <c r="B10" i="15"/>
  <c r="B9" i="15"/>
  <c r="B8" i="15"/>
  <c r="B7" i="15"/>
  <c r="B14" i="14"/>
  <c r="B19" i="14"/>
  <c r="B18" i="14"/>
  <c r="B16" i="14"/>
  <c r="B13" i="14"/>
  <c r="B11" i="14"/>
  <c r="B10" i="14"/>
  <c r="B9" i="14"/>
  <c r="B8" i="14"/>
  <c r="B7" i="14"/>
  <c r="B19" i="13"/>
  <c r="B18" i="13"/>
  <c r="B16" i="13"/>
  <c r="B15" i="13"/>
  <c r="B8" i="13"/>
  <c r="C9" i="13"/>
  <c r="B10" i="13"/>
  <c r="B12" i="13" s="1"/>
  <c r="B13" i="13" s="1"/>
  <c r="B9" i="13"/>
  <c r="B7" i="13"/>
  <c r="E10" i="12"/>
  <c r="B3" i="12"/>
  <c r="F9" i="12" s="1"/>
  <c r="B7" i="11"/>
  <c r="B8" i="11" s="1"/>
  <c r="B9" i="11" s="1"/>
  <c r="B13" i="10"/>
  <c r="B12" i="10"/>
  <c r="B10" i="10"/>
  <c r="B9" i="10"/>
  <c r="B8" i="10"/>
  <c r="B7" i="10"/>
  <c r="B7" i="8"/>
  <c r="B8" i="8" s="1"/>
  <c r="B10" i="20" l="1"/>
  <c r="B9" i="8"/>
  <c r="B8" i="27"/>
  <c r="B11" i="25"/>
  <c r="B10" i="25"/>
  <c r="B12" i="25" s="1"/>
  <c r="B26" i="25"/>
  <c r="B27" i="25"/>
  <c r="B17" i="23"/>
  <c r="B11" i="21"/>
  <c r="C20" i="21"/>
  <c r="C10" i="19"/>
  <c r="B10" i="19"/>
  <c r="B12" i="18"/>
  <c r="B13" i="18" s="1"/>
  <c r="B5" i="12"/>
  <c r="H9" i="12" s="1"/>
  <c r="B4" i="12"/>
  <c r="B10" i="8"/>
  <c r="B12" i="8" s="1"/>
  <c r="B13" i="8" s="1"/>
  <c r="B2" i="9"/>
  <c r="B5" i="9"/>
  <c r="B3" i="9"/>
  <c r="B5" i="6"/>
  <c r="B4" i="6"/>
  <c r="B3" i="6"/>
  <c r="B2" i="6"/>
  <c r="B7" i="7"/>
  <c r="B6" i="7"/>
  <c r="B4" i="7"/>
  <c r="B6" i="4"/>
  <c r="B8" i="4"/>
  <c r="B7" i="4" s="1"/>
  <c r="B3" i="5"/>
  <c r="H2" i="5"/>
  <c r="H2" i="3"/>
  <c r="B24" i="2"/>
  <c r="B25" i="2" s="1"/>
  <c r="B21" i="2"/>
  <c r="B19" i="2"/>
  <c r="B18" i="2"/>
  <c r="B13" i="2"/>
  <c r="B14" i="2" s="1"/>
  <c r="C12" i="2"/>
  <c r="B2" i="2"/>
  <c r="B6" i="2"/>
  <c r="B5" i="2"/>
  <c r="B7" i="2" s="1"/>
  <c r="B22" i="2"/>
  <c r="B20" i="2"/>
  <c r="B8" i="2"/>
  <c r="H3" i="1"/>
  <c r="H2" i="1"/>
  <c r="F3" i="1"/>
  <c r="F2" i="1"/>
  <c r="B10" i="27" l="1"/>
  <c r="B9" i="27"/>
  <c r="B11" i="27" s="1"/>
  <c r="B14" i="25"/>
  <c r="B15" i="25" s="1"/>
  <c r="B17" i="25" s="1"/>
  <c r="B6" i="12"/>
  <c r="I9" i="12" s="1"/>
  <c r="G9" i="12"/>
  <c r="C5" i="12"/>
  <c r="C7" i="2"/>
  <c r="C8" i="2"/>
  <c r="B8" i="12" l="1"/>
  <c r="J9" i="12" s="1"/>
  <c r="B13" i="27"/>
  <c r="B9" i="12" l="1"/>
  <c r="K9" i="12" s="1"/>
</calcChain>
</file>

<file path=xl/sharedStrings.xml><?xml version="1.0" encoding="utf-8"?>
<sst xmlns="http://schemas.openxmlformats.org/spreadsheetml/2006/main" count="564" uniqueCount="198">
  <si>
    <t>T-bills</t>
  </si>
  <si>
    <t>Current price</t>
  </si>
  <si>
    <t>per share</t>
  </si>
  <si>
    <t>Price</t>
  </si>
  <si>
    <t>in one year</t>
  </si>
  <si>
    <t>Intrinsic value</t>
  </si>
  <si>
    <t>Exercise price</t>
  </si>
  <si>
    <t>Value Call Option</t>
  </si>
  <si>
    <t>Value Put Option</t>
  </si>
  <si>
    <t>Total cost</t>
  </si>
  <si>
    <t>S(t1)</t>
  </si>
  <si>
    <t>Case_1</t>
  </si>
  <si>
    <t>Case_2</t>
  </si>
  <si>
    <t>Spot price at maturity</t>
  </si>
  <si>
    <t>PayoffNet_1</t>
  </si>
  <si>
    <t>PayoffNet_2</t>
  </si>
  <si>
    <t>Maximum gain</t>
  </si>
  <si>
    <t>Profit</t>
  </si>
  <si>
    <t>Total profit</t>
  </si>
  <si>
    <t>Total profit_1</t>
  </si>
  <si>
    <t>to writter time 0</t>
  </si>
  <si>
    <t>Profit_1</t>
  </si>
  <si>
    <t>Profit_2</t>
  </si>
  <si>
    <t>Total profit_2</t>
  </si>
  <si>
    <t>Buyer doesn't execute his right to sell</t>
  </si>
  <si>
    <t>Buyer does</t>
  </si>
  <si>
    <t>Break-even price</t>
  </si>
  <si>
    <t>Confirm</t>
  </si>
  <si>
    <t>Option and NY Close</t>
  </si>
  <si>
    <t>Expiration</t>
  </si>
  <si>
    <t>Strike Price</t>
  </si>
  <si>
    <t>          Calls          </t>
  </si>
  <si>
    <t>         Puts         </t>
  </si>
  <si>
    <t>Vol.</t>
  </si>
  <si>
    <t>Last</t>
  </si>
  <si>
    <t>Macrosoft</t>
  </si>
  <si>
    <t>February</t>
  </si>
  <si>
    <t>March</t>
  </si>
  <si>
    <t>May</t>
  </si>
  <si>
    <t>August</t>
  </si>
  <si>
    <t>Call</t>
  </si>
  <si>
    <t xml:space="preserve">Call_exercise price </t>
  </si>
  <si>
    <t>Call_price</t>
  </si>
  <si>
    <t>NPER</t>
  </si>
  <si>
    <t>Months</t>
  </si>
  <si>
    <t>risk-free rate</t>
  </si>
  <si>
    <t>compounded continuously</t>
  </si>
  <si>
    <t>Put-Call Parity</t>
  </si>
  <si>
    <t xml:space="preserve">Put_exercise price </t>
  </si>
  <si>
    <t>Put_price</t>
  </si>
  <si>
    <t>FV_Call</t>
  </si>
  <si>
    <t>FV_Putt</t>
  </si>
  <si>
    <t>Call_Price</t>
  </si>
  <si>
    <t>risk-free</t>
  </si>
  <si>
    <t>FV_Put</t>
  </si>
  <si>
    <t xml:space="preserve">Stock price </t>
  </si>
  <si>
    <t xml:space="preserve">Exercise price </t>
  </si>
  <si>
    <t xml:space="preserve">Risk-free rate </t>
  </si>
  <si>
    <t xml:space="preserve">Maturity </t>
  </si>
  <si>
    <t xml:space="preserve">Standard deviation </t>
  </si>
  <si>
    <t xml:space="preserve"> per year, compounded continuously</t>
  </si>
  <si>
    <t xml:space="preserve"> per year</t>
  </si>
  <si>
    <t>months</t>
  </si>
  <si>
    <t>d(1)</t>
  </si>
  <si>
    <t>d(2)</t>
  </si>
  <si>
    <t>N(d1)</t>
  </si>
  <si>
    <t>N(d2)</t>
  </si>
  <si>
    <t>Call price</t>
  </si>
  <si>
    <t>Put price</t>
  </si>
  <si>
    <t>d1</t>
  </si>
  <si>
    <t>d2</t>
  </si>
  <si>
    <t>Call delta</t>
  </si>
  <si>
    <t>Put delta</t>
  </si>
  <si>
    <t>Asset price</t>
  </si>
  <si>
    <t>Market value</t>
  </si>
  <si>
    <t>Growth rate</t>
  </si>
  <si>
    <t>Over the past five years</t>
  </si>
  <si>
    <t>σ</t>
  </si>
  <si>
    <t>per year</t>
  </si>
  <si>
    <t>Call intrinsic value</t>
  </si>
  <si>
    <t>Put intrinsic value</t>
  </si>
  <si>
    <t>Call option value</t>
  </si>
  <si>
    <t>Put option value</t>
  </si>
  <si>
    <t>(+;-)next year</t>
  </si>
  <si>
    <t>Strike price_call</t>
  </si>
  <si>
    <t>case 1</t>
  </si>
  <si>
    <t>case 2</t>
  </si>
  <si>
    <t>Payoff if stock price increases</t>
  </si>
  <si>
    <t>Payoff if stock price decreases</t>
  </si>
  <si>
    <t>Risk-free rate</t>
  </si>
  <si>
    <t>ProbabilityRise</t>
  </si>
  <si>
    <t>ProbabilityFall</t>
  </si>
  <si>
    <t>Risk neutral value of a call option</t>
  </si>
  <si>
    <t>zero coupon</t>
  </si>
  <si>
    <t>Face value_Bond</t>
  </si>
  <si>
    <t>Assets</t>
  </si>
  <si>
    <t>current market value</t>
  </si>
  <si>
    <t>on assets per year</t>
  </si>
  <si>
    <t>Equity</t>
  </si>
  <si>
    <t>Debt</t>
  </si>
  <si>
    <t>MV</t>
  </si>
  <si>
    <t>NPV_A</t>
  </si>
  <si>
    <t>NPV_B</t>
  </si>
  <si>
    <t>σ_IncreaseA</t>
  </si>
  <si>
    <t>σ_DecreaseB</t>
  </si>
  <si>
    <t>d1_A</t>
  </si>
  <si>
    <t>d1_B</t>
  </si>
  <si>
    <t>d2_A</t>
  </si>
  <si>
    <t>d2_B</t>
  </si>
  <si>
    <t>N(d1)_A</t>
  </si>
  <si>
    <t>N(d2)_A</t>
  </si>
  <si>
    <t>N(d1)_B</t>
  </si>
  <si>
    <t>N(d2)_B</t>
  </si>
  <si>
    <t>Equity_A</t>
  </si>
  <si>
    <t>Debt_A</t>
  </si>
  <si>
    <t>Equity_B</t>
  </si>
  <si>
    <t>Debt_B</t>
  </si>
  <si>
    <t>Cost of debt</t>
  </si>
  <si>
    <t>return on assets</t>
  </si>
  <si>
    <t>Stock price</t>
  </si>
  <si>
    <t>Execute price</t>
  </si>
  <si>
    <t>Equity value change</t>
  </si>
  <si>
    <t>Debt value change</t>
  </si>
  <si>
    <t>current value</t>
  </si>
  <si>
    <t>on ROA</t>
  </si>
  <si>
    <t>NPV</t>
  </si>
  <si>
    <t>Strike price</t>
  </si>
  <si>
    <t>S(t0)</t>
  </si>
  <si>
    <t>case #1</t>
  </si>
  <si>
    <t>case #2</t>
  </si>
  <si>
    <t>EAR</t>
  </si>
  <si>
    <t>borrow and lend at the risk-free</t>
  </si>
  <si>
    <t>European call option</t>
  </si>
  <si>
    <t>Expected payoff at expiration</t>
  </si>
  <si>
    <t>PV(Expected payoff at expiration)</t>
  </si>
  <si>
    <t>Delta</t>
  </si>
  <si>
    <t>Call Option</t>
  </si>
  <si>
    <t>If the stock price rises to $73</t>
  </si>
  <si>
    <t>If the stock price falls to $49</t>
  </si>
  <si>
    <t xml:space="preserve">If the stock price rises to </t>
  </si>
  <si>
    <t xml:space="preserve">If the stock price falls to </t>
  </si>
  <si>
    <t>Delta Shares</t>
  </si>
  <si>
    <t xml:space="preserve"> Payoff </t>
  </si>
  <si>
    <t>Cost of synthetic option</t>
  </si>
  <si>
    <t>European put option</t>
  </si>
  <si>
    <t>over the next six months</t>
  </si>
  <si>
    <t>Amount to lend</t>
  </si>
  <si>
    <t>CurrentPriceGold</t>
  </si>
  <si>
    <t>per ounce</t>
  </si>
  <si>
    <t>case 1#</t>
  </si>
  <si>
    <t>case 2#</t>
  </si>
  <si>
    <t>If the price of gold rises to $1,445</t>
  </si>
  <si>
    <t>If the price of gold falls to $1,130</t>
  </si>
  <si>
    <t>Payoff</t>
  </si>
  <si>
    <t>Put_strike price</t>
  </si>
  <si>
    <t>Buy</t>
  </si>
  <si>
    <t>Call_strike price</t>
  </si>
  <si>
    <t>Write</t>
  </si>
  <si>
    <t>CurrentPrice</t>
  </si>
  <si>
    <t>can borrow and lend at the continuously compounded</t>
  </si>
  <si>
    <t>per year on return of stock</t>
  </si>
  <si>
    <t>d1_Call</t>
  </si>
  <si>
    <t>d1_Put</t>
  </si>
  <si>
    <t>d2_Call</t>
  </si>
  <si>
    <t>d2_Put</t>
  </si>
  <si>
    <t>N(d1)_Call</t>
  </si>
  <si>
    <t>N(d1)_Put</t>
  </si>
  <si>
    <t>N(d2)_Call</t>
  </si>
  <si>
    <t>N(d2)_Put</t>
  </si>
  <si>
    <t>Put-call parity</t>
  </si>
  <si>
    <t>Total cost of collar</t>
  </si>
  <si>
    <t>Bond</t>
  </si>
  <si>
    <t>par value</t>
  </si>
  <si>
    <t>per year on ROA</t>
  </si>
  <si>
    <t xml:space="preserve">risk-free rate </t>
  </si>
  <si>
    <t>PV</t>
  </si>
  <si>
    <t>Value of risky bond</t>
  </si>
  <si>
    <t>value of debt MV</t>
  </si>
  <si>
    <t>Return on debt</t>
  </si>
  <si>
    <t>continuously compounded</t>
  </si>
  <si>
    <t>From c and d, bondholders lose:</t>
  </si>
  <si>
    <t>From b and d, stockholders gain:</t>
  </si>
  <si>
    <t>#case 1</t>
  </si>
  <si>
    <t>#case 2</t>
  </si>
  <si>
    <t>value of the firm</t>
  </si>
  <si>
    <t>CurrentValueOfCompany</t>
  </si>
  <si>
    <t xml:space="preserve">FaceValueOfBonds </t>
  </si>
  <si>
    <t>Treasury bills</t>
  </si>
  <si>
    <t>CurrentValueOfEquity</t>
  </si>
  <si>
    <t>CurrentValueOfDebt</t>
  </si>
  <si>
    <t>Stock outstanding</t>
  </si>
  <si>
    <t xml:space="preserve">per year </t>
  </si>
  <si>
    <t>Dividend yield</t>
  </si>
  <si>
    <t>X1</t>
  </si>
  <si>
    <t>X2</t>
  </si>
  <si>
    <t>Put_Price</t>
  </si>
  <si>
    <t>If the stock price rises to $67</t>
  </si>
  <si>
    <t>If the stock price falls to $48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</si>
</sst>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164" formatCode="0.0%"/>
    <numFmt numFmtId="165" formatCode="&quot;$&quot;#,##0.0_);[Red]\(&quot;$&quot;#,##0.0\)"/>
    <numFmt numFmtId="166" formatCode="0.0"/>
    <numFmt numFmtId="167" formatCode="0.0000"/>
    <numFmt numFmtId="168" formatCode="0.000"/>
    <numFmt numFmtId="169" formatCode="0.000%"/>
    <numFmt numFmtId="170" formatCode="&quot;$&quot;#,##0"/>
  </numFmts>
  <fonts count="7" x14ac:knownFonts="1">
    <font>
      <sz val="12"/>
      <color theme="1"/>
      <name val="Arial Narrow"/>
      <family val="2"/>
    </font>
    <font>
      <b/>
      <sz val="12"/>
      <color indexed="9"/>
      <name val="Arial Narrow"/>
      <family val="2"/>
    </font>
    <font>
      <b/>
      <u/>
      <sz val="12"/>
      <color indexed="9"/>
      <name val="Arial Narrow"/>
      <family val="2"/>
    </font>
    <font>
      <sz val="12"/>
      <name val="Arial Narrow"/>
      <family val="2"/>
    </font>
    <font>
      <sz val="12"/>
      <color indexed="63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5622A"/>
        <bgColor indexed="64"/>
      </patternFill>
    </fill>
    <fill>
      <patternFill patternType="solid">
        <fgColor rgb="FFFFF0D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164" fontId="0" fillId="0" borderId="1" xfId="0" applyNumberFormat="1" applyBorder="1"/>
    <xf numFmtId="6" fontId="0" fillId="0" borderId="1" xfId="0" applyNumberFormat="1" applyBorder="1" applyAlignment="1">
      <alignment horizontal="center"/>
    </xf>
    <xf numFmtId="8" fontId="0" fillId="0" borderId="0" xfId="0" applyNumberFormat="1"/>
    <xf numFmtId="6" fontId="0" fillId="0" borderId="0" xfId="0" applyNumberFormat="1"/>
    <xf numFmtId="8" fontId="0" fillId="0" borderId="0" xfId="0" applyNumberFormat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6" fontId="0" fillId="0" borderId="1" xfId="0" applyNumberFormat="1" applyBorder="1" applyAlignment="1"/>
    <xf numFmtId="8" fontId="0" fillId="0" borderId="1" xfId="0" applyNumberFormat="1" applyBorder="1" applyAlignment="1"/>
    <xf numFmtId="2" fontId="0" fillId="0" borderId="1" xfId="0" applyNumberFormat="1" applyBorder="1"/>
    <xf numFmtId="166" fontId="0" fillId="0" borderId="1" xfId="0" applyNumberFormat="1" applyBorder="1"/>
    <xf numFmtId="8" fontId="0" fillId="0" borderId="10" xfId="0" applyNumberFormat="1" applyBorder="1"/>
    <xf numFmtId="8" fontId="0" fillId="0" borderId="0" xfId="0" applyNumberFormat="1" applyBorder="1"/>
    <xf numFmtId="167" fontId="0" fillId="0" borderId="1" xfId="0" applyNumberFormat="1" applyBorder="1"/>
    <xf numFmtId="10" fontId="0" fillId="0" borderId="1" xfId="0" applyNumberFormat="1" applyBorder="1"/>
    <xf numFmtId="167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3" fontId="0" fillId="0" borderId="1" xfId="0" applyNumberFormat="1" applyBorder="1"/>
    <xf numFmtId="10" fontId="0" fillId="0" borderId="0" xfId="0" applyNumberFormat="1"/>
    <xf numFmtId="0" fontId="5" fillId="0" borderId="1" xfId="0" applyFont="1" applyBorder="1"/>
    <xf numFmtId="0" fontId="0" fillId="0" borderId="1" xfId="0" applyNumberFormat="1" applyBorder="1"/>
    <xf numFmtId="0" fontId="5" fillId="0" borderId="11" xfId="0" applyFont="1" applyBorder="1"/>
    <xf numFmtId="168" fontId="0" fillId="0" borderId="0" xfId="0" applyNumberFormat="1"/>
    <xf numFmtId="169" fontId="0" fillId="0" borderId="0" xfId="0" applyNumberFormat="1"/>
    <xf numFmtId="0" fontId="0" fillId="0" borderId="0" xfId="0" applyBorder="1"/>
    <xf numFmtId="0" fontId="0" fillId="0" borderId="1" xfId="0" applyFill="1" applyBorder="1"/>
    <xf numFmtId="0" fontId="1" fillId="2" borderId="2" xfId="1" applyFont="1" applyFill="1" applyBorder="1" applyAlignment="1">
      <alignment vertical="top"/>
    </xf>
    <xf numFmtId="0" fontId="2" fillId="2" borderId="3" xfId="1" applyFont="1" applyFill="1" applyBorder="1" applyAlignment="1">
      <alignment horizontal="centerContinuous" vertical="top"/>
    </xf>
    <xf numFmtId="0" fontId="3" fillId="2" borderId="4" xfId="1" applyFont="1" applyFill="1" applyBorder="1" applyAlignment="1">
      <alignment horizontal="centerContinuous" vertical="top"/>
    </xf>
    <xf numFmtId="0" fontId="1" fillId="2" borderId="5" xfId="1" applyFont="1" applyFill="1" applyBorder="1" applyAlignment="1">
      <alignment vertical="top"/>
    </xf>
    <xf numFmtId="0" fontId="1" fillId="2" borderId="0" xfId="1" applyFont="1" applyFill="1" applyAlignment="1">
      <alignment horizontal="center" vertical="top"/>
    </xf>
    <xf numFmtId="0" fontId="1" fillId="2" borderId="0" xfId="1" applyFont="1" applyFill="1" applyAlignment="1">
      <alignment horizontal="center" vertical="top" wrapText="1"/>
    </xf>
    <xf numFmtId="0" fontId="1" fillId="2" borderId="6" xfId="1" applyFont="1" applyFill="1" applyBorder="1" applyAlignment="1">
      <alignment horizontal="center" vertical="top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0" xfId="1" applyFont="1" applyFill="1" applyAlignment="1">
      <alignment horizontal="left" vertical="center" wrapText="1" indent="3"/>
    </xf>
    <xf numFmtId="6" fontId="4" fillId="3" borderId="0" xfId="1" applyNumberFormat="1" applyFont="1" applyFill="1" applyAlignment="1">
      <alignment horizontal="left" vertical="center" indent="2" shrinkToFit="1"/>
    </xf>
    <xf numFmtId="1" fontId="4" fillId="3" borderId="0" xfId="1" applyNumberFormat="1" applyFont="1" applyFill="1" applyAlignment="1">
      <alignment horizontal="center" vertical="center" shrinkToFit="1"/>
    </xf>
    <xf numFmtId="8" fontId="4" fillId="3" borderId="0" xfId="1" applyNumberFormat="1" applyFont="1" applyFill="1" applyAlignment="1">
      <alignment horizontal="center" vertical="center" shrinkToFit="1"/>
    </xf>
    <xf numFmtId="8" fontId="4" fillId="3" borderId="6" xfId="1" applyNumberFormat="1" applyFont="1" applyFill="1" applyBorder="1" applyAlignment="1">
      <alignment horizontal="center" vertical="center" shrinkToFit="1"/>
    </xf>
    <xf numFmtId="0" fontId="3" fillId="3" borderId="5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vertical="top" wrapText="1" indent="3"/>
    </xf>
    <xf numFmtId="6" fontId="4" fillId="3" borderId="0" xfId="1" applyNumberFormat="1" applyFont="1" applyFill="1" applyAlignment="1">
      <alignment horizontal="left" vertical="top" indent="2" shrinkToFit="1"/>
    </xf>
    <xf numFmtId="1" fontId="4" fillId="3" borderId="0" xfId="1" applyNumberFormat="1" applyFont="1" applyFill="1" applyAlignment="1">
      <alignment horizontal="center" vertical="top" shrinkToFit="1"/>
    </xf>
    <xf numFmtId="8" fontId="4" fillId="3" borderId="0" xfId="1" applyNumberFormat="1" applyFont="1" applyFill="1" applyAlignment="1">
      <alignment horizontal="center" vertical="top" shrinkToFit="1"/>
    </xf>
    <xf numFmtId="8" fontId="4" fillId="3" borderId="6" xfId="1" applyNumberFormat="1" applyFont="1" applyFill="1" applyBorder="1" applyAlignment="1">
      <alignment horizontal="center" vertical="top" shrinkToFit="1"/>
    </xf>
    <xf numFmtId="0" fontId="3" fillId="3" borderId="5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4" fillId="3" borderId="8" xfId="1" applyFont="1" applyFill="1" applyBorder="1" applyAlignment="1">
      <alignment horizontal="left" vertical="top" wrapText="1" indent="3"/>
    </xf>
    <xf numFmtId="6" fontId="4" fillId="3" borderId="8" xfId="1" applyNumberFormat="1" applyFont="1" applyFill="1" applyBorder="1" applyAlignment="1">
      <alignment horizontal="left" vertical="top" indent="2" shrinkToFit="1"/>
    </xf>
    <xf numFmtId="1" fontId="4" fillId="3" borderId="8" xfId="1" applyNumberFormat="1" applyFont="1" applyFill="1" applyBorder="1" applyAlignment="1">
      <alignment horizontal="center" vertical="top" shrinkToFit="1"/>
    </xf>
    <xf numFmtId="8" fontId="4" fillId="3" borderId="8" xfId="1" applyNumberFormat="1" applyFont="1" applyFill="1" applyBorder="1" applyAlignment="1">
      <alignment horizontal="center" vertical="top" shrinkToFit="1"/>
    </xf>
    <xf numFmtId="8" fontId="4" fillId="3" borderId="9" xfId="1" applyNumberFormat="1" applyFont="1" applyFill="1" applyBorder="1" applyAlignment="1">
      <alignment horizontal="center" vertical="top" shrinkToFi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vertical="center" wrapText="1"/>
    </xf>
    <xf numFmtId="170" fontId="6" fillId="0" borderId="1" xfId="1" applyNumberFormat="1" applyBorder="1"/>
    <xf numFmtId="0" fontId="6" fillId="0" borderId="1" xfId="1" applyBorder="1" applyAlignment="1">
      <alignment horizontal="center"/>
    </xf>
    <xf numFmtId="0" fontId="6" fillId="0" borderId="0" xfId="1" applyAlignment="1">
      <alignment horizontal="center"/>
    </xf>
    <xf numFmtId="167" fontId="6" fillId="0" borderId="1" xfId="1" applyNumberFormat="1" applyBorder="1" applyAlignment="1">
      <alignment horizontal="center"/>
    </xf>
    <xf numFmtId="8" fontId="6" fillId="0" borderId="1" xfId="1" applyNumberFormat="1" applyBorder="1" applyAlignment="1">
      <alignment horizontal="center"/>
    </xf>
    <xf numFmtId="6" fontId="6" fillId="0" borderId="0" xfId="1" applyNumberFormat="1" applyAlignment="1">
      <alignment horizontal="center"/>
    </xf>
    <xf numFmtId="167" fontId="6" fillId="0" borderId="0" xfId="1" applyNumberFormat="1"/>
    <xf numFmtId="8" fontId="6" fillId="0" borderId="0" xfId="1" applyNumberFormat="1"/>
    <xf numFmtId="8" fontId="6" fillId="0" borderId="1" xfId="1" applyNumberFormat="1" applyBorder="1"/>
    <xf numFmtId="169" fontId="0" fillId="0" borderId="1" xfId="0" applyNumberFormat="1" applyBorder="1"/>
    <xf numFmtId="0" fontId="6" fillId="0" borderId="0" xfId="1"/>
    <xf numFmtId="0" fontId="1" fillId="2" borderId="3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66400F3F-6CAA-4CDA-9479-C1DB0F73F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5C5C-1BF8-4D1D-89EF-D72107EC03F5}">
  <dimension ref="A1:H4"/>
  <sheetViews>
    <sheetView showGridLines="0" zoomScale="160" zoomScaleNormal="160" workbookViewId="0">
      <selection activeCell="A3" sqref="A3"/>
    </sheetView>
  </sheetViews>
  <sheetFormatPr defaultRowHeight="15.65" x14ac:dyDescent="0.25"/>
  <cols>
    <col min="1" max="1" width="12.125" bestFit="1" customWidth="1"/>
    <col min="2" max="2" width="6.125" bestFit="1" customWidth="1"/>
    <col min="5" max="5" width="12.5" bestFit="1" customWidth="1"/>
    <col min="6" max="6" width="15.25" bestFit="1" customWidth="1"/>
    <col min="7" max="7" width="14.875" bestFit="1" customWidth="1"/>
    <col min="8" max="8" width="12.125" bestFit="1" customWidth="1"/>
  </cols>
  <sheetData>
    <row r="1" spans="1:8" x14ac:dyDescent="0.25">
      <c r="A1" s="1" t="s">
        <v>0</v>
      </c>
      <c r="B1" s="4">
        <v>3.4000000000000002E-2</v>
      </c>
      <c r="E1" s="1" t="s">
        <v>6</v>
      </c>
      <c r="F1" s="1" t="s">
        <v>7</v>
      </c>
      <c r="G1" s="1" t="s">
        <v>8</v>
      </c>
      <c r="H1" s="1" t="s">
        <v>5</v>
      </c>
    </row>
    <row r="2" spans="1:8" x14ac:dyDescent="0.25">
      <c r="A2" s="1" t="s">
        <v>1</v>
      </c>
      <c r="B2" s="3">
        <v>74</v>
      </c>
      <c r="C2" t="s">
        <v>2</v>
      </c>
      <c r="E2" s="5">
        <v>70</v>
      </c>
      <c r="F2" s="2">
        <f>$B$2-PV($B$1,1,,-$E2)</f>
        <v>6.3017408123791085</v>
      </c>
      <c r="G2" s="1"/>
      <c r="H2" s="3">
        <f>$B$2-$E2</f>
        <v>4</v>
      </c>
    </row>
    <row r="3" spans="1:8" x14ac:dyDescent="0.25">
      <c r="A3" s="1" t="s">
        <v>3</v>
      </c>
      <c r="B3" s="3">
        <v>71</v>
      </c>
      <c r="C3" t="s">
        <v>4</v>
      </c>
      <c r="E3" s="5">
        <v>60</v>
      </c>
      <c r="F3" s="2">
        <f>$B$2-PV($B$1,1,,-$E3)</f>
        <v>15.972920696324955</v>
      </c>
      <c r="G3" s="1"/>
      <c r="H3" s="3">
        <f>$B$2-$E3</f>
        <v>14</v>
      </c>
    </row>
    <row r="4" spans="1:8" x14ac:dyDescent="0.25">
      <c r="E4" s="5">
        <v>70</v>
      </c>
      <c r="F4" s="1"/>
      <c r="G4" s="1">
        <v>0</v>
      </c>
      <c r="H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324B-7FF0-4831-A2F6-60DE7182C41E}">
  <dimension ref="A1:L25"/>
  <sheetViews>
    <sheetView showGridLines="0" topLeftCell="A14" zoomScale="160" zoomScaleNormal="160" workbookViewId="0">
      <selection activeCell="C18" sqref="C18"/>
    </sheetView>
  </sheetViews>
  <sheetFormatPr defaultRowHeight="15.65" x14ac:dyDescent="0.25"/>
  <cols>
    <col min="1" max="1" width="14.875" bestFit="1" customWidth="1"/>
    <col min="2" max="2" width="11.75" bestFit="1" customWidth="1"/>
    <col min="3" max="3" width="10.625" customWidth="1"/>
    <col min="6" max="6" width="19.5" bestFit="1" customWidth="1"/>
    <col min="7" max="7" width="12.625" bestFit="1" customWidth="1"/>
    <col min="8" max="8" width="11" bestFit="1" customWidth="1"/>
    <col min="9" max="9" width="4.25" bestFit="1" customWidth="1"/>
    <col min="10" max="10" width="7.125" bestFit="1" customWidth="1"/>
    <col min="11" max="11" width="4.25" bestFit="1" customWidth="1"/>
    <col min="12" max="12" width="6.125" bestFit="1" customWidth="1"/>
  </cols>
  <sheetData>
    <row r="1" spans="1:12" ht="15.65" customHeight="1" x14ac:dyDescent="0.25">
      <c r="A1" s="1" t="s">
        <v>1</v>
      </c>
      <c r="B1" s="3">
        <v>114</v>
      </c>
      <c r="C1" t="s">
        <v>2</v>
      </c>
      <c r="F1" s="32" t="s">
        <v>28</v>
      </c>
      <c r="G1" s="58" t="s">
        <v>29</v>
      </c>
      <c r="H1" s="71" t="s">
        <v>30</v>
      </c>
      <c r="I1" s="33" t="s">
        <v>31</v>
      </c>
      <c r="J1" s="33"/>
      <c r="K1" s="33" t="s">
        <v>32</v>
      </c>
      <c r="L1" s="34"/>
    </row>
    <row r="2" spans="1:12" x14ac:dyDescent="0.25">
      <c r="A2" s="1" t="s">
        <v>9</v>
      </c>
      <c r="B2" s="3">
        <f>(10*100)*$J$3</f>
        <v>7600</v>
      </c>
      <c r="F2" s="35"/>
      <c r="G2" s="59"/>
      <c r="H2" s="72"/>
      <c r="I2" s="36" t="s">
        <v>33</v>
      </c>
      <c r="J2" s="37" t="s">
        <v>34</v>
      </c>
      <c r="K2" s="36" t="s">
        <v>33</v>
      </c>
      <c r="L2" s="38" t="s">
        <v>34</v>
      </c>
    </row>
    <row r="3" spans="1:12" x14ac:dyDescent="0.25">
      <c r="A3" s="1" t="s">
        <v>10</v>
      </c>
      <c r="B3" s="3">
        <v>140</v>
      </c>
      <c r="C3" t="s">
        <v>13</v>
      </c>
      <c r="F3" s="39" t="s">
        <v>35</v>
      </c>
      <c r="G3" s="40" t="s">
        <v>36</v>
      </c>
      <c r="H3" s="41">
        <v>110</v>
      </c>
      <c r="I3" s="42">
        <v>85</v>
      </c>
      <c r="J3" s="43">
        <v>7.6</v>
      </c>
      <c r="K3" s="42">
        <v>40</v>
      </c>
      <c r="L3" s="44">
        <v>0.6</v>
      </c>
    </row>
    <row r="4" spans="1:12" x14ac:dyDescent="0.25">
      <c r="A4" s="1" t="s">
        <v>10</v>
      </c>
      <c r="B4" s="3">
        <v>125</v>
      </c>
      <c r="C4" t="s">
        <v>13</v>
      </c>
      <c r="F4" s="45"/>
      <c r="G4" s="46" t="s">
        <v>37</v>
      </c>
      <c r="H4" s="47">
        <v>110</v>
      </c>
      <c r="I4" s="48">
        <v>61</v>
      </c>
      <c r="J4" s="49">
        <v>8.8000000000000007</v>
      </c>
      <c r="K4" s="48">
        <v>22</v>
      </c>
      <c r="L4" s="50">
        <v>1.55</v>
      </c>
    </row>
    <row r="5" spans="1:12" x14ac:dyDescent="0.25">
      <c r="A5" s="1" t="s">
        <v>11</v>
      </c>
      <c r="B5" s="2">
        <f>MAX(B3-$H$3,0)-$J$3</f>
        <v>22.4</v>
      </c>
      <c r="C5" t="s">
        <v>2</v>
      </c>
      <c r="F5" s="51"/>
      <c r="G5" s="46" t="s">
        <v>38</v>
      </c>
      <c r="H5" s="47">
        <v>110</v>
      </c>
      <c r="I5" s="48">
        <v>22</v>
      </c>
      <c r="J5" s="49">
        <v>10.25</v>
      </c>
      <c r="K5" s="48">
        <v>11</v>
      </c>
      <c r="L5" s="50">
        <v>2.85</v>
      </c>
    </row>
    <row r="6" spans="1:12" x14ac:dyDescent="0.25">
      <c r="A6" s="1" t="s">
        <v>12</v>
      </c>
      <c r="B6" s="2">
        <f>MAX(B4-$H$3,0)-$J$3</f>
        <v>7.4</v>
      </c>
      <c r="C6" t="s">
        <v>2</v>
      </c>
      <c r="F6" s="52"/>
      <c r="G6" s="53" t="s">
        <v>39</v>
      </c>
      <c r="H6" s="54">
        <v>110</v>
      </c>
      <c r="I6" s="55">
        <v>3</v>
      </c>
      <c r="J6" s="56">
        <v>13.05</v>
      </c>
      <c r="K6" s="55">
        <v>3</v>
      </c>
      <c r="L6" s="57">
        <v>4.7</v>
      </c>
    </row>
    <row r="7" spans="1:12" x14ac:dyDescent="0.25">
      <c r="A7" s="1" t="s">
        <v>14</v>
      </c>
      <c r="B7" s="3">
        <f>1000*B5</f>
        <v>22400</v>
      </c>
      <c r="C7" s="7">
        <f>B7+B2</f>
        <v>30000</v>
      </c>
    </row>
    <row r="8" spans="1:12" x14ac:dyDescent="0.25">
      <c r="A8" s="1" t="s">
        <v>15</v>
      </c>
      <c r="B8" s="3">
        <f>1000*B6</f>
        <v>7400</v>
      </c>
      <c r="C8" s="7">
        <f>B8+B2</f>
        <v>15000</v>
      </c>
    </row>
    <row r="10" spans="1:12" x14ac:dyDescent="0.25">
      <c r="A10" s="1" t="s">
        <v>10</v>
      </c>
      <c r="B10" s="3">
        <v>104</v>
      </c>
      <c r="C10" t="s">
        <v>2</v>
      </c>
    </row>
    <row r="11" spans="1:12" x14ac:dyDescent="0.25">
      <c r="A11" s="1" t="s">
        <v>9</v>
      </c>
      <c r="B11" s="3">
        <f>(10*100)*$L$6</f>
        <v>4700</v>
      </c>
    </row>
    <row r="12" spans="1:12" x14ac:dyDescent="0.25">
      <c r="A12" s="1" t="s">
        <v>16</v>
      </c>
      <c r="B12" s="3">
        <f>(1000*H6)-B11</f>
        <v>105300</v>
      </c>
      <c r="C12" s="7">
        <f>(-$L$6+MAX($H$6-0,0))*1000</f>
        <v>105300</v>
      </c>
    </row>
    <row r="13" spans="1:12" x14ac:dyDescent="0.25">
      <c r="A13" s="1" t="s">
        <v>17</v>
      </c>
      <c r="B13" s="2">
        <f>-$L$6+MAX($H$6-B10,0)</f>
        <v>1.2999999999999998</v>
      </c>
      <c r="C13" s="7" t="s">
        <v>2</v>
      </c>
    </row>
    <row r="14" spans="1:12" x14ac:dyDescent="0.25">
      <c r="A14" s="1" t="s">
        <v>18</v>
      </c>
      <c r="B14" s="3">
        <f>1000*B13</f>
        <v>1299.9999999999998</v>
      </c>
    </row>
    <row r="16" spans="1:12" x14ac:dyDescent="0.25">
      <c r="A16" s="1" t="s">
        <v>10</v>
      </c>
      <c r="B16" s="3">
        <v>103</v>
      </c>
      <c r="C16" t="s">
        <v>25</v>
      </c>
    </row>
    <row r="17" spans="1:3" x14ac:dyDescent="0.25">
      <c r="A17" s="1" t="s">
        <v>10</v>
      </c>
      <c r="B17" s="3">
        <v>132</v>
      </c>
      <c r="C17" t="s">
        <v>24</v>
      </c>
    </row>
    <row r="18" spans="1:3" x14ac:dyDescent="0.25">
      <c r="A18" s="1" t="s">
        <v>18</v>
      </c>
      <c r="B18" s="3">
        <f>(10*100)*$L$6</f>
        <v>4700</v>
      </c>
      <c r="C18" t="s">
        <v>20</v>
      </c>
    </row>
    <row r="19" spans="1:3" x14ac:dyDescent="0.25">
      <c r="A19" s="1" t="s">
        <v>21</v>
      </c>
      <c r="B19" s="9">
        <f>$L$6-MAX($H$6-B16,0)</f>
        <v>-2.2999999999999998</v>
      </c>
      <c r="C19" t="s">
        <v>2</v>
      </c>
    </row>
    <row r="20" spans="1:3" x14ac:dyDescent="0.25">
      <c r="A20" s="1" t="s">
        <v>19</v>
      </c>
      <c r="B20" s="3">
        <f>1000*B19</f>
        <v>-2300</v>
      </c>
      <c r="C20" s="7"/>
    </row>
    <row r="21" spans="1:3" x14ac:dyDescent="0.25">
      <c r="A21" s="1" t="s">
        <v>22</v>
      </c>
      <c r="B21" s="9">
        <f>$L$6-MAX($H$6-B17,0)</f>
        <v>4.7</v>
      </c>
      <c r="C21" t="s">
        <v>2</v>
      </c>
    </row>
    <row r="22" spans="1:3" x14ac:dyDescent="0.25">
      <c r="A22" s="1" t="s">
        <v>23</v>
      </c>
      <c r="B22" s="3">
        <f>1000*B21</f>
        <v>4700</v>
      </c>
    </row>
    <row r="24" spans="1:3" x14ac:dyDescent="0.25">
      <c r="A24" s="1" t="s">
        <v>26</v>
      </c>
      <c r="B24" s="2">
        <f>$H$6-$L$6</f>
        <v>105.3</v>
      </c>
      <c r="C24" s="8"/>
    </row>
    <row r="25" spans="1:3" x14ac:dyDescent="0.25">
      <c r="A25" s="1" t="s">
        <v>27</v>
      </c>
      <c r="B25" s="60">
        <f>($L$6-MAX($H$6-B24,0))*1000</f>
        <v>-2.6645352591003757E-12</v>
      </c>
    </row>
  </sheetData>
  <mergeCells count="1">
    <mergeCell ref="H1:H2"/>
  </mergeCells>
  <pageMargins left="0.7" right="0.7" top="0.75" bottom="0.75" header="0.3" footer="0.3"/>
  <ignoredErrors>
    <ignoredError sqref="B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6DBB-6B95-40DA-9140-134B815D1F76}">
  <dimension ref="A1:I3"/>
  <sheetViews>
    <sheetView showGridLines="0" zoomScale="160" zoomScaleNormal="160" workbookViewId="0">
      <selection activeCell="C3" sqref="C3"/>
    </sheetView>
  </sheetViews>
  <sheetFormatPr defaultRowHeight="15.65" x14ac:dyDescent="0.25"/>
  <cols>
    <col min="1" max="1" width="11.5" bestFit="1" customWidth="1"/>
    <col min="2" max="2" width="7.125" bestFit="1" customWidth="1"/>
    <col min="5" max="5" width="12.5" bestFit="1" customWidth="1"/>
    <col min="6" max="6" width="7.125" bestFit="1" customWidth="1"/>
    <col min="7" max="7" width="4.875" customWidth="1"/>
    <col min="8" max="8" width="7.125" bestFit="1" customWidth="1"/>
  </cols>
  <sheetData>
    <row r="1" spans="1:9" x14ac:dyDescent="0.25">
      <c r="A1" s="1" t="s">
        <v>1</v>
      </c>
      <c r="B1" s="3">
        <v>68</v>
      </c>
      <c r="C1" t="s">
        <v>2</v>
      </c>
      <c r="E1" s="10" t="s">
        <v>6</v>
      </c>
      <c r="F1" s="10" t="s">
        <v>10</v>
      </c>
      <c r="G1" s="10" t="s">
        <v>10</v>
      </c>
      <c r="H1" s="10" t="s">
        <v>40</v>
      </c>
    </row>
    <row r="2" spans="1:9" x14ac:dyDescent="0.25">
      <c r="A2" s="1" t="s">
        <v>0</v>
      </c>
      <c r="B2" s="11">
        <v>0.04</v>
      </c>
      <c r="E2" s="5">
        <v>60</v>
      </c>
      <c r="F2" s="12">
        <v>63</v>
      </c>
      <c r="G2" s="12">
        <v>77</v>
      </c>
      <c r="H2" s="13">
        <f>$B$1-PV($B$2,1,,-$E2)</f>
        <v>10.307692307692307</v>
      </c>
      <c r="I2" s="6"/>
    </row>
    <row r="3" spans="1:9" x14ac:dyDescent="0.25">
      <c r="A3" s="1" t="s">
        <v>1</v>
      </c>
      <c r="B3" s="2">
        <f>((G2-F2)/(G2-E3))*H3+PV(B2,1,,-F2)</f>
        <v>68.000000000000014</v>
      </c>
      <c r="E3" s="5">
        <v>70</v>
      </c>
      <c r="H3" s="13">
        <v>3.7115384615384688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8713-4D4D-4D26-BF0D-EAE41026E4E9}">
  <dimension ref="A1:I3"/>
  <sheetViews>
    <sheetView showGridLines="0" zoomScale="160" zoomScaleNormal="160" workbookViewId="0">
      <selection activeCell="B3" sqref="B3"/>
    </sheetView>
  </sheetViews>
  <sheetFormatPr defaultRowHeight="15.65" x14ac:dyDescent="0.25"/>
  <cols>
    <col min="1" max="1" width="11.5" bestFit="1" customWidth="1"/>
    <col min="2" max="2" width="7.125" bestFit="1" customWidth="1"/>
    <col min="5" max="5" width="12.5" bestFit="1" customWidth="1"/>
    <col min="6" max="6" width="7.125" bestFit="1" customWidth="1"/>
    <col min="7" max="7" width="4.875" customWidth="1"/>
    <col min="8" max="8" width="7.125" bestFit="1" customWidth="1"/>
  </cols>
  <sheetData>
    <row r="1" spans="1:9" x14ac:dyDescent="0.25">
      <c r="A1" s="1" t="s">
        <v>1</v>
      </c>
      <c r="B1" s="3">
        <v>66</v>
      </c>
      <c r="C1" t="s">
        <v>2</v>
      </c>
      <c r="E1" s="10" t="s">
        <v>6</v>
      </c>
      <c r="F1" s="10" t="s">
        <v>10</v>
      </c>
      <c r="G1" s="10" t="s">
        <v>10</v>
      </c>
      <c r="H1" s="10" t="s">
        <v>40</v>
      </c>
    </row>
    <row r="2" spans="1:9" x14ac:dyDescent="0.25">
      <c r="A2" s="1" t="s">
        <v>0</v>
      </c>
      <c r="B2" s="11">
        <v>0.05</v>
      </c>
      <c r="E2" s="5">
        <v>40</v>
      </c>
      <c r="F2" s="12">
        <v>55</v>
      </c>
      <c r="G2" s="12">
        <v>75</v>
      </c>
      <c r="H2" s="13">
        <f>$B$1-PV($B$2,1,,-$E2)</f>
        <v>27.904761904761905</v>
      </c>
      <c r="I2" s="6"/>
    </row>
    <row r="3" spans="1:9" x14ac:dyDescent="0.25">
      <c r="A3" s="1" t="s">
        <v>1</v>
      </c>
      <c r="B3" s="2">
        <f>((G2-F2)/(G2-E3))*H3+PV(B2,1,,-F2)</f>
        <v>66</v>
      </c>
      <c r="E3" s="5">
        <v>65</v>
      </c>
      <c r="H3" s="13">
        <v>6.8095238095238111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C00D-2E4B-43BB-8BFA-4F3962C80286}">
  <dimension ref="A1:C8"/>
  <sheetViews>
    <sheetView showGridLines="0" zoomScale="160" zoomScaleNormal="160" workbookViewId="0">
      <selection activeCell="B1" sqref="B1"/>
    </sheetView>
  </sheetViews>
  <sheetFormatPr defaultRowHeight="15.65" x14ac:dyDescent="0.25"/>
  <cols>
    <col min="1" max="1" width="17" bestFit="1" customWidth="1"/>
  </cols>
  <sheetData>
    <row r="1" spans="1:3" x14ac:dyDescent="0.25">
      <c r="A1" s="1" t="s">
        <v>1</v>
      </c>
      <c r="B1" s="3">
        <v>52</v>
      </c>
      <c r="C1" t="s">
        <v>2</v>
      </c>
    </row>
    <row r="2" spans="1:3" x14ac:dyDescent="0.25">
      <c r="A2" s="1" t="s">
        <v>41</v>
      </c>
      <c r="B2" s="3">
        <v>50</v>
      </c>
    </row>
    <row r="3" spans="1:3" x14ac:dyDescent="0.25">
      <c r="A3" s="1" t="s">
        <v>42</v>
      </c>
      <c r="B3" s="9">
        <v>3.4</v>
      </c>
    </row>
    <row r="4" spans="1:3" x14ac:dyDescent="0.25">
      <c r="A4" s="1" t="s">
        <v>43</v>
      </c>
      <c r="B4" s="1">
        <v>3</v>
      </c>
      <c r="C4" t="s">
        <v>44</v>
      </c>
    </row>
    <row r="5" spans="1:3" x14ac:dyDescent="0.25">
      <c r="A5" s="1" t="s">
        <v>45</v>
      </c>
      <c r="B5" s="4">
        <v>2.5999999999999999E-2</v>
      </c>
      <c r="C5" t="s">
        <v>46</v>
      </c>
    </row>
    <row r="6" spans="1:3" x14ac:dyDescent="0.25">
      <c r="A6" s="1" t="s">
        <v>50</v>
      </c>
      <c r="B6" s="2">
        <f>B2*EXP(-(B5)*(B4/12))+B3</f>
        <v>53.076053965172385</v>
      </c>
      <c r="C6" s="6"/>
    </row>
    <row r="7" spans="1:3" x14ac:dyDescent="0.25">
      <c r="A7" s="1" t="s">
        <v>51</v>
      </c>
      <c r="B7" s="2">
        <f>B1+B8</f>
        <v>53.076053965172385</v>
      </c>
    </row>
    <row r="8" spans="1:3" x14ac:dyDescent="0.25">
      <c r="A8" s="1" t="s">
        <v>47</v>
      </c>
      <c r="B8" s="2">
        <f>B6-B1</f>
        <v>1.0760539651723846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DEAB-61BC-44CE-AB8A-7E8D477A6FB0}">
  <dimension ref="A1:C8"/>
  <sheetViews>
    <sheetView showGridLines="0" zoomScale="160" zoomScaleNormal="160" workbookViewId="0">
      <selection activeCell="B7" sqref="B7"/>
    </sheetView>
  </sheetViews>
  <sheetFormatPr defaultRowHeight="15.65" x14ac:dyDescent="0.25"/>
  <cols>
    <col min="1" max="1" width="17" bestFit="1" customWidth="1"/>
    <col min="2" max="2" width="10.75" bestFit="1" customWidth="1"/>
  </cols>
  <sheetData>
    <row r="1" spans="1:3" x14ac:dyDescent="0.25">
      <c r="A1" s="1" t="s">
        <v>1</v>
      </c>
      <c r="B1" s="3">
        <v>66</v>
      </c>
      <c r="C1" t="s">
        <v>2</v>
      </c>
    </row>
    <row r="2" spans="1:3" x14ac:dyDescent="0.25">
      <c r="A2" s="1" t="s">
        <v>48</v>
      </c>
      <c r="B2" s="3">
        <v>65</v>
      </c>
    </row>
    <row r="3" spans="1:3" x14ac:dyDescent="0.25">
      <c r="A3" s="1" t="s">
        <v>49</v>
      </c>
      <c r="B3" s="2">
        <v>5.12</v>
      </c>
    </row>
    <row r="4" spans="1:3" x14ac:dyDescent="0.25">
      <c r="A4" s="1" t="s">
        <v>43</v>
      </c>
      <c r="B4" s="15">
        <f>YEARFRAC(DATE(2001,6,31),DATE(2001,12,31))</f>
        <v>0.5</v>
      </c>
      <c r="C4" t="s">
        <v>44</v>
      </c>
    </row>
    <row r="5" spans="1:3" x14ac:dyDescent="0.25">
      <c r="A5" s="1" t="s">
        <v>45</v>
      </c>
      <c r="B5" s="4">
        <v>3.5999999999999997E-2</v>
      </c>
      <c r="C5" t="s">
        <v>46</v>
      </c>
    </row>
    <row r="6" spans="1:3" x14ac:dyDescent="0.25">
      <c r="A6" s="1" t="s">
        <v>51</v>
      </c>
      <c r="B6" s="2">
        <f>B1+B3</f>
        <v>71.12</v>
      </c>
    </row>
    <row r="7" spans="1:3" x14ac:dyDescent="0.25">
      <c r="A7" s="1" t="s">
        <v>50</v>
      </c>
      <c r="B7" s="16">
        <f>B2*EXP(-(B5)*(B4))+B8</f>
        <v>71.120000000000019</v>
      </c>
    </row>
    <row r="8" spans="1:3" x14ac:dyDescent="0.25">
      <c r="A8" s="1" t="s">
        <v>47</v>
      </c>
      <c r="B8" s="2">
        <v>7.2795328967104656</v>
      </c>
      <c r="C8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6587-47DF-4B70-BAD6-8AB3AE3F11E0}">
  <dimension ref="A1:H5"/>
  <sheetViews>
    <sheetView showGridLines="0" zoomScale="160" zoomScaleNormal="160" workbookViewId="0">
      <selection activeCell="F1" sqref="F1"/>
    </sheetView>
  </sheetViews>
  <sheetFormatPr defaultRowHeight="15.65" x14ac:dyDescent="0.25"/>
  <cols>
    <col min="1" max="1" width="12.625" bestFit="1" customWidth="1"/>
    <col min="2" max="2" width="10.25" bestFit="1" customWidth="1"/>
    <col min="6" max="6" width="12.5" bestFit="1" customWidth="1"/>
    <col min="7" max="7" width="9.375" bestFit="1" customWidth="1"/>
    <col min="8" max="8" width="9" bestFit="1" customWidth="1"/>
  </cols>
  <sheetData>
    <row r="1" spans="1:8" x14ac:dyDescent="0.25">
      <c r="A1" s="1" t="s">
        <v>53</v>
      </c>
      <c r="B1" s="4">
        <v>4.8000000000000001E-2</v>
      </c>
      <c r="C1" t="s">
        <v>46</v>
      </c>
      <c r="F1" s="10" t="s">
        <v>6</v>
      </c>
      <c r="G1" s="10" t="s">
        <v>52</v>
      </c>
      <c r="H1" s="61" t="s">
        <v>195</v>
      </c>
    </row>
    <row r="2" spans="1:8" x14ac:dyDescent="0.25">
      <c r="A2" s="1" t="s">
        <v>43</v>
      </c>
      <c r="B2" s="1">
        <f>YEARFRAC(DATE(2000,1,1),DATE(2000,3,31))</f>
        <v>0.25</v>
      </c>
      <c r="F2" s="12">
        <v>105</v>
      </c>
      <c r="G2" s="13">
        <v>5.32</v>
      </c>
      <c r="H2" s="13">
        <v>4.8899999999999997</v>
      </c>
    </row>
    <row r="3" spans="1:8" x14ac:dyDescent="0.25">
      <c r="A3" s="1" t="s">
        <v>50</v>
      </c>
      <c r="B3" s="2">
        <f>$F$2*EXP(-(B1)*B2)+$G$2</f>
        <v>109.06752985050269</v>
      </c>
    </row>
    <row r="4" spans="1:8" x14ac:dyDescent="0.25">
      <c r="A4" s="1" t="s">
        <v>1</v>
      </c>
      <c r="B4" s="2">
        <f>B3-H2</f>
        <v>104.17752985050269</v>
      </c>
      <c r="C4" t="s">
        <v>2</v>
      </c>
    </row>
    <row r="5" spans="1:8" x14ac:dyDescent="0.25">
      <c r="A5" s="1" t="s">
        <v>47</v>
      </c>
      <c r="B5" s="2">
        <f>B4+H2</f>
        <v>109.06752985050269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CA1-9D59-4566-A7D0-5A889F06122F}">
  <dimension ref="A1:H5"/>
  <sheetViews>
    <sheetView showGridLines="0" zoomScale="160" zoomScaleNormal="160" workbookViewId="0">
      <selection activeCell="H2" sqref="H2"/>
    </sheetView>
  </sheetViews>
  <sheetFormatPr defaultRowHeight="15.65" x14ac:dyDescent="0.25"/>
  <cols>
    <col min="1" max="1" width="12.625" bestFit="1" customWidth="1"/>
    <col min="2" max="2" width="10.25" bestFit="1" customWidth="1"/>
    <col min="6" max="6" width="12.5" bestFit="1" customWidth="1"/>
    <col min="7" max="7" width="9.375" bestFit="1" customWidth="1"/>
    <col min="8" max="8" width="9" bestFit="1" customWidth="1"/>
  </cols>
  <sheetData>
    <row r="1" spans="1:8" x14ac:dyDescent="0.25">
      <c r="A1" s="1" t="s">
        <v>53</v>
      </c>
      <c r="B1" s="19">
        <v>4.0499993565913453E-2</v>
      </c>
      <c r="C1" t="s">
        <v>46</v>
      </c>
      <c r="F1" s="10" t="s">
        <v>6</v>
      </c>
      <c r="G1" s="10" t="s">
        <v>52</v>
      </c>
      <c r="H1" s="10" t="s">
        <v>195</v>
      </c>
    </row>
    <row r="2" spans="1:8" x14ac:dyDescent="0.25">
      <c r="A2" s="1" t="s">
        <v>43</v>
      </c>
      <c r="B2" s="14">
        <f>2/12</f>
        <v>0.16666666666666666</v>
      </c>
      <c r="F2" s="12">
        <v>55</v>
      </c>
      <c r="G2" s="13">
        <v>5.32</v>
      </c>
      <c r="H2" s="13">
        <v>2.65</v>
      </c>
    </row>
    <row r="3" spans="1:8" x14ac:dyDescent="0.25">
      <c r="A3" s="1" t="s">
        <v>54</v>
      </c>
      <c r="B3" s="2">
        <f>B4+H2</f>
        <v>59.949999999999996</v>
      </c>
    </row>
    <row r="4" spans="1:8" x14ac:dyDescent="0.25">
      <c r="A4" s="1" t="s">
        <v>1</v>
      </c>
      <c r="B4" s="9">
        <v>57.3</v>
      </c>
      <c r="C4" t="s">
        <v>2</v>
      </c>
    </row>
    <row r="5" spans="1:8" x14ac:dyDescent="0.25">
      <c r="A5" s="1" t="s">
        <v>47</v>
      </c>
      <c r="B5" s="2">
        <f>$F$2*EXP(-(B1)*B2)+G2</f>
        <v>59.950000212903618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AA8C-87BD-452C-88F5-DB6535DC5862}">
  <dimension ref="A1:C13"/>
  <sheetViews>
    <sheetView showGridLines="0" zoomScale="160" zoomScaleNormal="160" workbookViewId="0">
      <selection activeCell="B5" sqref="B5"/>
    </sheetView>
  </sheetViews>
  <sheetFormatPr defaultRowHeight="15.65" x14ac:dyDescent="0.25"/>
  <cols>
    <col min="1" max="1" width="16.875" bestFit="1" customWidth="1"/>
    <col min="2" max="2" width="8.5" bestFit="1" customWidth="1"/>
  </cols>
  <sheetData>
    <row r="1" spans="1:3" x14ac:dyDescent="0.25">
      <c r="A1" s="1" t="s">
        <v>55</v>
      </c>
      <c r="B1" s="3">
        <v>58</v>
      </c>
    </row>
    <row r="2" spans="1:3" x14ac:dyDescent="0.25">
      <c r="A2" s="1" t="s">
        <v>56</v>
      </c>
      <c r="B2" s="3">
        <v>60</v>
      </c>
    </row>
    <row r="3" spans="1:3" x14ac:dyDescent="0.25">
      <c r="A3" s="1" t="s">
        <v>57</v>
      </c>
      <c r="B3" s="11">
        <v>2.7E-2</v>
      </c>
      <c r="C3" t="s">
        <v>60</v>
      </c>
    </row>
    <row r="4" spans="1:3" x14ac:dyDescent="0.25">
      <c r="A4" s="1" t="s">
        <v>58</v>
      </c>
      <c r="B4" s="1">
        <v>47</v>
      </c>
      <c r="C4" t="s">
        <v>62</v>
      </c>
    </row>
    <row r="5" spans="1:3" x14ac:dyDescent="0.25">
      <c r="A5" s="1" t="s">
        <v>59</v>
      </c>
      <c r="B5" s="11">
        <v>0.48</v>
      </c>
      <c r="C5" t="s">
        <v>61</v>
      </c>
    </row>
    <row r="7" spans="1:3" x14ac:dyDescent="0.25">
      <c r="A7" s="1" t="s">
        <v>63</v>
      </c>
      <c r="B7" s="18">
        <f>((LN(B1/B2)+(B3+B5^2/2)*(B4/12)))/(B5*SQRT(B4/12))</f>
        <v>0.55060781945898352</v>
      </c>
    </row>
    <row r="8" spans="1:3" x14ac:dyDescent="0.25">
      <c r="A8" s="1" t="s">
        <v>64</v>
      </c>
      <c r="B8" s="18">
        <f>B7-(B5*SQRT(B4/12))</f>
        <v>-0.39933954750404987</v>
      </c>
    </row>
    <row r="9" spans="1:3" x14ac:dyDescent="0.25">
      <c r="A9" s="1" t="s">
        <v>65</v>
      </c>
      <c r="B9" s="18">
        <f>_xlfn.NORM.S.DIST($B7,1)</f>
        <v>0.70904872630897597</v>
      </c>
    </row>
    <row r="10" spans="1:3" x14ac:dyDescent="0.25">
      <c r="A10" s="1" t="s">
        <v>66</v>
      </c>
      <c r="B10" s="18">
        <f>_xlfn.NORM.S.DIST($B8,1)</f>
        <v>0.34482151543586947</v>
      </c>
    </row>
    <row r="12" spans="1:3" x14ac:dyDescent="0.25">
      <c r="A12" s="1" t="s">
        <v>67</v>
      </c>
      <c r="B12" s="2">
        <f>B1*(B9)-(B2*EXP(-(B3)*(B4/12)))*(B10)</f>
        <v>22.511715219610451</v>
      </c>
    </row>
    <row r="13" spans="1:3" x14ac:dyDescent="0.25">
      <c r="A13" s="1" t="s">
        <v>68</v>
      </c>
      <c r="B13" s="2">
        <f>(B2*EXP(-(B3)*(B4/12))+B12)-B1</f>
        <v>18.4906871604488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439E-AD79-4DE7-8965-36776800772D}">
  <dimension ref="A1:C13"/>
  <sheetViews>
    <sheetView showGridLines="0" zoomScale="160" zoomScaleNormal="160" workbookViewId="0">
      <selection activeCell="C2" sqref="C2"/>
    </sheetView>
  </sheetViews>
  <sheetFormatPr defaultRowHeight="15.65" x14ac:dyDescent="0.25"/>
  <cols>
    <col min="1" max="1" width="16.875" bestFit="1" customWidth="1"/>
  </cols>
  <sheetData>
    <row r="1" spans="1:3" x14ac:dyDescent="0.25">
      <c r="A1" s="1" t="s">
        <v>55</v>
      </c>
      <c r="B1" s="3">
        <v>58</v>
      </c>
    </row>
    <row r="2" spans="1:3" x14ac:dyDescent="0.25">
      <c r="A2" s="1" t="s">
        <v>56</v>
      </c>
      <c r="B2" s="3">
        <v>55</v>
      </c>
    </row>
    <row r="3" spans="1:3" x14ac:dyDescent="0.25">
      <c r="A3" s="1" t="s">
        <v>57</v>
      </c>
      <c r="B3" s="11">
        <v>0.04</v>
      </c>
      <c r="C3" t="s">
        <v>60</v>
      </c>
    </row>
    <row r="4" spans="1:3" x14ac:dyDescent="0.25">
      <c r="A4" s="1" t="s">
        <v>58</v>
      </c>
      <c r="B4" s="1">
        <v>5</v>
      </c>
      <c r="C4" t="s">
        <v>62</v>
      </c>
    </row>
    <row r="5" spans="1:3" x14ac:dyDescent="0.25">
      <c r="A5" s="1" t="s">
        <v>59</v>
      </c>
      <c r="B5" s="11">
        <v>0.53</v>
      </c>
      <c r="C5" t="s">
        <v>61</v>
      </c>
    </row>
    <row r="7" spans="1:3" x14ac:dyDescent="0.25">
      <c r="A7" s="1" t="s">
        <v>69</v>
      </c>
      <c r="B7" s="18">
        <f>(LN(B1/B2)+(B3+B5^2/2)*(B4/12))/(B5*SQRT(B4/12))</f>
        <v>0.3750138900406621</v>
      </c>
    </row>
    <row r="8" spans="1:3" x14ac:dyDescent="0.25">
      <c r="A8" s="1" t="s">
        <v>70</v>
      </c>
      <c r="B8" s="1">
        <f>B7-(B5*SQRT(B4/12))</f>
        <v>3.2900361125673627E-2</v>
      </c>
    </row>
    <row r="9" spans="1:3" x14ac:dyDescent="0.25">
      <c r="A9" s="1" t="s">
        <v>65</v>
      </c>
      <c r="B9" s="18">
        <f>_xlfn.NORM.S.DIST($B7,1)</f>
        <v>0.64617493174164609</v>
      </c>
    </row>
    <row r="10" spans="1:3" x14ac:dyDescent="0.25">
      <c r="A10" s="1" t="s">
        <v>66</v>
      </c>
      <c r="B10" s="18">
        <f>_xlfn.NORM.S.DIST($B8,1)</f>
        <v>0.51312297759180769</v>
      </c>
    </row>
    <row r="12" spans="1:3" x14ac:dyDescent="0.25">
      <c r="A12" s="1" t="s">
        <v>67</v>
      </c>
      <c r="B12" s="2">
        <f>B1*(B9)-(B2*EXP(-(B3)*B4/12))*B10</f>
        <v>9.7228469991333917</v>
      </c>
    </row>
    <row r="13" spans="1:3" x14ac:dyDescent="0.25">
      <c r="A13" s="1" t="s">
        <v>68</v>
      </c>
      <c r="B13" s="2">
        <f>(B2*EXP(-(B3)*B4/12))+B12-B1</f>
        <v>5.8137769593223538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516E-CD83-418C-B9AA-EAFC78B764F8}">
  <dimension ref="A1:C9"/>
  <sheetViews>
    <sheetView showGridLines="0" zoomScale="160" zoomScaleNormal="160" workbookViewId="0">
      <selection activeCell="B6" sqref="B6"/>
    </sheetView>
  </sheetViews>
  <sheetFormatPr defaultRowHeight="15.65" x14ac:dyDescent="0.25"/>
  <cols>
    <col min="1" max="1" width="16.875" bestFit="1" customWidth="1"/>
  </cols>
  <sheetData>
    <row r="1" spans="1:3" x14ac:dyDescent="0.25">
      <c r="A1" s="1" t="s">
        <v>55</v>
      </c>
      <c r="B1" s="3">
        <v>74</v>
      </c>
    </row>
    <row r="2" spans="1:3" x14ac:dyDescent="0.25">
      <c r="A2" s="1" t="s">
        <v>56</v>
      </c>
      <c r="B2" s="3">
        <v>70</v>
      </c>
    </row>
    <row r="3" spans="1:3" x14ac:dyDescent="0.25">
      <c r="A3" s="1" t="s">
        <v>57</v>
      </c>
      <c r="B3" s="11">
        <v>4.2999999999999997E-2</v>
      </c>
      <c r="C3" t="s">
        <v>60</v>
      </c>
    </row>
    <row r="4" spans="1:3" x14ac:dyDescent="0.25">
      <c r="A4" s="1" t="s">
        <v>58</v>
      </c>
      <c r="B4" s="1">
        <v>9</v>
      </c>
      <c r="C4" t="s">
        <v>62</v>
      </c>
    </row>
    <row r="5" spans="1:3" x14ac:dyDescent="0.25">
      <c r="A5" s="1" t="s">
        <v>59</v>
      </c>
      <c r="B5" s="11">
        <v>0.46</v>
      </c>
      <c r="C5" t="s">
        <v>61</v>
      </c>
    </row>
    <row r="7" spans="1:3" x14ac:dyDescent="0.25">
      <c r="A7" s="1" t="s">
        <v>69</v>
      </c>
      <c r="B7" s="18">
        <f>(LN(B1/B2)+(B3+B5^2/2)*(B4/12))/(B5*SQRT(B4/12))</f>
        <v>0.41963286332443339</v>
      </c>
    </row>
    <row r="8" spans="1:3" x14ac:dyDescent="0.25">
      <c r="A8" s="1" t="s">
        <v>65</v>
      </c>
      <c r="B8" s="18">
        <f>_xlfn.NORM.S.DIST($B7,1)</f>
        <v>0.66262316149185896</v>
      </c>
      <c r="C8" t="s">
        <v>71</v>
      </c>
    </row>
    <row r="9" spans="1:3" x14ac:dyDescent="0.25">
      <c r="A9" s="1" t="s">
        <v>72</v>
      </c>
      <c r="B9" s="18">
        <f>B8-1</f>
        <v>-0.33737683850814104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CE4E-22E9-4D2B-A2B4-FFDCA5C66BD8}">
  <dimension ref="A1:K86"/>
  <sheetViews>
    <sheetView showGridLines="0" zoomScale="160" zoomScaleNormal="160" workbookViewId="0"/>
  </sheetViews>
  <sheetFormatPr defaultRowHeight="15.65" x14ac:dyDescent="0.25"/>
  <cols>
    <col min="1" max="1" width="12.5" bestFit="1" customWidth="1"/>
    <col min="2" max="2" width="13.375" bestFit="1" customWidth="1"/>
    <col min="5" max="5" width="12.375" bestFit="1" customWidth="1"/>
    <col min="10" max="10" width="11.875" bestFit="1" customWidth="1"/>
    <col min="11" max="11" width="13.375" bestFit="1" customWidth="1"/>
  </cols>
  <sheetData>
    <row r="1" spans="1:11" x14ac:dyDescent="0.25">
      <c r="A1" s="1" t="s">
        <v>73</v>
      </c>
      <c r="B1" s="3">
        <v>1100000</v>
      </c>
      <c r="C1" t="s">
        <v>74</v>
      </c>
      <c r="E1" s="1" t="s">
        <v>75</v>
      </c>
      <c r="F1" s="11">
        <v>0.11</v>
      </c>
      <c r="G1" t="s">
        <v>76</v>
      </c>
    </row>
    <row r="2" spans="1:11" x14ac:dyDescent="0.25">
      <c r="A2" s="1" t="s">
        <v>6</v>
      </c>
      <c r="B2" s="3">
        <v>1325000</v>
      </c>
      <c r="E2" s="1" t="s">
        <v>77</v>
      </c>
      <c r="F2" s="11">
        <v>0.3</v>
      </c>
      <c r="G2" t="s">
        <v>78</v>
      </c>
    </row>
    <row r="3" spans="1:11" x14ac:dyDescent="0.25">
      <c r="A3" s="1" t="s">
        <v>69</v>
      </c>
      <c r="B3" s="18">
        <f>(LN(B1/B2)+(F3+F2^2/2)*(12/12))/(F2*SQRT(12/12))</f>
        <v>-0.30367426544620207</v>
      </c>
      <c r="E3" s="1" t="s">
        <v>57</v>
      </c>
      <c r="F3" s="11">
        <v>0.05</v>
      </c>
      <c r="G3" t="s">
        <v>60</v>
      </c>
    </row>
    <row r="4" spans="1:11" x14ac:dyDescent="0.25">
      <c r="A4" s="1" t="s">
        <v>70</v>
      </c>
      <c r="B4" s="18">
        <f>B3-(F2*SQRT(12/12))</f>
        <v>-0.60367426544620206</v>
      </c>
    </row>
    <row r="5" spans="1:11" x14ac:dyDescent="0.25">
      <c r="A5" s="1" t="s">
        <v>65</v>
      </c>
      <c r="B5" s="18">
        <f>_xlfn.NORM.S.DIST($B3,1)</f>
        <v>0.38068803292910347</v>
      </c>
      <c r="C5" s="20">
        <f>B5-1</f>
        <v>-0.61931196707089653</v>
      </c>
    </row>
    <row r="6" spans="1:11" x14ac:dyDescent="0.25">
      <c r="A6" s="1" t="s">
        <v>66</v>
      </c>
      <c r="B6" s="18">
        <f>_xlfn.NORM.S.DIST($B4,1)</f>
        <v>0.27303011344722661</v>
      </c>
    </row>
    <row r="8" spans="1:11" x14ac:dyDescent="0.25">
      <c r="A8" s="1" t="s">
        <v>67</v>
      </c>
      <c r="B8" s="2">
        <f>B1*(B5)-(B2*EXP(-(F3)*12/12))*(B6)</f>
        <v>74635.418288368499</v>
      </c>
      <c r="E8" s="61" t="s">
        <v>73</v>
      </c>
      <c r="F8" s="61" t="s">
        <v>69</v>
      </c>
      <c r="G8" s="61" t="s">
        <v>70</v>
      </c>
      <c r="H8" s="61" t="s">
        <v>65</v>
      </c>
      <c r="I8" s="61" t="s">
        <v>66</v>
      </c>
      <c r="J8" s="61" t="s">
        <v>67</v>
      </c>
      <c r="K8" s="61" t="s">
        <v>68</v>
      </c>
    </row>
    <row r="9" spans="1:11" x14ac:dyDescent="0.25">
      <c r="A9" s="1" t="s">
        <v>68</v>
      </c>
      <c r="B9" s="2">
        <f>(B2*EXP(-(F3)*12/12))+B8-B1</f>
        <v>235014.4057518146</v>
      </c>
      <c r="E9" s="62" t="s">
        <v>10</v>
      </c>
      <c r="F9" s="63">
        <f>$B$3</f>
        <v>-0.30367426544620207</v>
      </c>
      <c r="G9" s="63">
        <f>$B$4</f>
        <v>-0.60367426544620206</v>
      </c>
      <c r="H9" s="63">
        <f>$B$5</f>
        <v>0.38068803292910347</v>
      </c>
      <c r="I9" s="63">
        <f>$B$6</f>
        <v>0.27303011344722661</v>
      </c>
      <c r="J9" s="64">
        <f>$B$8</f>
        <v>74635.418288368499</v>
      </c>
      <c r="K9" s="64">
        <f>$B$9</f>
        <v>235014.4057518146</v>
      </c>
    </row>
    <row r="10" spans="1:11" x14ac:dyDescent="0.25">
      <c r="E10" s="65">
        <f>B1</f>
        <v>1100000</v>
      </c>
      <c r="F10" s="66">
        <f t="dataTable" ref="F10:K66" dt2D="0" dtr="0" r1="B1" ca="1"/>
        <v>-0.30367426544620207</v>
      </c>
      <c r="G10" s="66">
        <v>-0.60367426544620206</v>
      </c>
      <c r="H10" s="66">
        <v>0.38068803292910347</v>
      </c>
      <c r="I10" s="66">
        <v>0.27303011344722661</v>
      </c>
      <c r="J10" s="67">
        <v>74635.418288368499</v>
      </c>
      <c r="K10" s="67">
        <v>235014.4057518146</v>
      </c>
    </row>
    <row r="11" spans="1:11" x14ac:dyDescent="0.25">
      <c r="E11" s="65">
        <v>1125000</v>
      </c>
      <c r="F11" s="66">
        <v>-0.22876474593934013</v>
      </c>
      <c r="G11" s="66">
        <v>-0.52876474593934009</v>
      </c>
      <c r="H11" s="66">
        <v>0.40952588443136334</v>
      </c>
      <c r="I11" s="66">
        <v>0.29848432820241527</v>
      </c>
      <c r="J11" s="67">
        <v>84513.244631816691</v>
      </c>
      <c r="K11" s="67">
        <v>219892.23209526273</v>
      </c>
    </row>
    <row r="12" spans="1:11" x14ac:dyDescent="0.25">
      <c r="E12" s="65">
        <v>1150000</v>
      </c>
      <c r="F12" s="66">
        <v>-0.1555017235434227</v>
      </c>
      <c r="G12" s="66">
        <v>-0.45550172354342267</v>
      </c>
      <c r="H12" s="66">
        <v>0.43821289763924409</v>
      </c>
      <c r="I12" s="66">
        <v>0.32437416394815122</v>
      </c>
      <c r="J12" s="67">
        <v>95110.451968858019</v>
      </c>
      <c r="K12" s="67">
        <v>205489.43943230412</v>
      </c>
    </row>
    <row r="13" spans="1:11" x14ac:dyDescent="0.25">
      <c r="E13" s="65">
        <v>1175000</v>
      </c>
      <c r="F13" s="66">
        <v>-8.3814372806877382E-2</v>
      </c>
      <c r="G13" s="66">
        <v>-0.38381437280687736</v>
      </c>
      <c r="H13" s="66">
        <v>0.4666020101914693</v>
      </c>
      <c r="I13" s="66">
        <v>0.3505580172603498</v>
      </c>
      <c r="J13" s="67">
        <v>106421.40313318343</v>
      </c>
      <c r="K13" s="67">
        <v>191800.39059662959</v>
      </c>
    </row>
    <row r="14" spans="1:11" x14ac:dyDescent="0.25">
      <c r="E14" s="65">
        <v>1200000</v>
      </c>
      <c r="F14" s="66">
        <v>-1.3636342147436281E-2</v>
      </c>
      <c r="G14" s="66">
        <v>-0.3136363421474363</v>
      </c>
      <c r="H14" s="66">
        <v>0.49456005516069051</v>
      </c>
      <c r="I14" s="66">
        <v>0.3768986271080963</v>
      </c>
      <c r="J14" s="67">
        <v>118436.95618196327</v>
      </c>
      <c r="K14" s="67">
        <v>178815.94364540931</v>
      </c>
    </row>
    <row r="15" spans="1:11" x14ac:dyDescent="0.25">
      <c r="E15" s="65">
        <v>1225000</v>
      </c>
      <c r="F15" s="66">
        <v>5.5094615195015975E-2</v>
      </c>
      <c r="G15" s="66">
        <v>-0.24490538480498403</v>
      </c>
      <c r="H15" s="66">
        <v>0.52196845695868976</v>
      </c>
      <c r="I15" s="66">
        <v>0.40326484608482188</v>
      </c>
      <c r="J15" s="67">
        <v>131144.82138640474</v>
      </c>
      <c r="K15" s="67">
        <v>166523.8088498509</v>
      </c>
    </row>
    <row r="16" spans="1:11" x14ac:dyDescent="0.25">
      <c r="E16" s="65">
        <v>1250000</v>
      </c>
      <c r="F16" s="66">
        <v>0.12243697292008081</v>
      </c>
      <c r="G16" s="66">
        <v>-0.17756302707991917</v>
      </c>
      <c r="H16" s="66">
        <v>0.54872352069412533</v>
      </c>
      <c r="I16" s="66">
        <v>0.42953308158352088</v>
      </c>
      <c r="J16" s="67">
        <v>144529.93041936483</v>
      </c>
      <c r="K16" s="67">
        <v>154908.91788281081</v>
      </c>
    </row>
    <row r="17" spans="5:11" x14ac:dyDescent="0.25">
      <c r="E17" s="65">
        <v>1275000</v>
      </c>
      <c r="F17" s="66">
        <v>0.18844573057401318</v>
      </c>
      <c r="G17" s="66">
        <v>-0.11155426942598681</v>
      </c>
      <c r="H17" s="66">
        <v>0.57473637301112857</v>
      </c>
      <c r="I17" s="66">
        <v>0.45558841666078959</v>
      </c>
      <c r="J17" s="67">
        <v>158574.80829818826</v>
      </c>
      <c r="K17" s="67">
        <v>143953.79576163436</v>
      </c>
    </row>
    <row r="18" spans="5:11" x14ac:dyDescent="0.25">
      <c r="E18" s="65">
        <v>1300000</v>
      </c>
      <c r="F18" s="66">
        <v>0.25317268343101845</v>
      </c>
      <c r="G18" s="66">
        <v>-4.6827316568981536E-2</v>
      </c>
      <c r="H18" s="66">
        <v>0.59993261276083754</v>
      </c>
      <c r="I18" s="66">
        <v>0.48132542871795209</v>
      </c>
      <c r="J18" s="67">
        <v>173259.94010114728</v>
      </c>
      <c r="K18" s="67">
        <v>133638.9275645935</v>
      </c>
    </row>
    <row r="19" spans="5:11" x14ac:dyDescent="0.25">
      <c r="E19" s="65">
        <v>1325000</v>
      </c>
      <c r="F19" s="66">
        <v>0.31666666666666671</v>
      </c>
      <c r="G19" s="66">
        <v>1.6666666666666718E-2</v>
      </c>
      <c r="H19" s="66">
        <v>0.62425172790601247</v>
      </c>
      <c r="I19" s="66">
        <v>0.50664873019368262</v>
      </c>
      <c r="J19" s="67">
        <v>188564.12591431208</v>
      </c>
      <c r="K19" s="67">
        <v>123943.1133777583</v>
      </c>
    </row>
    <row r="20" spans="5:11" x14ac:dyDescent="0.25">
      <c r="E20" s="65">
        <v>1350000</v>
      </c>
      <c r="F20" s="66">
        <v>0.37897377670717514</v>
      </c>
      <c r="G20" s="66">
        <v>7.8973776707175147E-2</v>
      </c>
      <c r="H20" s="66">
        <v>0.64764633145893724</v>
      </c>
      <c r="I20" s="66">
        <v>0.53147325947106383</v>
      </c>
      <c r="J20" s="67">
        <v>204464.81883352855</v>
      </c>
      <c r="K20" s="67">
        <v>114843.80629697465</v>
      </c>
    </row>
    <row r="21" spans="5:11" x14ac:dyDescent="0.25">
      <c r="E21" s="65">
        <v>1375000</v>
      </c>
      <c r="F21" s="66">
        <v>0.44013757226783023</v>
      </c>
      <c r="G21" s="66">
        <v>0.14013757226783025</v>
      </c>
      <c r="H21" s="66">
        <v>0.67008126454847505</v>
      </c>
      <c r="I21" s="66">
        <v>0.55572435244625928</v>
      </c>
      <c r="J21" s="67">
        <v>220938.44210915768</v>
      </c>
      <c r="K21" s="67">
        <v>106317.42957260367</v>
      </c>
    </row>
    <row r="22" spans="5:11" x14ac:dyDescent="0.25">
      <c r="E22" s="65">
        <v>1400000</v>
      </c>
      <c r="F22" s="66">
        <v>0.50019925727675796</v>
      </c>
      <c r="G22" s="66">
        <v>0.20019925727675797</v>
      </c>
      <c r="H22" s="66">
        <v>0.69153260935736383</v>
      </c>
      <c r="I22" s="66">
        <v>0.57933762598833083</v>
      </c>
      <c r="J22" s="67">
        <v>237960.68265766022</v>
      </c>
      <c r="K22" s="67">
        <v>98339.670121106319</v>
      </c>
    </row>
    <row r="23" spans="5:11" x14ac:dyDescent="0.25">
      <c r="E23" s="65">
        <v>1425000</v>
      </c>
      <c r="F23" s="66">
        <v>0.55919784760809432</v>
      </c>
      <c r="G23" s="66">
        <v>0.25919784760809433</v>
      </c>
      <c r="H23" s="66">
        <v>0.71198664903131181</v>
      </c>
      <c r="I23" s="66">
        <v>0.60225870413382721</v>
      </c>
      <c r="J23" s="67">
        <v>255506.75916237908</v>
      </c>
      <c r="K23" s="67">
        <v>90885.746625825297</v>
      </c>
    </row>
    <row r="24" spans="5:11" x14ac:dyDescent="0.25">
      <c r="E24" s="65">
        <v>1450000</v>
      </c>
      <c r="F24" s="66">
        <v>0.61717032331432498</v>
      </c>
      <c r="G24" s="66">
        <v>0.31717032331432499</v>
      </c>
      <c r="H24" s="66">
        <v>0.73143880602087941</v>
      </c>
      <c r="I24" s="66">
        <v>0.62444281657814538</v>
      </c>
      <c r="J24" s="67">
        <v>273551.66384268983</v>
      </c>
      <c r="K24" s="67">
        <v>83930.651306136046</v>
      </c>
    </row>
    <row r="25" spans="5:11" x14ac:dyDescent="0.25">
      <c r="E25" s="65">
        <v>1475000</v>
      </c>
      <c r="F25" s="66">
        <v>0.67415176784532538</v>
      </c>
      <c r="G25" s="66">
        <v>0.37415176784532539</v>
      </c>
      <c r="H25" s="66">
        <v>0.74989258488598187</v>
      </c>
      <c r="I25" s="66">
        <v>0.64585429709231545</v>
      </c>
      <c r="J25" s="67">
        <v>292070.37768869498</v>
      </c>
      <c r="K25" s="67">
        <v>77449.365152141079</v>
      </c>
    </row>
    <row r="26" spans="5:11" x14ac:dyDescent="0.25">
      <c r="E26" s="65">
        <v>1500000</v>
      </c>
      <c r="F26" s="66">
        <v>0.73017549556659611</v>
      </c>
      <c r="G26" s="66">
        <v>0.43017549556659612</v>
      </c>
      <c r="H26" s="66">
        <v>0.76735854051874686</v>
      </c>
      <c r="I26" s="66">
        <v>0.66646600712024229</v>
      </c>
      <c r="J26" s="67">
        <v>311038.05954510346</v>
      </c>
      <c r="K26" s="67">
        <v>71417.047008549562</v>
      </c>
    </row>
    <row r="27" spans="5:11" x14ac:dyDescent="0.25">
      <c r="E27" s="65">
        <v>1525000</v>
      </c>
      <c r="F27" s="66">
        <v>0.78527316873729802</v>
      </c>
      <c r="G27" s="66">
        <v>0.48527316873729803</v>
      </c>
      <c r="H27" s="66">
        <v>0.78385328811857724</v>
      </c>
      <c r="I27" s="66">
        <v>0.68625870717546822</v>
      </c>
      <c r="J27" s="67">
        <v>330430.20989304013</v>
      </c>
      <c r="K27" s="67">
        <v>65809.197356486227</v>
      </c>
    </row>
    <row r="28" spans="5:11" x14ac:dyDescent="0.25">
      <c r="E28" s="65">
        <v>1550000</v>
      </c>
      <c r="F28" s="66">
        <v>0.83947490497656563</v>
      </c>
      <c r="G28" s="66">
        <v>0.53947490497656569</v>
      </c>
      <c r="H28" s="66">
        <v>0.79939856713657176</v>
      </c>
      <c r="I28" s="66">
        <v>0.70522039590343688</v>
      </c>
      <c r="J28" s="67">
        <v>350222.81053434184</v>
      </c>
      <c r="K28" s="67">
        <v>60601.79799778806</v>
      </c>
    </row>
    <row r="29" spans="5:11" x14ac:dyDescent="0.25">
      <c r="E29" s="65">
        <v>1575000</v>
      </c>
      <c r="F29" s="66">
        <v>0.89280937613136935</v>
      </c>
      <c r="G29" s="66">
        <v>0.5928093761313693</v>
      </c>
      <c r="H29" s="66">
        <v>0.81402036781482201</v>
      </c>
      <c r="I29" s="66">
        <v>0.72334563391986317</v>
      </c>
      <c r="J29" s="67">
        <v>370392.44164232304</v>
      </c>
      <c r="K29" s="67">
        <v>55771.429105769144</v>
      </c>
    </row>
    <row r="30" spans="5:11" x14ac:dyDescent="0.25">
      <c r="E30" s="65">
        <v>1600000</v>
      </c>
      <c r="F30" s="66">
        <v>0.9453038993584999</v>
      </c>
      <c r="G30" s="66">
        <v>0.64530389935849986</v>
      </c>
      <c r="H30" s="66">
        <v>0.82774812587461399</v>
      </c>
      <c r="I30" s="66">
        <v>0.74063486686560998</v>
      </c>
      <c r="J30" s="67">
        <v>390916.37781918072</v>
      </c>
      <c r="K30" s="67">
        <v>51295.365282626823</v>
      </c>
    </row>
    <row r="31" spans="5:11" x14ac:dyDescent="0.25">
      <c r="E31" s="65">
        <v>1625000</v>
      </c>
      <c r="F31" s="66">
        <v>0.99698452114505087</v>
      </c>
      <c r="G31" s="66">
        <v>0.69698452114505094</v>
      </c>
      <c r="H31" s="66">
        <v>0.84061398833336998</v>
      </c>
      <c r="I31" s="66">
        <v>0.75709375959707226</v>
      </c>
      <c r="J31" s="67">
        <v>411772.66490587452</v>
      </c>
      <c r="K31" s="67">
        <v>47151.652369320625</v>
      </c>
    </row>
    <row r="32" spans="5:11" x14ac:dyDescent="0.25">
      <c r="E32" s="65">
        <v>1650000</v>
      </c>
      <c r="F32" s="66">
        <v>1.0478760949143455</v>
      </c>
      <c r="G32" s="66">
        <v>0.74787609491434548</v>
      </c>
      <c r="H32" s="66">
        <v>0.85265215131832106</v>
      </c>
      <c r="I32" s="66">
        <v>0.77273255110180195</v>
      </c>
      <c r="J32" s="67">
        <v>432940.17933749489</v>
      </c>
      <c r="K32" s="67">
        <v>43319.166800940875</v>
      </c>
    </row>
    <row r="33" spans="5:11" x14ac:dyDescent="0.25">
      <c r="E33" s="65">
        <v>1675000</v>
      </c>
      <c r="F33" s="66">
        <v>1.0980023527961473</v>
      </c>
      <c r="G33" s="66">
        <v>0.79800235279614729</v>
      </c>
      <c r="H33" s="66">
        <v>0.86389826905299938</v>
      </c>
      <c r="I33" s="66">
        <v>0.78756543761858477</v>
      </c>
      <c r="J33" s="67">
        <v>454398.67183685629</v>
      </c>
      <c r="K33" s="67">
        <v>39777.659300302388</v>
      </c>
    </row>
    <row r="34" spans="5:11" x14ac:dyDescent="0.25">
      <c r="E34" s="65">
        <v>1700000</v>
      </c>
      <c r="F34" s="66">
        <v>1.1473859720799495</v>
      </c>
      <c r="G34" s="66">
        <v>0.84738597207994948</v>
      </c>
      <c r="H34" s="66">
        <v>0.8743889318744601</v>
      </c>
      <c r="I34" s="66">
        <v>0.80160998956247331</v>
      </c>
      <c r="J34" s="67">
        <v>476128.79720124847</v>
      </c>
      <c r="K34" s="67">
        <v>36507.784664694685</v>
      </c>
    </row>
    <row r="35" spans="5:11" x14ac:dyDescent="0.25">
      <c r="E35" s="65">
        <v>1725000</v>
      </c>
      <c r="F35" s="66">
        <v>1.196048636817125</v>
      </c>
      <c r="G35" s="66">
        <v>0.89604863681712499</v>
      </c>
      <c r="H35" s="66">
        <v>0.88416121014746285</v>
      </c>
      <c r="I35" s="66">
        <v>0.81488660621094477</v>
      </c>
      <c r="J35" s="67">
        <v>498112.13187069888</v>
      </c>
      <c r="K35" s="67">
        <v>33491.119334144983</v>
      </c>
    </row>
    <row r="36" spans="5:11" x14ac:dyDescent="0.25">
      <c r="E36" s="65">
        <v>1750000</v>
      </c>
      <c r="F36" s="66">
        <v>1.2440110949907905</v>
      </c>
      <c r="G36" s="66">
        <v>0.9440110949907905</v>
      </c>
      <c r="H36" s="66">
        <v>0.89325226023040605</v>
      </c>
      <c r="I36" s="66">
        <v>0.82741801069190735</v>
      </c>
      <c r="J36" s="67">
        <v>520331.1808783256</v>
      </c>
      <c r="K36" s="67">
        <v>30710.168341771699</v>
      </c>
    </row>
    <row r="37" spans="5:11" x14ac:dyDescent="0.25">
      <c r="E37" s="65">
        <v>1775000</v>
      </c>
      <c r="F37" s="66">
        <v>1.2912932116306453</v>
      </c>
      <c r="G37" s="66">
        <v>0.99129321163064521</v>
      </c>
      <c r="H37" s="66">
        <v>0.90169898817280547</v>
      </c>
      <c r="I37" s="66">
        <v>0.83922878661650913</v>
      </c>
      <c r="J37" s="67">
        <v>542769.37568083731</v>
      </c>
      <c r="K37" s="67">
        <v>28148.363144283416</v>
      </c>
    </row>
    <row r="38" spans="5:11" x14ac:dyDescent="0.25">
      <c r="E38" s="65">
        <v>1800000</v>
      </c>
      <c r="F38" s="66">
        <v>1.3379140182131115</v>
      </c>
      <c r="G38" s="66">
        <v>1.0379140182131115</v>
      </c>
      <c r="H38" s="66">
        <v>0.9095377665450658</v>
      </c>
      <c r="I38" s="66">
        <v>0.85034495670439003</v>
      </c>
      <c r="J38" s="67">
        <v>565411.06425539148</v>
      </c>
      <c r="K38" s="67">
        <v>25790.051718837582</v>
      </c>
    </row>
    <row r="39" spans="5:11" x14ac:dyDescent="0.25">
      <c r="E39" s="65">
        <v>1825000</v>
      </c>
      <c r="F39" s="66">
        <v>1.3838917586542308</v>
      </c>
      <c r="G39" s="66">
        <v>1.0838917586542307</v>
      </c>
      <c r="H39" s="66">
        <v>0.9168041996815901</v>
      </c>
      <c r="I39" s="66">
        <v>0.86079360293853346</v>
      </c>
      <c r="J39" s="67">
        <v>588241.49473222159</v>
      </c>
      <c r="K39" s="67">
        <v>23620.48219566769</v>
      </c>
    </row>
    <row r="40" spans="5:11" x14ac:dyDescent="0.25">
      <c r="E40" s="65">
        <v>1850000</v>
      </c>
      <c r="F40" s="66">
        <v>1.4292439321734929</v>
      </c>
      <c r="G40" s="66">
        <v>1.1292439321734928</v>
      </c>
      <c r="H40" s="66">
        <v>0.92353293262543668</v>
      </c>
      <c r="I40" s="66">
        <v>0.87060252714227637</v>
      </c>
      <c r="J40" s="67">
        <v>611246.79371435824</v>
      </c>
      <c r="K40" s="67">
        <v>21625.78117780434</v>
      </c>
    </row>
    <row r="41" spans="5:11" x14ac:dyDescent="0.25">
      <c r="E41" s="65">
        <v>1875000</v>
      </c>
      <c r="F41" s="66">
        <v>1.4739873332806286</v>
      </c>
      <c r="G41" s="66">
        <v>1.1739873332806285</v>
      </c>
      <c r="H41" s="66">
        <v>0.92975749916837858</v>
      </c>
      <c r="I41" s="66">
        <v>0.879799950373088</v>
      </c>
      <c r="J41" s="67">
        <v>634413.94031908712</v>
      </c>
      <c r="K41" s="67">
        <v>19792.927782533225</v>
      </c>
    </row>
    <row r="42" spans="5:11" x14ac:dyDescent="0.25">
      <c r="E42" s="65">
        <v>1900000</v>
      </c>
      <c r="F42" s="66">
        <v>1.5181380891140306</v>
      </c>
      <c r="G42" s="66">
        <v>1.2181380891140305</v>
      </c>
      <c r="H42" s="66">
        <v>0.93551020455998746</v>
      </c>
      <c r="I42" s="66">
        <v>0.88841424915748335</v>
      </c>
      <c r="J42" s="67">
        <v>657730.73686276958</v>
      </c>
      <c r="K42" s="67">
        <v>18109.724326215684</v>
      </c>
    </row>
    <row r="43" spans="5:11" x14ac:dyDescent="0.25">
      <c r="E43" s="65">
        <v>1925000</v>
      </c>
      <c r="F43" s="66">
        <v>1.5617116943385398</v>
      </c>
      <c r="G43" s="66">
        <v>1.2617116943385398</v>
      </c>
      <c r="H43" s="66">
        <v>0.94082203869260317</v>
      </c>
      <c r="I43" s="66">
        <v>0.89647372633085054</v>
      </c>
      <c r="J43" s="67">
        <v>681185.77700280119</v>
      </c>
      <c r="K43" s="67">
        <v>16564.764466247289</v>
      </c>
    </row>
    <row r="44" spans="5:11" x14ac:dyDescent="0.25">
      <c r="E44" s="65">
        <v>1950000</v>
      </c>
      <c r="F44" s="66">
        <v>1.6047230437915661</v>
      </c>
      <c r="G44" s="66">
        <v>1.304723043791566</v>
      </c>
      <c r="H44" s="66">
        <v>0.94572261583858241</v>
      </c>
      <c r="I44" s="66">
        <v>0.90400641407813109</v>
      </c>
      <c r="J44" s="67">
        <v>704768.41204898013</v>
      </c>
      <c r="K44" s="67">
        <v>15147.399512426229</v>
      </c>
    </row>
    <row r="45" spans="5:11" x14ac:dyDescent="0.25">
      <c r="E45" s="65">
        <v>1975000</v>
      </c>
      <c r="F45" s="66">
        <v>1.6471864630496655</v>
      </c>
      <c r="G45" s="66">
        <v>1.3471864630496655</v>
      </c>
      <c r="H45" s="66">
        <v>0.9502401373079058</v>
      </c>
      <c r="I45" s="66">
        <v>0.91103990668073376</v>
      </c>
      <c r="J45" s="67">
        <v>728468.71606205846</v>
      </c>
      <c r="K45" s="67">
        <v>13847.703525504563</v>
      </c>
    </row>
    <row r="46" spans="5:11" x14ac:dyDescent="0.25">
      <c r="E46" s="65">
        <v>2000000</v>
      </c>
      <c r="F46" s="66">
        <v>1.6891157370725329</v>
      </c>
      <c r="G46" s="66">
        <v>1.3891157370725329</v>
      </c>
      <c r="H46" s="66">
        <v>0.95440137369672018</v>
      </c>
      <c r="I46" s="66">
        <v>0.91760122044778092</v>
      </c>
      <c r="J46" s="67">
        <v>752277.45027024392</v>
      </c>
      <c r="K46" s="67">
        <v>12656.437733690022</v>
      </c>
    </row>
    <row r="47" spans="5:11" x14ac:dyDescent="0.25">
      <c r="E47" s="65">
        <v>1900000</v>
      </c>
      <c r="F47" s="66">
        <v>1.5181380891140306</v>
      </c>
      <c r="G47" s="66">
        <v>1.2181380891140305</v>
      </c>
      <c r="H47" s="66">
        <v>0.93551020455998746</v>
      </c>
      <c r="I47" s="66">
        <v>0.88841424915748335</v>
      </c>
      <c r="J47" s="67">
        <v>657730.73686276958</v>
      </c>
      <c r="K47" s="67">
        <v>18109.724326215684</v>
      </c>
    </row>
    <row r="48" spans="5:11" x14ac:dyDescent="0.25">
      <c r="E48" s="65">
        <v>1800000</v>
      </c>
      <c r="F48" s="66">
        <v>1.3379140182131115</v>
      </c>
      <c r="G48" s="66">
        <v>1.0379140182131115</v>
      </c>
      <c r="H48" s="66">
        <v>0.9095377665450658</v>
      </c>
      <c r="I48" s="66">
        <v>0.85034495670439003</v>
      </c>
      <c r="J48" s="67">
        <v>565411.06425539148</v>
      </c>
      <c r="K48" s="67">
        <v>25790.051718837582</v>
      </c>
    </row>
    <row r="49" spans="5:11" x14ac:dyDescent="0.25">
      <c r="E49" s="65">
        <v>1700000</v>
      </c>
      <c r="F49" s="66">
        <v>1.1473859720799495</v>
      </c>
      <c r="G49" s="66">
        <v>0.84738597207994948</v>
      </c>
      <c r="H49" s="66">
        <v>0.8743889318744601</v>
      </c>
      <c r="I49" s="66">
        <v>0.80160998956247331</v>
      </c>
      <c r="J49" s="67">
        <v>476128.79720124847</v>
      </c>
      <c r="K49" s="67">
        <v>36507.784664694685</v>
      </c>
    </row>
    <row r="50" spans="5:11" x14ac:dyDescent="0.25">
      <c r="E50" s="65">
        <v>1600000</v>
      </c>
      <c r="F50" s="66">
        <v>0.9453038993584999</v>
      </c>
      <c r="G50" s="66">
        <v>0.64530389935849986</v>
      </c>
      <c r="H50" s="66">
        <v>0.82774812587461399</v>
      </c>
      <c r="I50" s="66">
        <v>0.74063486686560998</v>
      </c>
      <c r="J50" s="67">
        <v>390916.37781918072</v>
      </c>
      <c r="K50" s="67">
        <v>51295.365282626823</v>
      </c>
    </row>
    <row r="51" spans="5:11" x14ac:dyDescent="0.25">
      <c r="E51" s="65">
        <v>1500000</v>
      </c>
      <c r="F51" s="66">
        <v>0.73017549556659611</v>
      </c>
      <c r="G51" s="66">
        <v>0.43017549556659612</v>
      </c>
      <c r="H51" s="66">
        <v>0.76735854051874686</v>
      </c>
      <c r="I51" s="66">
        <v>0.66646600712024229</v>
      </c>
      <c r="J51" s="67">
        <v>311038.05954510346</v>
      </c>
      <c r="K51" s="67">
        <v>71417.047008549562</v>
      </c>
    </row>
    <row r="52" spans="5:11" x14ac:dyDescent="0.25">
      <c r="E52" s="65">
        <v>1400000</v>
      </c>
      <c r="F52" s="66">
        <v>0.50019925727675796</v>
      </c>
      <c r="G52" s="66">
        <v>0.20019925727675797</v>
      </c>
      <c r="H52" s="66">
        <v>0.69153260935736383</v>
      </c>
      <c r="I52" s="66">
        <v>0.57933762598833083</v>
      </c>
      <c r="J52" s="67">
        <v>237960.68265766022</v>
      </c>
      <c r="K52" s="67">
        <v>98339.670121106319</v>
      </c>
    </row>
    <row r="53" spans="5:11" x14ac:dyDescent="0.25">
      <c r="E53" s="65">
        <v>1300000</v>
      </c>
      <c r="F53" s="66">
        <v>0.25317268343101845</v>
      </c>
      <c r="G53" s="66">
        <v>-4.6827316568981536E-2</v>
      </c>
      <c r="H53" s="66">
        <v>0.59993261276083754</v>
      </c>
      <c r="I53" s="66">
        <v>0.48132542871795209</v>
      </c>
      <c r="J53" s="67">
        <v>173259.94010114728</v>
      </c>
      <c r="K53" s="67">
        <v>133638.9275645935</v>
      </c>
    </row>
    <row r="54" spans="5:11" x14ac:dyDescent="0.25">
      <c r="E54" s="65">
        <v>1200000</v>
      </c>
      <c r="F54" s="66">
        <v>-1.3636342147436281E-2</v>
      </c>
      <c r="G54" s="66">
        <v>-0.3136363421474363</v>
      </c>
      <c r="H54" s="66">
        <v>0.49456005516069051</v>
      </c>
      <c r="I54" s="66">
        <v>0.3768986271080963</v>
      </c>
      <c r="J54" s="67">
        <v>118436.95618196327</v>
      </c>
      <c r="K54" s="67">
        <v>178815.94364540931</v>
      </c>
    </row>
    <row r="55" spans="5:11" x14ac:dyDescent="0.25">
      <c r="E55" s="65">
        <v>1100000</v>
      </c>
      <c r="F55" s="66">
        <v>-0.30367426544620207</v>
      </c>
      <c r="G55" s="66">
        <v>-0.60367426544620206</v>
      </c>
      <c r="H55" s="66">
        <v>0.38068803292910347</v>
      </c>
      <c r="I55" s="66">
        <v>0.27303011344722661</v>
      </c>
      <c r="J55" s="67">
        <v>74635.418288368499</v>
      </c>
      <c r="K55" s="67">
        <v>235014.4057518146</v>
      </c>
    </row>
    <row r="56" spans="5:11" x14ac:dyDescent="0.25">
      <c r="E56" s="65">
        <v>1000000</v>
      </c>
      <c r="F56" s="66">
        <v>-0.62137486479395143</v>
      </c>
      <c r="G56" s="66">
        <v>-0.92137486479395148</v>
      </c>
      <c r="H56" s="66">
        <v>0.26717650301300144</v>
      </c>
      <c r="I56" s="66">
        <v>0.17842737348769133</v>
      </c>
      <c r="J56" s="67">
        <v>42290.390680822922</v>
      </c>
      <c r="K56" s="67">
        <v>302669.37814426911</v>
      </c>
    </row>
    <row r="57" spans="5:11" x14ac:dyDescent="0.25">
      <c r="E57" s="65">
        <v>900000</v>
      </c>
      <c r="F57" s="66">
        <v>-0.97257658365337285</v>
      </c>
      <c r="G57" s="66">
        <v>-1.2725765836533729</v>
      </c>
      <c r="H57" s="66">
        <v>0.1653818926749171</v>
      </c>
      <c r="I57" s="66">
        <v>0.10158416614210834</v>
      </c>
      <c r="J57" s="67">
        <v>20809.154942916372</v>
      </c>
      <c r="K57" s="67">
        <v>381188.14240636257</v>
      </c>
    </row>
    <row r="58" spans="5:11" x14ac:dyDescent="0.25">
      <c r="E58" s="65">
        <v>800000</v>
      </c>
      <c r="F58" s="66">
        <v>-1.3651867025079845</v>
      </c>
      <c r="G58" s="66">
        <v>-1.6651867025079845</v>
      </c>
      <c r="H58" s="66">
        <v>8.609718834689245E-2</v>
      </c>
      <c r="I58" s="66">
        <v>4.793775653851555E-2</v>
      </c>
      <c r="J58" s="67">
        <v>8458.0096302305392</v>
      </c>
      <c r="K58" s="67">
        <v>468836.99709367659</v>
      </c>
    </row>
    <row r="59" spans="5:11" x14ac:dyDescent="0.25">
      <c r="E59" s="65">
        <v>700000</v>
      </c>
      <c r="F59" s="66">
        <v>-1.8102913445897266</v>
      </c>
      <c r="G59" s="66">
        <v>-2.1102913445897267</v>
      </c>
      <c r="H59" s="66">
        <v>3.5125309294280191E-2</v>
      </c>
      <c r="I59" s="66">
        <v>1.7416634334543043E-2</v>
      </c>
      <c r="J59" s="67">
        <v>2636.1565584036834</v>
      </c>
      <c r="K59" s="67">
        <v>563015.14402184985</v>
      </c>
    </row>
    <row r="60" spans="5:11" x14ac:dyDescent="0.25">
      <c r="E60" s="65">
        <v>600000</v>
      </c>
      <c r="F60" s="66">
        <v>-2.3241269440139209</v>
      </c>
      <c r="G60" s="66">
        <v>-2.6241269440139208</v>
      </c>
      <c r="H60" s="66">
        <v>1.0059345671491332E-2</v>
      </c>
      <c r="I60" s="66">
        <v>4.3435700237989738E-3</v>
      </c>
      <c r="J60" s="67">
        <v>561.06301432247255</v>
      </c>
      <c r="K60" s="67">
        <v>660940.05047776853</v>
      </c>
    </row>
    <row r="61" spans="5:11" x14ac:dyDescent="0.25">
      <c r="E61" s="65">
        <v>500000</v>
      </c>
      <c r="F61" s="66">
        <v>-2.9318654666604362</v>
      </c>
      <c r="G61" s="66">
        <v>-3.2318654666604361</v>
      </c>
      <c r="H61" s="66">
        <v>1.6846633475346233E-3</v>
      </c>
      <c r="I61" s="66">
        <v>6.1492471649334586E-4</v>
      </c>
      <c r="J61" s="67">
        <v>67.293482227181812</v>
      </c>
      <c r="K61" s="67">
        <v>760446.28094567335</v>
      </c>
    </row>
    <row r="62" spans="5:11" x14ac:dyDescent="0.25">
      <c r="E62" s="65">
        <v>400000</v>
      </c>
      <c r="F62" s="66">
        <v>-3.675677304374469</v>
      </c>
      <c r="G62" s="66">
        <v>-3.9756773043744689</v>
      </c>
      <c r="H62" s="66">
        <v>1.1860961028967828E-4</v>
      </c>
      <c r="I62" s="66">
        <v>3.5089617174593233E-5</v>
      </c>
      <c r="J62" s="67">
        <v>3.2176279508775494</v>
      </c>
      <c r="K62" s="67">
        <v>860382.20509139705</v>
      </c>
    </row>
    <row r="63" spans="5:11" x14ac:dyDescent="0.25">
      <c r="E63" s="65">
        <v>300000</v>
      </c>
      <c r="F63" s="66">
        <v>-4.6346175458804053</v>
      </c>
      <c r="G63" s="66">
        <v>-4.9346175458804051</v>
      </c>
      <c r="H63" s="66">
        <v>1.7879899643588111E-6</v>
      </c>
      <c r="I63" s="66">
        <v>4.0153984250972488E-7</v>
      </c>
      <c r="J63" s="67">
        <v>3.0304609179004682E-2</v>
      </c>
      <c r="K63" s="67">
        <v>960379.0177680552</v>
      </c>
    </row>
    <row r="64" spans="5:11" x14ac:dyDescent="0.25">
      <c r="E64" s="65">
        <v>200000</v>
      </c>
      <c r="F64" s="66">
        <v>-5.9861679062409534</v>
      </c>
      <c r="G64" s="66">
        <v>-6.2861679062409532</v>
      </c>
      <c r="H64" s="66">
        <v>1.0742129245123703E-9</v>
      </c>
      <c r="I64" s="66">
        <v>1.6269900255761698E-10</v>
      </c>
      <c r="J64" s="67">
        <v>9.7801807975921528E-6</v>
      </c>
      <c r="K64" s="67">
        <v>1060378.9874732264</v>
      </c>
    </row>
    <row r="65" spans="5:11" x14ac:dyDescent="0.25">
      <c r="E65" s="65">
        <v>100000</v>
      </c>
      <c r="F65" s="66">
        <v>-8.2966585081074378</v>
      </c>
      <c r="G65" s="66">
        <v>-8.5966585081074385</v>
      </c>
      <c r="H65" s="66">
        <v>5.3540308189760874E-17</v>
      </c>
      <c r="I65" s="66">
        <v>4.103537035435753E-18</v>
      </c>
      <c r="J65" s="67">
        <v>1.8201896523482134E-13</v>
      </c>
      <c r="K65" s="67">
        <v>1160378.9874634461</v>
      </c>
    </row>
    <row r="66" spans="5:11" x14ac:dyDescent="0.25">
      <c r="E66" s="65">
        <v>50000</v>
      </c>
      <c r="F66" s="66">
        <v>-10.607149109973921</v>
      </c>
      <c r="G66" s="66">
        <v>-10.907149109973922</v>
      </c>
      <c r="H66" s="66">
        <v>1.3802172504267235E-26</v>
      </c>
      <c r="I66" s="66">
        <v>5.3272689662225147E-28</v>
      </c>
      <c r="J66" s="67">
        <v>1.8670838654064544E-23</v>
      </c>
      <c r="K66" s="67">
        <v>1210378.9874634461</v>
      </c>
    </row>
    <row r="67" spans="5:11" x14ac:dyDescent="0.25">
      <c r="E67" s="22"/>
    </row>
    <row r="68" spans="5:11" x14ac:dyDescent="0.25">
      <c r="E68" s="22"/>
    </row>
    <row r="69" spans="5:11" x14ac:dyDescent="0.25">
      <c r="E69" s="22"/>
    </row>
    <row r="70" spans="5:11" x14ac:dyDescent="0.25">
      <c r="E70" s="22"/>
    </row>
    <row r="71" spans="5:11" x14ac:dyDescent="0.25">
      <c r="E71" s="22"/>
    </row>
    <row r="72" spans="5:11" x14ac:dyDescent="0.25">
      <c r="E72" s="22"/>
    </row>
    <row r="73" spans="5:11" x14ac:dyDescent="0.25">
      <c r="E73" s="22"/>
    </row>
    <row r="74" spans="5:11" x14ac:dyDescent="0.25">
      <c r="E74" s="22"/>
    </row>
    <row r="75" spans="5:11" x14ac:dyDescent="0.25">
      <c r="E75" s="22"/>
    </row>
    <row r="76" spans="5:11" x14ac:dyDescent="0.25">
      <c r="E76" s="22"/>
    </row>
    <row r="77" spans="5:11" x14ac:dyDescent="0.25">
      <c r="E77" s="22"/>
    </row>
    <row r="78" spans="5:11" x14ac:dyDescent="0.25">
      <c r="E78" s="22"/>
    </row>
    <row r="79" spans="5:11" x14ac:dyDescent="0.25">
      <c r="E79" s="22"/>
    </row>
    <row r="80" spans="5:11" x14ac:dyDescent="0.25">
      <c r="E80" s="22"/>
    </row>
    <row r="81" spans="5:5" x14ac:dyDescent="0.25">
      <c r="E81" s="22"/>
    </row>
    <row r="82" spans="5:5" x14ac:dyDescent="0.25">
      <c r="E82" s="22"/>
    </row>
    <row r="83" spans="5:5" x14ac:dyDescent="0.25">
      <c r="E83" s="22"/>
    </row>
    <row r="84" spans="5:5" x14ac:dyDescent="0.25">
      <c r="E84" s="22"/>
    </row>
    <row r="85" spans="5:5" x14ac:dyDescent="0.25">
      <c r="E85" s="22"/>
    </row>
    <row r="86" spans="5:5" x14ac:dyDescent="0.25">
      <c r="E86" s="22"/>
    </row>
  </sheetData>
  <conditionalFormatting sqref="E10:E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4E30-A8BF-4A3C-A4B6-2298FD53D3E8}">
  <dimension ref="A1:C19"/>
  <sheetViews>
    <sheetView showGridLines="0" topLeftCell="A6" zoomScale="160" zoomScaleNormal="160" workbookViewId="0">
      <selection activeCell="A18" sqref="A18"/>
    </sheetView>
  </sheetViews>
  <sheetFormatPr defaultRowHeight="15.65" x14ac:dyDescent="0.25"/>
  <cols>
    <col min="1" max="1" width="16.875" bestFit="1" customWidth="1"/>
    <col min="2" max="2" width="6.5" bestFit="1" customWidth="1"/>
  </cols>
  <sheetData>
    <row r="1" spans="1:3" x14ac:dyDescent="0.25">
      <c r="A1" s="1" t="s">
        <v>55</v>
      </c>
      <c r="B1" s="3">
        <v>62</v>
      </c>
    </row>
    <row r="2" spans="1:3" x14ac:dyDescent="0.25">
      <c r="A2" s="1" t="s">
        <v>56</v>
      </c>
      <c r="B2" s="3">
        <v>60</v>
      </c>
    </row>
    <row r="3" spans="1:3" x14ac:dyDescent="0.25">
      <c r="A3" s="1" t="s">
        <v>57</v>
      </c>
      <c r="B3" s="11">
        <v>0.06</v>
      </c>
      <c r="C3" t="s">
        <v>60</v>
      </c>
    </row>
    <row r="4" spans="1:3" x14ac:dyDescent="0.25">
      <c r="A4" s="1" t="s">
        <v>58</v>
      </c>
      <c r="B4" s="1">
        <v>6</v>
      </c>
      <c r="C4" t="s">
        <v>62</v>
      </c>
    </row>
    <row r="5" spans="1:3" x14ac:dyDescent="0.25">
      <c r="A5" s="1" t="s">
        <v>59</v>
      </c>
      <c r="B5" s="11">
        <v>0.47</v>
      </c>
      <c r="C5" t="s">
        <v>61</v>
      </c>
    </row>
    <row r="7" spans="1:3" x14ac:dyDescent="0.25">
      <c r="A7" s="1" t="s">
        <v>69</v>
      </c>
      <c r="B7" s="18">
        <f>(LN(B1/B2)+(B3+B5^2/2)*(B4/12))/(B5*SQRT(B4/12))</f>
        <v>0.35510247446240789</v>
      </c>
    </row>
    <row r="8" spans="1:3" x14ac:dyDescent="0.25">
      <c r="A8" s="1" t="s">
        <v>70</v>
      </c>
      <c r="B8" s="18">
        <f>B7-(B5*SQRT(B4/12))</f>
        <v>2.2762287304730566E-2</v>
      </c>
    </row>
    <row r="9" spans="1:3" x14ac:dyDescent="0.25">
      <c r="A9" s="1" t="s">
        <v>65</v>
      </c>
      <c r="B9" s="18">
        <f>_xlfn.NORM.S.DIST($B7,1)</f>
        <v>0.63874358852532753</v>
      </c>
      <c r="C9" s="20">
        <f>B9-1</f>
        <v>-0.36125641147467247</v>
      </c>
    </row>
    <row r="10" spans="1:3" x14ac:dyDescent="0.25">
      <c r="A10" s="1" t="s">
        <v>66</v>
      </c>
      <c r="B10" s="18">
        <f>_xlfn.NORM.S.DIST($B8,1)</f>
        <v>0.50908005470213336</v>
      </c>
    </row>
    <row r="12" spans="1:3" x14ac:dyDescent="0.25">
      <c r="A12" s="1" t="s">
        <v>67</v>
      </c>
      <c r="B12" s="2">
        <f>B1*(B9)-(B2*EXP(-(B3)*B4/12))*(B10)</f>
        <v>9.9600345703113788</v>
      </c>
    </row>
    <row r="13" spans="1:3" x14ac:dyDescent="0.25">
      <c r="A13" s="1" t="s">
        <v>68</v>
      </c>
      <c r="B13" s="2">
        <f>(B2*EXP(-(B3)*B4/12))+B12-B1</f>
        <v>6.1867665832218677</v>
      </c>
    </row>
    <row r="15" spans="1:3" x14ac:dyDescent="0.25">
      <c r="A15" s="1" t="s">
        <v>79</v>
      </c>
      <c r="B15" s="3">
        <f>MAX(B1-B2,0)</f>
        <v>2</v>
      </c>
    </row>
    <row r="16" spans="1:3" x14ac:dyDescent="0.25">
      <c r="A16" s="1" t="s">
        <v>80</v>
      </c>
      <c r="B16" s="3">
        <f>MAX(B2-B1,0)</f>
        <v>0</v>
      </c>
    </row>
    <row r="18" spans="1:2" x14ac:dyDescent="0.25">
      <c r="A18" s="1" t="s">
        <v>81</v>
      </c>
      <c r="B18" s="2">
        <f>$B12-$B15</f>
        <v>7.9600345703113788</v>
      </c>
    </row>
    <row r="19" spans="1:2" x14ac:dyDescent="0.25">
      <c r="A19" s="1" t="s">
        <v>82</v>
      </c>
      <c r="B19" s="2">
        <f>$B13-$B16</f>
        <v>6.1867665832218677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10DB-E7D6-4CA7-A393-63BB71C359CB}">
  <dimension ref="A1:C19"/>
  <sheetViews>
    <sheetView showGridLines="0" topLeftCell="A12" zoomScale="160" zoomScaleNormal="160" workbookViewId="0">
      <selection activeCell="B19" sqref="B19"/>
    </sheetView>
  </sheetViews>
  <sheetFormatPr defaultRowHeight="15.65" x14ac:dyDescent="0.25"/>
  <cols>
    <col min="1" max="1" width="28.125" bestFit="1" customWidth="1"/>
  </cols>
  <sheetData>
    <row r="1" spans="1:3" x14ac:dyDescent="0.25">
      <c r="A1" s="1" t="s">
        <v>1</v>
      </c>
      <c r="B1" s="3">
        <v>77</v>
      </c>
      <c r="C1" t="s">
        <v>2</v>
      </c>
    </row>
    <row r="2" spans="1:3" x14ac:dyDescent="0.25">
      <c r="A2" s="1" t="s">
        <v>75</v>
      </c>
      <c r="B2" s="11">
        <v>0.16</v>
      </c>
      <c r="C2" t="s">
        <v>83</v>
      </c>
    </row>
    <row r="3" spans="1:3" x14ac:dyDescent="0.25">
      <c r="A3" s="1" t="s">
        <v>84</v>
      </c>
      <c r="B3" s="3">
        <v>75</v>
      </c>
    </row>
    <row r="4" spans="1:3" x14ac:dyDescent="0.25">
      <c r="A4" s="1" t="s">
        <v>43</v>
      </c>
      <c r="B4" s="1">
        <v>1</v>
      </c>
    </row>
    <row r="5" spans="1:3" x14ac:dyDescent="0.25">
      <c r="A5" s="1" t="s">
        <v>45</v>
      </c>
      <c r="B5" s="11">
        <v>0.08</v>
      </c>
    </row>
    <row r="7" spans="1:3" x14ac:dyDescent="0.25">
      <c r="A7" s="1" t="s">
        <v>10</v>
      </c>
      <c r="B7" s="2">
        <f>$B$1*(1+$B$2)</f>
        <v>89.32</v>
      </c>
      <c r="C7" t="s">
        <v>85</v>
      </c>
    </row>
    <row r="8" spans="1:3" x14ac:dyDescent="0.25">
      <c r="A8" s="1" t="s">
        <v>10</v>
      </c>
      <c r="B8" s="2">
        <f>$B$1*(1-$B$2)</f>
        <v>64.679999999999993</v>
      </c>
      <c r="C8" t="s">
        <v>86</v>
      </c>
    </row>
    <row r="9" spans="1:3" x14ac:dyDescent="0.25">
      <c r="A9" s="1" t="s">
        <v>87</v>
      </c>
      <c r="B9" s="2">
        <f>MAX($B7-$B$3,0)</f>
        <v>14.319999999999993</v>
      </c>
    </row>
    <row r="10" spans="1:3" x14ac:dyDescent="0.25">
      <c r="A10" s="1" t="s">
        <v>88</v>
      </c>
      <c r="B10" s="2">
        <f>MAX($B8-$B$3,0)</f>
        <v>0</v>
      </c>
    </row>
    <row r="11" spans="1:3" x14ac:dyDescent="0.25">
      <c r="A11" s="1" t="s">
        <v>89</v>
      </c>
      <c r="B11" s="11">
        <f>(B12*B2)+(1-B12)*-(B2)</f>
        <v>7.9999999999999988E-2</v>
      </c>
    </row>
    <row r="12" spans="1:3" x14ac:dyDescent="0.25">
      <c r="A12" s="1" t="s">
        <v>90</v>
      </c>
      <c r="B12" s="19">
        <v>0.75</v>
      </c>
    </row>
    <row r="13" spans="1:3" x14ac:dyDescent="0.25">
      <c r="A13" s="1" t="s">
        <v>91</v>
      </c>
      <c r="B13" s="19">
        <f>1-B12</f>
        <v>0.25</v>
      </c>
    </row>
    <row r="14" spans="1:3" x14ac:dyDescent="0.25">
      <c r="A14" s="1" t="s">
        <v>92</v>
      </c>
      <c r="B14" s="2">
        <f>PV(B11,B4,,-((B12*B9)+(B13*B10)))</f>
        <v>9.9444444444444393</v>
      </c>
      <c r="C14" s="68">
        <f>PV($B$5,$B$4,,-SUMPRODUCT($B$12:$B$13,$B$9:$B$10))</f>
        <v>9.9444444444444393</v>
      </c>
    </row>
    <row r="16" spans="1:3" x14ac:dyDescent="0.25">
      <c r="A16" s="1" t="s">
        <v>89</v>
      </c>
      <c r="B16" s="19">
        <f>((B17*B2)+(1-B17)*-(B2))</f>
        <v>4.9999999999999996E-2</v>
      </c>
    </row>
    <row r="17" spans="1:3" x14ac:dyDescent="0.25">
      <c r="A17" s="1" t="s">
        <v>90</v>
      </c>
      <c r="B17" s="19">
        <v>0.65625</v>
      </c>
    </row>
    <row r="18" spans="1:3" x14ac:dyDescent="0.25">
      <c r="A18" s="1" t="s">
        <v>91</v>
      </c>
      <c r="B18" s="19">
        <f>1-B17</f>
        <v>0.34375</v>
      </c>
    </row>
    <row r="19" spans="1:3" x14ac:dyDescent="0.25">
      <c r="A19" s="1" t="s">
        <v>92</v>
      </c>
      <c r="B19" s="2">
        <f>PV(B16,B4,,-((B17*B9)+(B18*B10)))</f>
        <v>8.9499999999999957</v>
      </c>
      <c r="C19" s="68">
        <f>PV($B$16,$B$4,,-SUMPRODUCT($B$17:$B$18,$B$9:$B$10))</f>
        <v>8.9499999999999957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D44C-F271-481A-B63C-717087C86D9B}">
  <dimension ref="A1:C32"/>
  <sheetViews>
    <sheetView showGridLines="0" zoomScale="160" zoomScaleNormal="160" workbookViewId="0">
      <selection sqref="A1:E5"/>
    </sheetView>
  </sheetViews>
  <sheetFormatPr defaultRowHeight="15.65" x14ac:dyDescent="0.25"/>
  <cols>
    <col min="1" max="1" width="15.375" bestFit="1" customWidth="1"/>
    <col min="2" max="2" width="9.625" bestFit="1" customWidth="1"/>
  </cols>
  <sheetData>
    <row r="1" spans="1:3" x14ac:dyDescent="0.25">
      <c r="A1" s="1" t="s">
        <v>94</v>
      </c>
      <c r="B1" s="3">
        <v>10000</v>
      </c>
      <c r="C1" t="s">
        <v>93</v>
      </c>
    </row>
    <row r="2" spans="1:3" x14ac:dyDescent="0.25">
      <c r="A2" s="1" t="s">
        <v>95</v>
      </c>
      <c r="B2" s="3">
        <v>11200</v>
      </c>
      <c r="C2" t="s">
        <v>96</v>
      </c>
    </row>
    <row r="3" spans="1:3" x14ac:dyDescent="0.25">
      <c r="A3" s="1" t="s">
        <v>77</v>
      </c>
      <c r="B3" s="11">
        <v>0.38</v>
      </c>
      <c r="C3" t="s">
        <v>97</v>
      </c>
    </row>
    <row r="4" spans="1:3" x14ac:dyDescent="0.25">
      <c r="A4" s="1" t="s">
        <v>45</v>
      </c>
      <c r="B4" s="11">
        <v>0.05</v>
      </c>
      <c r="C4" t="s">
        <v>46</v>
      </c>
    </row>
    <row r="5" spans="1:3" x14ac:dyDescent="0.25">
      <c r="A5" s="1" t="s">
        <v>43</v>
      </c>
      <c r="B5" s="1">
        <v>1</v>
      </c>
    </row>
    <row r="7" spans="1:3" x14ac:dyDescent="0.25">
      <c r="A7" s="1" t="s">
        <v>69</v>
      </c>
      <c r="B7" s="18">
        <f>(LN(B2/B1)+(B4+B3^2/2)*(B5))/(B3*SQRT(B5))</f>
        <v>0.61981232975527178</v>
      </c>
      <c r="C7" s="20"/>
    </row>
    <row r="8" spans="1:3" x14ac:dyDescent="0.25">
      <c r="A8" s="1" t="s">
        <v>70</v>
      </c>
      <c r="B8" s="18">
        <f>B7-(B3*SQRT(B5))</f>
        <v>0.23981232975527178</v>
      </c>
    </row>
    <row r="9" spans="1:3" x14ac:dyDescent="0.25">
      <c r="A9" s="1" t="s">
        <v>65</v>
      </c>
      <c r="B9" s="18">
        <f>_xlfn.NORM.S.DIST($B7,1)</f>
        <v>0.73230932490265321</v>
      </c>
    </row>
    <row r="10" spans="1:3" x14ac:dyDescent="0.25">
      <c r="A10" s="1" t="s">
        <v>66</v>
      </c>
      <c r="B10" s="18">
        <f>_xlfn.NORM.S.DIST($B8,1)</f>
        <v>0.5947621259549486</v>
      </c>
    </row>
    <row r="12" spans="1:3" x14ac:dyDescent="0.25">
      <c r="A12" s="1" t="s">
        <v>98</v>
      </c>
      <c r="B12" s="2">
        <f>B2*B9-(B1*EXP(-(B4)*B5))*(B10)</f>
        <v>2544.3120910402458</v>
      </c>
      <c r="C12" t="s">
        <v>74</v>
      </c>
    </row>
    <row r="13" spans="1:3" x14ac:dyDescent="0.25">
      <c r="A13" s="1" t="s">
        <v>99</v>
      </c>
      <c r="B13" s="2">
        <f>B2-B12</f>
        <v>8655.6879089597533</v>
      </c>
      <c r="C13" t="s">
        <v>74</v>
      </c>
    </row>
    <row r="15" spans="1:3" x14ac:dyDescent="0.25">
      <c r="A15" s="1" t="s">
        <v>101</v>
      </c>
      <c r="B15" s="3">
        <v>1200</v>
      </c>
    </row>
    <row r="16" spans="1:3" x14ac:dyDescent="0.25">
      <c r="A16" s="1" t="s">
        <v>102</v>
      </c>
      <c r="B16" s="3">
        <v>1600</v>
      </c>
    </row>
    <row r="17" spans="1:3" x14ac:dyDescent="0.25">
      <c r="A17" s="1" t="s">
        <v>103</v>
      </c>
      <c r="B17" s="11">
        <v>0.55000000000000004</v>
      </c>
      <c r="C17" t="s">
        <v>78</v>
      </c>
    </row>
    <row r="18" spans="1:3" x14ac:dyDescent="0.25">
      <c r="A18" s="1" t="s">
        <v>104</v>
      </c>
      <c r="B18" s="11">
        <v>0.34</v>
      </c>
      <c r="C18" t="s">
        <v>78</v>
      </c>
    </row>
    <row r="20" spans="1:3" x14ac:dyDescent="0.25">
      <c r="A20" s="1" t="s">
        <v>105</v>
      </c>
      <c r="B20" s="18">
        <f>(LN(($B$2+$B15)/$B$1)+($B$4+$B17^2/2)*($B$5))/($B17*SQRT($B$5))</f>
        <v>0.75702069021262819</v>
      </c>
    </row>
    <row r="21" spans="1:3" x14ac:dyDescent="0.25">
      <c r="A21" s="1" t="s">
        <v>107</v>
      </c>
      <c r="B21" s="18">
        <f>$B20-($B17*SQRT($B$5))</f>
        <v>0.20702069021262814</v>
      </c>
    </row>
    <row r="22" spans="1:3" x14ac:dyDescent="0.25">
      <c r="A22" s="1" t="s">
        <v>106</v>
      </c>
      <c r="B22" s="18">
        <f>(LN(($B$2+$B16)/$B$1)+($B$4+$B18^2/2)*($B$5))/($B18*SQRT($B$5))</f>
        <v>1.0431178762691935</v>
      </c>
    </row>
    <row r="23" spans="1:3" x14ac:dyDescent="0.25">
      <c r="A23" s="1" t="s">
        <v>108</v>
      </c>
      <c r="B23" s="18">
        <f>$B22-($B18*SQRT($B$5))</f>
        <v>0.70311787626919342</v>
      </c>
    </row>
    <row r="24" spans="1:3" x14ac:dyDescent="0.25">
      <c r="A24" s="1" t="s">
        <v>109</v>
      </c>
      <c r="B24" s="18">
        <f>_xlfn.NORM.S.DIST($B20,1)</f>
        <v>0.77548126654359351</v>
      </c>
    </row>
    <row r="25" spans="1:3" x14ac:dyDescent="0.25">
      <c r="A25" s="1" t="s">
        <v>111</v>
      </c>
      <c r="B25" s="18">
        <f>_xlfn.NORM.S.DIST($B22,1)</f>
        <v>0.85155314882390276</v>
      </c>
    </row>
    <row r="26" spans="1:3" x14ac:dyDescent="0.25">
      <c r="A26" s="1" t="s">
        <v>110</v>
      </c>
      <c r="B26" s="18">
        <f>_xlfn.NORM.S.DIST($B21,1)</f>
        <v>0.58200314997272384</v>
      </c>
    </row>
    <row r="27" spans="1:3" x14ac:dyDescent="0.25">
      <c r="A27" s="1" t="s">
        <v>112</v>
      </c>
      <c r="B27" s="18">
        <f t="shared" ref="B27" si="0">_xlfn.NORM.S.DIST($B23,1)</f>
        <v>0.7590088536896068</v>
      </c>
    </row>
    <row r="29" spans="1:3" x14ac:dyDescent="0.25">
      <c r="A29" s="1" t="s">
        <v>113</v>
      </c>
      <c r="B29" s="2">
        <f>($B$2+$B15)*$B24-($B$1*EXP(-($B$4)*$B$5))*($B26)</f>
        <v>4079.7824910789914</v>
      </c>
    </row>
    <row r="30" spans="1:3" x14ac:dyDescent="0.25">
      <c r="A30" s="1" t="s">
        <v>115</v>
      </c>
      <c r="B30" s="2">
        <f>($B$2+$B16)*$B25-($B$1*EXP(-($B$4)*$B$5))*($B27)</f>
        <v>3679.9647540848409</v>
      </c>
    </row>
    <row r="31" spans="1:3" x14ac:dyDescent="0.25">
      <c r="A31" s="1" t="s">
        <v>114</v>
      </c>
      <c r="B31" s="2">
        <f>($B$2+$B15)-$B29</f>
        <v>8320.2175089210086</v>
      </c>
    </row>
    <row r="32" spans="1:3" x14ac:dyDescent="0.25">
      <c r="A32" s="1" t="s">
        <v>116</v>
      </c>
      <c r="B32" s="2">
        <f>($B$2+$B16)-$B30</f>
        <v>9120.0352459151582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D98F-D875-42D3-A149-50CB32B43553}">
  <dimension ref="A1:C16"/>
  <sheetViews>
    <sheetView showGridLines="0" topLeftCell="A4" zoomScale="160" zoomScaleNormal="160" workbookViewId="0">
      <selection activeCell="B15" sqref="B15"/>
    </sheetView>
  </sheetViews>
  <sheetFormatPr defaultRowHeight="15.65" x14ac:dyDescent="0.25"/>
  <cols>
    <col min="1" max="1" width="15.375" bestFit="1" customWidth="1"/>
    <col min="2" max="2" width="12.25" bestFit="1" customWidth="1"/>
  </cols>
  <sheetData>
    <row r="1" spans="1:3" x14ac:dyDescent="0.25">
      <c r="A1" s="1" t="s">
        <v>94</v>
      </c>
      <c r="B1" s="3">
        <v>15000</v>
      </c>
      <c r="C1" t="s">
        <v>93</v>
      </c>
    </row>
    <row r="2" spans="1:3" x14ac:dyDescent="0.25">
      <c r="A2" s="1" t="s">
        <v>95</v>
      </c>
      <c r="B2" s="3">
        <v>16900</v>
      </c>
      <c r="C2" t="s">
        <v>96</v>
      </c>
    </row>
    <row r="3" spans="1:3" x14ac:dyDescent="0.25">
      <c r="A3" s="1" t="s">
        <v>77</v>
      </c>
      <c r="B3" s="11">
        <v>0.53</v>
      </c>
      <c r="C3" t="s">
        <v>97</v>
      </c>
    </row>
    <row r="4" spans="1:3" x14ac:dyDescent="0.25">
      <c r="A4" s="1" t="s">
        <v>45</v>
      </c>
      <c r="B4" s="11">
        <v>0.05</v>
      </c>
      <c r="C4" t="s">
        <v>46</v>
      </c>
    </row>
    <row r="5" spans="1:3" x14ac:dyDescent="0.25">
      <c r="A5" s="1" t="s">
        <v>43</v>
      </c>
      <c r="B5" s="1">
        <v>1</v>
      </c>
    </row>
    <row r="7" spans="1:3" x14ac:dyDescent="0.25">
      <c r="A7" s="18" t="s">
        <v>69</v>
      </c>
      <c r="B7" s="18">
        <f>(LN(B2/B1)+(B4+B3^2/2)*(B5))/(B3*SQRT(B5))</f>
        <v>0.5843649449562599</v>
      </c>
    </row>
    <row r="8" spans="1:3" x14ac:dyDescent="0.25">
      <c r="A8" s="18" t="s">
        <v>70</v>
      </c>
      <c r="B8" s="18">
        <f>B7-(B3*SQRT(B5))</f>
        <v>5.4364944956259875E-2</v>
      </c>
    </row>
    <row r="9" spans="1:3" x14ac:dyDescent="0.25">
      <c r="A9" s="18" t="s">
        <v>65</v>
      </c>
      <c r="B9" s="18">
        <f>_xlfn.NORM.S.DIST($B7,1)</f>
        <v>0.72051259688413172</v>
      </c>
    </row>
    <row r="10" spans="1:3" x14ac:dyDescent="0.25">
      <c r="A10" s="18" t="s">
        <v>66</v>
      </c>
      <c r="B10" s="18">
        <f>_xlfn.NORM.S.DIST($B8,1)</f>
        <v>0.52167779629731625</v>
      </c>
    </row>
    <row r="12" spans="1:3" x14ac:dyDescent="0.25">
      <c r="A12" s="18" t="s">
        <v>98</v>
      </c>
      <c r="B12" s="2">
        <f>B2*B9-(B1*EXP(-(B4)*B5))*(B10)</f>
        <v>4733.1338381413743</v>
      </c>
      <c r="C12" t="s">
        <v>100</v>
      </c>
    </row>
    <row r="13" spans="1:3" x14ac:dyDescent="0.25">
      <c r="A13" s="18" t="s">
        <v>99</v>
      </c>
      <c r="B13" s="2">
        <f>B2-B12</f>
        <v>12166.866161858627</v>
      </c>
      <c r="C13" t="s">
        <v>100</v>
      </c>
    </row>
    <row r="15" spans="1:3" x14ac:dyDescent="0.25">
      <c r="A15" s="18" t="s">
        <v>99</v>
      </c>
      <c r="B15" s="2">
        <f>B1*EXP(-(B16)*B5)</f>
        <v>12166.870006043695</v>
      </c>
      <c r="C15" t="s">
        <v>100</v>
      </c>
    </row>
    <row r="16" spans="1:3" x14ac:dyDescent="0.25">
      <c r="A16" s="18" t="s">
        <v>117</v>
      </c>
      <c r="B16" s="19">
        <v>0.2093335164960225</v>
      </c>
      <c r="C1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22C7-4C1C-4920-B836-8ACA77B1B757}">
  <dimension ref="A1:D16"/>
  <sheetViews>
    <sheetView showGridLines="0" zoomScale="160" zoomScaleNormal="160" workbookViewId="0"/>
  </sheetViews>
  <sheetFormatPr defaultRowHeight="15.65" x14ac:dyDescent="0.25"/>
  <cols>
    <col min="1" max="1" width="17.625" bestFit="1" customWidth="1"/>
    <col min="2" max="2" width="11.75" bestFit="1" customWidth="1"/>
    <col min="4" max="4" width="10.75" bestFit="1" customWidth="1"/>
  </cols>
  <sheetData>
    <row r="1" spans="1:4" x14ac:dyDescent="0.25">
      <c r="A1" s="1" t="s">
        <v>98</v>
      </c>
      <c r="B1" s="2">
        <f>'21. &amp; 22.'!$B12+'23.'!$B12</f>
        <v>7277.4459291816202</v>
      </c>
    </row>
    <row r="2" spans="1:4" x14ac:dyDescent="0.25">
      <c r="A2" s="1" t="s">
        <v>99</v>
      </c>
      <c r="B2" s="2">
        <f>'21. &amp; 22.'!$B13+'23.'!$B13</f>
        <v>20822.55407081838</v>
      </c>
    </row>
    <row r="3" spans="1:4" x14ac:dyDescent="0.25">
      <c r="A3" s="1" t="s">
        <v>77</v>
      </c>
      <c r="B3" s="11">
        <v>0.28999999999999998</v>
      </c>
      <c r="C3" t="s">
        <v>118</v>
      </c>
    </row>
    <row r="4" spans="1:4" x14ac:dyDescent="0.25">
      <c r="A4" s="1" t="s">
        <v>89</v>
      </c>
      <c r="B4" s="11">
        <v>0.05</v>
      </c>
      <c r="C4" t="s">
        <v>46</v>
      </c>
    </row>
    <row r="5" spans="1:4" x14ac:dyDescent="0.25">
      <c r="A5" s="1" t="s">
        <v>43</v>
      </c>
      <c r="B5" s="23">
        <v>1</v>
      </c>
    </row>
    <row r="6" spans="1:4" x14ac:dyDescent="0.25">
      <c r="A6" s="1" t="s">
        <v>119</v>
      </c>
      <c r="B6" s="3">
        <f>'21. &amp; 22.'!$B$2+'23.'!$B$2</f>
        <v>28100</v>
      </c>
      <c r="D6" s="6"/>
    </row>
    <row r="7" spans="1:4" x14ac:dyDescent="0.25">
      <c r="A7" s="1" t="s">
        <v>120</v>
      </c>
      <c r="B7" s="3">
        <f>'21. &amp; 22.'!$B$1+'23.'!$B$1</f>
        <v>25000</v>
      </c>
    </row>
    <row r="8" spans="1:4" x14ac:dyDescent="0.25">
      <c r="A8" s="1" t="s">
        <v>69</v>
      </c>
      <c r="B8" s="18">
        <f>(LN(B6/B7)+(B4+B3^2/2)*(B5))/(B3*SQRT(B5))</f>
        <v>0.7204956947293083</v>
      </c>
    </row>
    <row r="9" spans="1:4" x14ac:dyDescent="0.25">
      <c r="A9" s="1" t="s">
        <v>70</v>
      </c>
      <c r="B9" s="18">
        <f>B8-(B3*SQRT(B5))</f>
        <v>0.43049569472930832</v>
      </c>
    </row>
    <row r="10" spans="1:4" x14ac:dyDescent="0.25">
      <c r="A10" s="1" t="s">
        <v>65</v>
      </c>
      <c r="B10" s="18">
        <f>_xlfn.NORM.S.DIST($B8,1)</f>
        <v>0.76439007523343661</v>
      </c>
    </row>
    <row r="11" spans="1:4" x14ac:dyDescent="0.25">
      <c r="A11" s="1" t="s">
        <v>66</v>
      </c>
      <c r="B11" s="18">
        <f>_xlfn.NORM.S.DIST($B9,1)</f>
        <v>0.66658245109881831</v>
      </c>
    </row>
    <row r="13" spans="1:4" x14ac:dyDescent="0.25">
      <c r="A13" s="1" t="s">
        <v>98</v>
      </c>
      <c r="B13" s="2">
        <f>B6*B10-(B7*EXP(-(B4)*B5))*(B11)</f>
        <v>5627.5400805344598</v>
      </c>
      <c r="C13" t="s">
        <v>100</v>
      </c>
    </row>
    <row r="14" spans="1:4" x14ac:dyDescent="0.25">
      <c r="A14" s="1" t="s">
        <v>99</v>
      </c>
      <c r="B14" s="2">
        <f>B6-B13</f>
        <v>22472.459919465538</v>
      </c>
      <c r="C14" t="s">
        <v>100</v>
      </c>
    </row>
    <row r="15" spans="1:4" x14ac:dyDescent="0.25">
      <c r="A15" s="1" t="s">
        <v>121</v>
      </c>
      <c r="B15" s="2">
        <f>$B13-$B1</f>
        <v>-1649.9058486471604</v>
      </c>
    </row>
    <row r="16" spans="1:4" x14ac:dyDescent="0.25">
      <c r="A16" s="1" t="s">
        <v>122</v>
      </c>
      <c r="B16" s="2">
        <f>$B14-$B2</f>
        <v>1649.9058486471586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76BB-38EB-4B81-892D-2A1D181E79FA}">
  <dimension ref="A1:C28"/>
  <sheetViews>
    <sheetView showGridLines="0" topLeftCell="A17" zoomScale="160" zoomScaleNormal="160" workbookViewId="0">
      <selection activeCell="B28" sqref="B28"/>
    </sheetView>
  </sheetViews>
  <sheetFormatPr defaultRowHeight="15.65" x14ac:dyDescent="0.25"/>
  <cols>
    <col min="1" max="1" width="15.375" bestFit="1" customWidth="1"/>
    <col min="2" max="2" width="13.375" bestFit="1" customWidth="1"/>
  </cols>
  <sheetData>
    <row r="1" spans="1:3" x14ac:dyDescent="0.25">
      <c r="A1" s="1" t="s">
        <v>94</v>
      </c>
      <c r="B1" s="3">
        <v>8000000</v>
      </c>
      <c r="C1" t="s">
        <v>93</v>
      </c>
    </row>
    <row r="2" spans="1:3" x14ac:dyDescent="0.25">
      <c r="A2" s="1" t="s">
        <v>43</v>
      </c>
      <c r="B2" s="1">
        <v>10</v>
      </c>
    </row>
    <row r="3" spans="1:3" x14ac:dyDescent="0.25">
      <c r="A3" s="1" t="s">
        <v>95</v>
      </c>
      <c r="B3" s="3">
        <v>7100000</v>
      </c>
      <c r="C3" t="s">
        <v>123</v>
      </c>
    </row>
    <row r="4" spans="1:3" x14ac:dyDescent="0.25">
      <c r="A4" s="1" t="s">
        <v>77</v>
      </c>
      <c r="B4" s="11">
        <v>0.39</v>
      </c>
      <c r="C4" t="s">
        <v>124</v>
      </c>
    </row>
    <row r="5" spans="1:3" x14ac:dyDescent="0.25">
      <c r="A5" s="1" t="s">
        <v>45</v>
      </c>
      <c r="B5" s="11">
        <v>0.06</v>
      </c>
      <c r="C5" t="s">
        <v>46</v>
      </c>
    </row>
    <row r="7" spans="1:3" x14ac:dyDescent="0.25">
      <c r="A7" s="1" t="s">
        <v>69</v>
      </c>
      <c r="B7" s="18">
        <f>(LN($B$3/$B$1)+($B$5+$B$4^2/2)*($B$2))/($B$4*SQRT($B$2))</f>
        <v>1.0063772233805348</v>
      </c>
    </row>
    <row r="8" spans="1:3" x14ac:dyDescent="0.25">
      <c r="A8" s="1" t="s">
        <v>70</v>
      </c>
      <c r="B8" s="18">
        <f>$B$7-($B$4*SQRT($B$2))</f>
        <v>-0.22691106408513328</v>
      </c>
    </row>
    <row r="9" spans="1:3" x14ac:dyDescent="0.25">
      <c r="A9" s="1" t="s">
        <v>65</v>
      </c>
      <c r="B9" s="18">
        <f>_xlfn.NORM.S.DIST($B7,1)</f>
        <v>0.84288292711261814</v>
      </c>
    </row>
    <row r="10" spans="1:3" x14ac:dyDescent="0.25">
      <c r="A10" s="1" t="s">
        <v>66</v>
      </c>
      <c r="B10" s="18">
        <f>_xlfn.NORM.S.DIST($B8,1)</f>
        <v>0.41024644927341858</v>
      </c>
    </row>
    <row r="12" spans="1:3" x14ac:dyDescent="0.25">
      <c r="A12" s="1" t="s">
        <v>98</v>
      </c>
      <c r="B12" s="2">
        <f>B3*B9-(B1*EXP(-(B5)*B2))*(B10)</f>
        <v>4183284.5822795099</v>
      </c>
      <c r="C12" t="s">
        <v>100</v>
      </c>
    </row>
    <row r="13" spans="1:3" x14ac:dyDescent="0.25">
      <c r="A13" s="1" t="s">
        <v>99</v>
      </c>
      <c r="B13" s="2">
        <f>B3-B12</f>
        <v>2916715.4177204901</v>
      </c>
      <c r="C13" t="s">
        <v>100</v>
      </c>
    </row>
    <row r="15" spans="1:3" x14ac:dyDescent="0.25">
      <c r="A15" s="1" t="s">
        <v>99</v>
      </c>
      <c r="B15" s="2">
        <f>B1*EXP(-(B16)*B2)</f>
        <v>2916715.4200003818</v>
      </c>
    </row>
    <row r="16" spans="1:3" x14ac:dyDescent="0.25">
      <c r="A16" s="1" t="s">
        <v>117</v>
      </c>
      <c r="B16" s="19">
        <v>0.10089834146894215</v>
      </c>
      <c r="C16" t="s">
        <v>46</v>
      </c>
    </row>
    <row r="18" spans="1:3" x14ac:dyDescent="0.25">
      <c r="A18" s="1" t="s">
        <v>125</v>
      </c>
      <c r="B18" s="3">
        <v>1100000</v>
      </c>
    </row>
    <row r="19" spans="1:3" x14ac:dyDescent="0.25">
      <c r="A19" s="1" t="s">
        <v>69</v>
      </c>
      <c r="B19" s="18">
        <f>(LN(($B$3+$B$18)/$B$1)+($B$5+$B$4^2/2)*($B$2))/($B$4*SQRT($B$2))</f>
        <v>1.1231701676473855</v>
      </c>
    </row>
    <row r="20" spans="1:3" x14ac:dyDescent="0.25">
      <c r="A20" s="1" t="s">
        <v>70</v>
      </c>
      <c r="B20" s="18">
        <f>$B$19-($B$4*SQRT($B$2))</f>
        <v>-0.11011811981828257</v>
      </c>
    </row>
    <row r="21" spans="1:3" x14ac:dyDescent="0.25">
      <c r="A21" s="1" t="s">
        <v>65</v>
      </c>
      <c r="B21" s="18">
        <f>_xlfn.NORM.S.DIST($B19,1)</f>
        <v>0.86931738501388034</v>
      </c>
    </row>
    <row r="22" spans="1:3" x14ac:dyDescent="0.25">
      <c r="A22" s="1" t="s">
        <v>66</v>
      </c>
      <c r="B22" s="18">
        <f>_xlfn.NORM.S.DIST($B20,1)</f>
        <v>0.45615784900583117</v>
      </c>
    </row>
    <row r="24" spans="1:3" x14ac:dyDescent="0.25">
      <c r="A24" s="1" t="s">
        <v>98</v>
      </c>
      <c r="B24" s="2">
        <f>(B3+B18)*B21-(B1*EXP(-(B5)*B2))*(B22)</f>
        <v>5125644.6736736428</v>
      </c>
    </row>
    <row r="25" spans="1:3" x14ac:dyDescent="0.25">
      <c r="A25" s="1" t="s">
        <v>99</v>
      </c>
      <c r="B25" s="2">
        <f>(B3+B18)-B24</f>
        <v>3074355.3263263572</v>
      </c>
    </row>
    <row r="27" spans="1:3" x14ac:dyDescent="0.25">
      <c r="A27" s="1" t="s">
        <v>99</v>
      </c>
      <c r="B27" s="2">
        <f>B1*EXP(-(B28)*B2)</f>
        <v>3074355.3300000289</v>
      </c>
    </row>
    <row r="28" spans="1:3" x14ac:dyDescent="0.25">
      <c r="A28" s="1" t="s">
        <v>117</v>
      </c>
      <c r="B28" s="19">
        <v>9.5634631118121066E-2</v>
      </c>
      <c r="C28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2931-F897-4A77-B573-E1BB400C743B}">
  <dimension ref="A1:D21"/>
  <sheetViews>
    <sheetView showGridLines="0" topLeftCell="A15" zoomScale="160" zoomScaleNormal="160" workbookViewId="0">
      <selection activeCell="A21" sqref="A21:B21"/>
    </sheetView>
  </sheetViews>
  <sheetFormatPr defaultRowHeight="15.65" x14ac:dyDescent="0.25"/>
  <cols>
    <col min="1" max="1" width="28.5" bestFit="1" customWidth="1"/>
    <col min="2" max="2" width="7.75" bestFit="1" customWidth="1"/>
  </cols>
  <sheetData>
    <row r="1" spans="1:4" x14ac:dyDescent="0.25">
      <c r="A1" s="1" t="s">
        <v>126</v>
      </c>
      <c r="B1" s="3">
        <v>60</v>
      </c>
      <c r="C1" t="s">
        <v>132</v>
      </c>
    </row>
    <row r="2" spans="1:4" x14ac:dyDescent="0.25">
      <c r="A2" s="1" t="s">
        <v>127</v>
      </c>
      <c r="B2" s="3">
        <v>62</v>
      </c>
      <c r="C2" t="s">
        <v>2</v>
      </c>
    </row>
    <row r="3" spans="1:4" x14ac:dyDescent="0.25">
      <c r="A3" s="1" t="s">
        <v>10</v>
      </c>
      <c r="B3" s="3">
        <v>73</v>
      </c>
      <c r="C3" t="s">
        <v>128</v>
      </c>
    </row>
    <row r="4" spans="1:4" x14ac:dyDescent="0.25">
      <c r="A4" s="1" t="s">
        <v>10</v>
      </c>
      <c r="B4" s="3">
        <v>49</v>
      </c>
      <c r="C4" t="s">
        <v>129</v>
      </c>
    </row>
    <row r="5" spans="1:4" x14ac:dyDescent="0.25">
      <c r="A5" s="1" t="s">
        <v>43</v>
      </c>
      <c r="B5" s="26">
        <v>1</v>
      </c>
    </row>
    <row r="6" spans="1:4" x14ac:dyDescent="0.25">
      <c r="A6" s="1" t="s">
        <v>130</v>
      </c>
      <c r="B6" s="4">
        <f>((B7)*((B3/B2)-1))+((1-B7)*((B4/B2)-1))</f>
        <v>2.5000000000000008E-2</v>
      </c>
      <c r="C6" t="s">
        <v>131</v>
      </c>
    </row>
    <row r="7" spans="1:4" x14ac:dyDescent="0.25">
      <c r="A7" s="1" t="s">
        <v>90</v>
      </c>
      <c r="B7" s="19">
        <v>0.60624999999999996</v>
      </c>
      <c r="C7" s="7"/>
    </row>
    <row r="8" spans="1:4" x14ac:dyDescent="0.25">
      <c r="A8" s="1" t="s">
        <v>91</v>
      </c>
      <c r="B8" s="19">
        <f>1-B7</f>
        <v>0.39375000000000004</v>
      </c>
    </row>
    <row r="9" spans="1:4" x14ac:dyDescent="0.25">
      <c r="A9" s="1" t="s">
        <v>133</v>
      </c>
      <c r="B9" s="16">
        <f>B7*MAX(B3-B1,0)+B8*MAX(B4-B1,0)</f>
        <v>7.8812499999999996</v>
      </c>
    </row>
    <row r="10" spans="1:4" x14ac:dyDescent="0.25">
      <c r="A10" s="1" t="s">
        <v>134</v>
      </c>
      <c r="B10" s="2">
        <f>PV(B6,B5,,-B9)</f>
        <v>7.6890243902439028</v>
      </c>
      <c r="C10" s="2">
        <f>PV(NOMINAL(B6,12),B5,,-B9)</f>
        <v>7.6911401273118418</v>
      </c>
    </row>
    <row r="12" spans="1:4" x14ac:dyDescent="0.25">
      <c r="A12" s="1" t="s">
        <v>135</v>
      </c>
      <c r="B12" s="19">
        <f>MAX(B3-B1,0)/(B3-B4)</f>
        <v>0.54166666666666663</v>
      </c>
    </row>
    <row r="13" spans="1:4" x14ac:dyDescent="0.25">
      <c r="A13" s="27" t="s">
        <v>136</v>
      </c>
    </row>
    <row r="14" spans="1:4" x14ac:dyDescent="0.25">
      <c r="A14" s="1" t="s">
        <v>139</v>
      </c>
      <c r="B14" s="3">
        <v>73</v>
      </c>
      <c r="C14" s="1" t="s">
        <v>142</v>
      </c>
      <c r="D14" s="3">
        <f>MAX($B14-$B$1,0)</f>
        <v>13</v>
      </c>
    </row>
    <row r="15" spans="1:4" x14ac:dyDescent="0.25">
      <c r="A15" s="1" t="s">
        <v>140</v>
      </c>
      <c r="B15" s="3">
        <v>49</v>
      </c>
      <c r="C15" s="1" t="s">
        <v>142</v>
      </c>
      <c r="D15" s="3">
        <f>MAX($B15-$B$1,0)</f>
        <v>0</v>
      </c>
    </row>
    <row r="17" spans="1:4" x14ac:dyDescent="0.25">
      <c r="A17" s="25" t="s">
        <v>141</v>
      </c>
    </row>
    <row r="18" spans="1:4" x14ac:dyDescent="0.25">
      <c r="A18" s="1" t="s">
        <v>137</v>
      </c>
      <c r="B18" s="3" t="s">
        <v>142</v>
      </c>
      <c r="C18" s="2">
        <f>$B14*$B$12</f>
        <v>39.541666666666664</v>
      </c>
      <c r="D18" s="7"/>
    </row>
    <row r="19" spans="1:4" x14ac:dyDescent="0.25">
      <c r="A19" s="1" t="s">
        <v>138</v>
      </c>
      <c r="B19" s="3" t="s">
        <v>142</v>
      </c>
      <c r="C19" s="2">
        <f>$B15*$B$12</f>
        <v>26.541666666666664</v>
      </c>
      <c r="D19" s="7"/>
    </row>
    <row r="21" spans="1:4" x14ac:dyDescent="0.25">
      <c r="A21" s="1" t="s">
        <v>143</v>
      </c>
      <c r="B21" s="2">
        <f>B12*B2 - PV(B6,B5,,-C19)</f>
        <v>7.6890243902438975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1EC5-C823-4B00-A78D-22803E7CDF35}">
  <dimension ref="A1:E23"/>
  <sheetViews>
    <sheetView showGridLines="0" topLeftCell="A9" zoomScale="160" zoomScaleNormal="160" workbookViewId="0">
      <selection activeCell="B22" sqref="B22"/>
    </sheetView>
  </sheetViews>
  <sheetFormatPr defaultRowHeight="15.65" x14ac:dyDescent="0.25"/>
  <cols>
    <col min="1" max="1" width="28.5" bestFit="1" customWidth="1"/>
    <col min="2" max="2" width="9.25" bestFit="1" customWidth="1"/>
    <col min="4" max="4" width="9.25" bestFit="1" customWidth="1"/>
  </cols>
  <sheetData>
    <row r="1" spans="1:5" x14ac:dyDescent="0.25">
      <c r="A1" s="1" t="s">
        <v>126</v>
      </c>
      <c r="B1" s="3">
        <v>60</v>
      </c>
      <c r="C1" t="s">
        <v>144</v>
      </c>
    </row>
    <row r="2" spans="1:5" x14ac:dyDescent="0.25">
      <c r="A2" s="1" t="s">
        <v>127</v>
      </c>
      <c r="B2" s="3">
        <v>57</v>
      </c>
      <c r="C2" t="s">
        <v>2</v>
      </c>
    </row>
    <row r="3" spans="1:5" x14ac:dyDescent="0.25">
      <c r="A3" s="1" t="s">
        <v>10</v>
      </c>
      <c r="B3" s="3">
        <v>67</v>
      </c>
      <c r="C3" t="s">
        <v>128</v>
      </c>
    </row>
    <row r="4" spans="1:5" x14ac:dyDescent="0.25">
      <c r="A4" s="1" t="s">
        <v>10</v>
      </c>
      <c r="B4" s="3">
        <v>48</v>
      </c>
      <c r="C4" t="s">
        <v>129</v>
      </c>
    </row>
    <row r="5" spans="1:5" x14ac:dyDescent="0.25">
      <c r="A5" s="1" t="s">
        <v>43</v>
      </c>
      <c r="B5" s="26">
        <f>6/12</f>
        <v>0.5</v>
      </c>
      <c r="C5" s="28"/>
    </row>
    <row r="6" spans="1:5" x14ac:dyDescent="0.25">
      <c r="A6" s="1" t="s">
        <v>130</v>
      </c>
      <c r="B6" s="19">
        <f>EFFECT(NOMINAL(0.05,12)/2,6)</f>
        <v>2.4695076595960375E-2</v>
      </c>
      <c r="C6" t="s">
        <v>131</v>
      </c>
    </row>
    <row r="7" spans="1:5" x14ac:dyDescent="0.25">
      <c r="A7" s="1" t="s">
        <v>130</v>
      </c>
      <c r="B7" s="19">
        <f>((B8)*((B3/B2)-1))+((1-B8)*((B4/B2)-1))</f>
        <v>2.47E-2</v>
      </c>
    </row>
    <row r="8" spans="1:5" x14ac:dyDescent="0.25">
      <c r="A8" s="1" t="s">
        <v>90</v>
      </c>
      <c r="B8" s="19">
        <v>0.54778421052631565</v>
      </c>
      <c r="C8" s="24"/>
      <c r="D8" s="24">
        <f>(1.05^(1/2)-1)</f>
        <v>2.4695076595959931E-2</v>
      </c>
      <c r="E8" t="s">
        <v>145</v>
      </c>
    </row>
    <row r="9" spans="1:5" x14ac:dyDescent="0.25">
      <c r="A9" s="1" t="s">
        <v>91</v>
      </c>
      <c r="B9" s="19">
        <f>1-B8</f>
        <v>0.45221578947368435</v>
      </c>
    </row>
    <row r="10" spans="1:5" x14ac:dyDescent="0.25">
      <c r="A10" s="1" t="s">
        <v>133</v>
      </c>
      <c r="B10" s="16">
        <f>B8*MAX(B1-B3,0)+B9*MAX(B1-B4,0)</f>
        <v>5.4265894736842117</v>
      </c>
    </row>
    <row r="11" spans="1:5" x14ac:dyDescent="0.25">
      <c r="A11" s="1" t="s">
        <v>134</v>
      </c>
      <c r="B11" s="2">
        <f>PV(B6,B5*2,,-B10)</f>
        <v>5.2958090632301618</v>
      </c>
      <c r="C11" s="17"/>
    </row>
    <row r="13" spans="1:5" x14ac:dyDescent="0.25">
      <c r="A13" s="1" t="s">
        <v>135</v>
      </c>
      <c r="B13" s="19">
        <f>-MAX(B1-B4,0)/(B3-B4)</f>
        <v>-0.63157894736842102</v>
      </c>
    </row>
    <row r="14" spans="1:5" x14ac:dyDescent="0.25">
      <c r="A14" s="27" t="s">
        <v>136</v>
      </c>
    </row>
    <row r="15" spans="1:5" x14ac:dyDescent="0.25">
      <c r="A15" s="1" t="s">
        <v>139</v>
      </c>
      <c r="B15" s="3">
        <v>67</v>
      </c>
      <c r="C15" s="1" t="s">
        <v>142</v>
      </c>
      <c r="D15" s="3">
        <f>MAX($B$1-$B15,0)</f>
        <v>0</v>
      </c>
    </row>
    <row r="16" spans="1:5" x14ac:dyDescent="0.25">
      <c r="A16" s="1" t="s">
        <v>140</v>
      </c>
      <c r="B16" s="3">
        <v>48</v>
      </c>
      <c r="C16" s="1" t="s">
        <v>142</v>
      </c>
      <c r="D16" s="3">
        <f>MAX($B$1-$B16,0)</f>
        <v>12</v>
      </c>
    </row>
    <row r="18" spans="1:4" x14ac:dyDescent="0.25">
      <c r="A18" s="25" t="s">
        <v>141</v>
      </c>
    </row>
    <row r="19" spans="1:4" x14ac:dyDescent="0.25">
      <c r="A19" s="1" t="s">
        <v>196</v>
      </c>
      <c r="B19" s="3" t="s">
        <v>142</v>
      </c>
      <c r="C19" s="2">
        <f>$B15*$B$13</f>
        <v>-42.315789473684205</v>
      </c>
      <c r="D19" s="7"/>
    </row>
    <row r="20" spans="1:4" x14ac:dyDescent="0.25">
      <c r="A20" s="1" t="s">
        <v>197</v>
      </c>
      <c r="B20" s="3" t="s">
        <v>142</v>
      </c>
      <c r="C20" s="2">
        <f>$B16*$B$13</f>
        <v>-30.315789473684209</v>
      </c>
      <c r="D20" s="7"/>
    </row>
    <row r="22" spans="1:4" x14ac:dyDescent="0.25">
      <c r="A22" s="1" t="s">
        <v>146</v>
      </c>
      <c r="B22" s="2">
        <f>PV(B6,B5*2,,C19)</f>
        <v>41.295982034243167</v>
      </c>
    </row>
    <row r="23" spans="1:4" x14ac:dyDescent="0.25">
      <c r="A23" s="1" t="s">
        <v>143</v>
      </c>
      <c r="B23" s="2">
        <f>B22--B13*B2</f>
        <v>5.2959820342431669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3C32-F7C2-4CC1-8EA2-BB3F648F9BF6}">
  <dimension ref="A1:F21"/>
  <sheetViews>
    <sheetView showGridLines="0" zoomScale="160" zoomScaleNormal="160" workbookViewId="0">
      <selection activeCell="B5" sqref="B5"/>
    </sheetView>
  </sheetViews>
  <sheetFormatPr defaultRowHeight="15.65" x14ac:dyDescent="0.25"/>
  <cols>
    <col min="1" max="1" width="28.5" bestFit="1" customWidth="1"/>
    <col min="2" max="2" width="9.625" bestFit="1" customWidth="1"/>
    <col min="3" max="3" width="9.125" bestFit="1" customWidth="1"/>
    <col min="4" max="4" width="10.25" bestFit="1" customWidth="1"/>
  </cols>
  <sheetData>
    <row r="1" spans="1:4" x14ac:dyDescent="0.25">
      <c r="A1" s="1" t="s">
        <v>147</v>
      </c>
      <c r="B1" s="3">
        <v>1280</v>
      </c>
      <c r="C1" t="s">
        <v>148</v>
      </c>
    </row>
    <row r="2" spans="1:4" x14ac:dyDescent="0.25">
      <c r="A2" s="1" t="s">
        <v>10</v>
      </c>
      <c r="B2" s="3">
        <v>1445</v>
      </c>
      <c r="C2" t="s">
        <v>148</v>
      </c>
      <c r="D2" t="s">
        <v>149</v>
      </c>
    </row>
    <row r="3" spans="1:4" x14ac:dyDescent="0.25">
      <c r="A3" s="1" t="s">
        <v>10</v>
      </c>
      <c r="B3" s="3">
        <v>1130</v>
      </c>
      <c r="C3" t="s">
        <v>148</v>
      </c>
      <c r="D3" t="s">
        <v>150</v>
      </c>
    </row>
    <row r="4" spans="1:4" x14ac:dyDescent="0.25">
      <c r="A4" s="1" t="s">
        <v>43</v>
      </c>
      <c r="B4" s="1">
        <f>3/12</f>
        <v>0.25</v>
      </c>
    </row>
    <row r="5" spans="1:4" x14ac:dyDescent="0.25">
      <c r="A5" s="1" t="s">
        <v>130</v>
      </c>
      <c r="B5" s="69">
        <f>((B7)*((B2/B1)-1))+((1-B7)*((B3/B1)-1))</f>
        <v>1.5870000000000016E-2</v>
      </c>
      <c r="C5" s="29">
        <f>(1.065^(3/12)-1)</f>
        <v>1.586828478278357E-2</v>
      </c>
      <c r="D5" s="29">
        <f>EFFECT(NOMINAL(0.065,12)/4,3)</f>
        <v>1.5868284782783348E-2</v>
      </c>
    </row>
    <row r="6" spans="1:4" x14ac:dyDescent="0.25">
      <c r="A6" s="1" t="s">
        <v>126</v>
      </c>
      <c r="B6" s="3">
        <v>1380</v>
      </c>
    </row>
    <row r="7" spans="1:4" x14ac:dyDescent="0.25">
      <c r="A7" s="1" t="s">
        <v>90</v>
      </c>
      <c r="B7" s="19">
        <v>0.54067809523809529</v>
      </c>
    </row>
    <row r="8" spans="1:4" x14ac:dyDescent="0.25">
      <c r="A8" s="1" t="s">
        <v>91</v>
      </c>
      <c r="B8" s="19">
        <f>1-B7</f>
        <v>0.45932190476190471</v>
      </c>
    </row>
    <row r="9" spans="1:4" x14ac:dyDescent="0.25">
      <c r="A9" s="1" t="s">
        <v>133</v>
      </c>
      <c r="B9" s="2">
        <f>(B7)*MAX(B2-B6,0)+(B8)*MAX(B3-B6,0)</f>
        <v>35.144076190476191</v>
      </c>
    </row>
    <row r="10" spans="1:4" x14ac:dyDescent="0.25">
      <c r="A10" s="1" t="s">
        <v>134</v>
      </c>
      <c r="B10" s="2">
        <f>PV(B5,B4*4,,-B9)</f>
        <v>34.595052704062716</v>
      </c>
    </row>
    <row r="12" spans="1:4" x14ac:dyDescent="0.25">
      <c r="A12" s="1" t="s">
        <v>135</v>
      </c>
      <c r="B12" s="11">
        <f>(MAX(B2-B6,0)-MAX(B3-B6,0))/(B2-B3)</f>
        <v>0.20634920634920634</v>
      </c>
    </row>
    <row r="14" spans="1:4" x14ac:dyDescent="0.25">
      <c r="A14" s="1" t="s">
        <v>136</v>
      </c>
    </row>
    <row r="15" spans="1:4" x14ac:dyDescent="0.25">
      <c r="A15" s="1" t="s">
        <v>151</v>
      </c>
      <c r="B15" s="10" t="s">
        <v>153</v>
      </c>
      <c r="C15" s="3">
        <f>MAX($B2-$B$6,0)</f>
        <v>65</v>
      </c>
      <c r="D15" s="7"/>
    </row>
    <row r="16" spans="1:4" x14ac:dyDescent="0.25">
      <c r="A16" s="1" t="s">
        <v>152</v>
      </c>
      <c r="B16" s="10" t="s">
        <v>153</v>
      </c>
      <c r="C16" s="3">
        <f>MAX($B3-$B$6,0)</f>
        <v>0</v>
      </c>
      <c r="D16" s="7"/>
    </row>
    <row r="17" spans="1:6" x14ac:dyDescent="0.25">
      <c r="A17" s="1" t="s">
        <v>141</v>
      </c>
      <c r="B17" s="21"/>
    </row>
    <row r="18" spans="1:6" x14ac:dyDescent="0.25">
      <c r="A18" s="1" t="s">
        <v>151</v>
      </c>
      <c r="B18" s="10" t="s">
        <v>153</v>
      </c>
      <c r="C18" s="2">
        <f>$B$12*$B2</f>
        <v>298.17460317460313</v>
      </c>
      <c r="F18" s="6"/>
    </row>
    <row r="19" spans="1:6" x14ac:dyDescent="0.25">
      <c r="A19" s="1" t="s">
        <v>152</v>
      </c>
      <c r="B19" s="10" t="s">
        <v>153</v>
      </c>
      <c r="C19" s="2">
        <f>$B$12*$B3</f>
        <v>233.17460317460316</v>
      </c>
      <c r="F19" s="6"/>
    </row>
    <row r="21" spans="1:6" x14ac:dyDescent="0.25">
      <c r="A21" s="1" t="s">
        <v>143</v>
      </c>
      <c r="B21" s="2">
        <f>(B12*B1)-PV(B5,B4*4,,-C19)</f>
        <v>34.595052704062709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0FD3-41B7-4D70-9F55-82E33197BCE8}">
  <dimension ref="A1:C21"/>
  <sheetViews>
    <sheetView showGridLines="0" topLeftCell="A10" zoomScale="160" zoomScaleNormal="160" workbookViewId="0">
      <selection activeCell="B21" sqref="B21"/>
    </sheetView>
  </sheetViews>
  <sheetFormatPr defaultRowHeight="15.65" x14ac:dyDescent="0.25"/>
  <cols>
    <col min="1" max="1" width="15.75" bestFit="1" customWidth="1"/>
  </cols>
  <sheetData>
    <row r="1" spans="1:3" x14ac:dyDescent="0.25">
      <c r="A1" s="1" t="s">
        <v>43</v>
      </c>
      <c r="B1" s="1">
        <f>6/12</f>
        <v>0.5</v>
      </c>
    </row>
    <row r="2" spans="1:3" x14ac:dyDescent="0.25">
      <c r="A2" s="1" t="s">
        <v>154</v>
      </c>
      <c r="B2" s="3">
        <v>55</v>
      </c>
      <c r="C2" t="s">
        <v>155</v>
      </c>
    </row>
    <row r="3" spans="1:3" x14ac:dyDescent="0.25">
      <c r="A3" s="1" t="s">
        <v>156</v>
      </c>
      <c r="B3" s="3">
        <v>80</v>
      </c>
      <c r="C3" t="s">
        <v>157</v>
      </c>
    </row>
    <row r="4" spans="1:3" x14ac:dyDescent="0.25">
      <c r="A4" s="1" t="s">
        <v>158</v>
      </c>
      <c r="B4" s="3">
        <v>68</v>
      </c>
      <c r="C4" t="s">
        <v>2</v>
      </c>
    </row>
    <row r="5" spans="1:3" x14ac:dyDescent="0.25">
      <c r="A5" s="1" t="s">
        <v>45</v>
      </c>
      <c r="B5" s="11">
        <v>7.0000000000000007E-2</v>
      </c>
      <c r="C5" t="s">
        <v>159</v>
      </c>
    </row>
    <row r="6" spans="1:3" x14ac:dyDescent="0.25">
      <c r="A6" s="1" t="s">
        <v>77</v>
      </c>
      <c r="B6" s="11">
        <v>0.5</v>
      </c>
      <c r="C6" t="s">
        <v>160</v>
      </c>
    </row>
    <row r="8" spans="1:3" x14ac:dyDescent="0.25">
      <c r="A8" s="1" t="s">
        <v>161</v>
      </c>
      <c r="B8" s="18">
        <f>(LN($B$4/$B$3)+($B$5+$B$6^2/2)*($B$1))/($B$6*SQRT($B$1))</f>
        <v>-0.18390130381346678</v>
      </c>
    </row>
    <row r="9" spans="1:3" x14ac:dyDescent="0.25">
      <c r="A9" s="1" t="s">
        <v>162</v>
      </c>
      <c r="B9" s="18">
        <f>(LN($B$4/$B$2)+($B$5+$B$6^2/2)*($B$1))/($B$6*SQRT($B$1))</f>
        <v>0.87589181205133437</v>
      </c>
    </row>
    <row r="10" spans="1:3" x14ac:dyDescent="0.25">
      <c r="A10" s="1" t="s">
        <v>163</v>
      </c>
      <c r="B10" s="18">
        <f>$B8-($B$6*SQRT($B$1))</f>
        <v>-0.53745469440674054</v>
      </c>
    </row>
    <row r="11" spans="1:3" x14ac:dyDescent="0.25">
      <c r="A11" s="1" t="s">
        <v>164</v>
      </c>
      <c r="B11" s="18">
        <f>$B9-($B$6*SQRT($B$1))</f>
        <v>0.52233842145806064</v>
      </c>
    </row>
    <row r="12" spans="1:3" x14ac:dyDescent="0.25">
      <c r="A12" s="1" t="s">
        <v>165</v>
      </c>
      <c r="B12" s="18">
        <f>_xlfn.NORM.S.DIST($B8,1)</f>
        <v>0.42704544097953906</v>
      </c>
    </row>
    <row r="13" spans="1:3" x14ac:dyDescent="0.25">
      <c r="A13" s="1" t="s">
        <v>166</v>
      </c>
      <c r="B13" s="18">
        <f>_xlfn.NORM.S.DIST($B9,1)</f>
        <v>0.80945557440288896</v>
      </c>
    </row>
    <row r="14" spans="1:3" x14ac:dyDescent="0.25">
      <c r="A14" s="1" t="s">
        <v>167</v>
      </c>
      <c r="B14" s="18">
        <f>_xlfn.NORM.S.DIST($B10,1)</f>
        <v>0.2954767858926296</v>
      </c>
    </row>
    <row r="15" spans="1:3" x14ac:dyDescent="0.25">
      <c r="A15" s="1" t="s">
        <v>168</v>
      </c>
      <c r="B15" s="18">
        <f>_xlfn.NORM.S.DIST($B11,1)</f>
        <v>0.69928263881728048</v>
      </c>
    </row>
    <row r="17" spans="1:2" x14ac:dyDescent="0.25">
      <c r="A17" s="1" t="s">
        <v>67</v>
      </c>
      <c r="B17" s="2">
        <f>$B$4*($B12)-($B$3*EXP(-($B$5)*$B$6))*($B14)</f>
        <v>6.2139711997046199</v>
      </c>
    </row>
    <row r="18" spans="1:2" x14ac:dyDescent="0.25">
      <c r="A18" s="1" t="s">
        <v>68</v>
      </c>
      <c r="B18" s="2">
        <f>$B$4*($B13)-($B$2*EXP(-($B$5)*$B$6))*($B15)</f>
        <v>17.90526836486972</v>
      </c>
    </row>
    <row r="19" spans="1:2" x14ac:dyDescent="0.25">
      <c r="A19" s="1" t="s">
        <v>169</v>
      </c>
      <c r="B19" s="2">
        <f>(B18-B4)+(B2*EXP(-(B5)*B1))</f>
        <v>3.0135662590358763</v>
      </c>
    </row>
    <row r="21" spans="1:2" x14ac:dyDescent="0.25">
      <c r="A21" s="1" t="s">
        <v>170</v>
      </c>
      <c r="B21" s="2">
        <f>B4-B17+B19</f>
        <v>64.799595059331267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4020-5EEF-44A8-82BA-73071466D9D9}">
  <dimension ref="A1:C33"/>
  <sheetViews>
    <sheetView showGridLines="0" topLeftCell="A21" zoomScale="160" zoomScaleNormal="160" workbookViewId="0">
      <selection activeCell="B21" sqref="B21"/>
    </sheetView>
  </sheetViews>
  <sheetFormatPr defaultRowHeight="15.65" x14ac:dyDescent="0.25"/>
  <cols>
    <col min="1" max="1" width="16.5" bestFit="1" customWidth="1"/>
    <col min="2" max="2" width="10.75" bestFit="1" customWidth="1"/>
  </cols>
  <sheetData>
    <row r="1" spans="1:3" x14ac:dyDescent="0.25">
      <c r="A1" s="1" t="s">
        <v>171</v>
      </c>
      <c r="B1" s="3">
        <v>90000</v>
      </c>
      <c r="C1" t="s">
        <v>172</v>
      </c>
    </row>
    <row r="2" spans="1:3" x14ac:dyDescent="0.25">
      <c r="A2" s="1" t="s">
        <v>95</v>
      </c>
      <c r="B2" s="3">
        <v>59000</v>
      </c>
      <c r="C2" t="s">
        <v>123</v>
      </c>
    </row>
    <row r="3" spans="1:3" x14ac:dyDescent="0.25">
      <c r="A3" s="1" t="s">
        <v>77</v>
      </c>
      <c r="B3" s="11">
        <v>0.6</v>
      </c>
      <c r="C3" t="s">
        <v>173</v>
      </c>
    </row>
    <row r="4" spans="1:3" x14ac:dyDescent="0.25">
      <c r="A4" s="1" t="s">
        <v>174</v>
      </c>
      <c r="B4" s="11">
        <v>0.05</v>
      </c>
      <c r="C4" t="s">
        <v>46</v>
      </c>
    </row>
    <row r="5" spans="1:3" x14ac:dyDescent="0.25">
      <c r="A5" s="1" t="s">
        <v>43</v>
      </c>
      <c r="B5" s="1">
        <v>2</v>
      </c>
    </row>
    <row r="7" spans="1:3" x14ac:dyDescent="0.25">
      <c r="A7" s="1" t="s">
        <v>175</v>
      </c>
      <c r="B7" s="2">
        <f>$B$1*EXP(-($B$4)*$B$5)</f>
        <v>81435.36762323635</v>
      </c>
    </row>
    <row r="9" spans="1:3" x14ac:dyDescent="0.25">
      <c r="A9" s="1" t="s">
        <v>69</v>
      </c>
      <c r="B9" s="18">
        <f>(LN($B$2/$B$1)+($B$4+$B$3^2/2)*($B$5))/($B$3*SQRT($B$5))</f>
        <v>4.4462607557124043E-2</v>
      </c>
    </row>
    <row r="10" spans="1:3" x14ac:dyDescent="0.25">
      <c r="A10" s="1" t="s">
        <v>70</v>
      </c>
      <c r="B10" s="18">
        <f>B9-($B$3*SQRT($B$5))</f>
        <v>-0.80406552986673296</v>
      </c>
    </row>
    <row r="11" spans="1:3" x14ac:dyDescent="0.25">
      <c r="A11" s="1" t="s">
        <v>65</v>
      </c>
      <c r="B11" s="18">
        <f>_xlfn.NORM.S.DIST($B9,1)</f>
        <v>0.51773217133474581</v>
      </c>
    </row>
    <row r="12" spans="1:3" x14ac:dyDescent="0.25">
      <c r="A12" s="1" t="s">
        <v>66</v>
      </c>
      <c r="B12" s="18">
        <f>_xlfn.NORM.S.DIST($B10,1)</f>
        <v>0.21067956535583557</v>
      </c>
    </row>
    <row r="14" spans="1:3" x14ac:dyDescent="0.25">
      <c r="A14" s="1" t="s">
        <v>98</v>
      </c>
      <c r="B14" s="2">
        <f>$B$2*(B11)-($B$1*EXP(-($B$4)*$B$5))*(B12)</f>
        <v>13389.430253293885</v>
      </c>
      <c r="C14" t="s">
        <v>100</v>
      </c>
    </row>
    <row r="15" spans="1:3" x14ac:dyDescent="0.25">
      <c r="A15" s="1" t="s">
        <v>68</v>
      </c>
      <c r="B15" s="2">
        <f>($B$1*EXP(-($B$4)*$B$5))+B14-$B$2</f>
        <v>35824.79787653024</v>
      </c>
      <c r="C15" s="70"/>
    </row>
    <row r="17" spans="1:3" x14ac:dyDescent="0.25">
      <c r="A17" s="1" t="s">
        <v>176</v>
      </c>
      <c r="B17" s="2">
        <f>B7-B15</f>
        <v>45610.569746706111</v>
      </c>
      <c r="C17" t="s">
        <v>177</v>
      </c>
    </row>
    <row r="18" spans="1:3" x14ac:dyDescent="0.25">
      <c r="A18" s="1" t="s">
        <v>176</v>
      </c>
      <c r="B18" s="2">
        <f>$B$1*EXP(-(B19)*$B$5)</f>
        <v>45610.570799838657</v>
      </c>
    </row>
    <row r="19" spans="1:3" x14ac:dyDescent="0.25">
      <c r="A19" s="1" t="s">
        <v>178</v>
      </c>
      <c r="B19" s="19">
        <v>0.3398350824445584</v>
      </c>
      <c r="C19" t="s">
        <v>179</v>
      </c>
    </row>
    <row r="21" spans="1:3" x14ac:dyDescent="0.25">
      <c r="A21" s="1" t="s">
        <v>175</v>
      </c>
      <c r="B21" s="2">
        <f>$B$1*EXP(-($B$4)*($B$5+3))</f>
        <v>70092.070476426437</v>
      </c>
    </row>
    <row r="23" spans="1:3" x14ac:dyDescent="0.25">
      <c r="A23" s="1" t="s">
        <v>69</v>
      </c>
      <c r="B23" s="18">
        <f>(LN($B$2/$B$1)+($B$4+$B$3^2/2)*($B$5+3))/($B$3*SQRT($B$5+3))</f>
        <v>0.54241625694309703</v>
      </c>
    </row>
    <row r="24" spans="1:3" x14ac:dyDescent="0.25">
      <c r="A24" s="1" t="s">
        <v>70</v>
      </c>
      <c r="B24" s="18">
        <f>B23-($B$3*SQRT($B$5+3))</f>
        <v>-0.79922452955677681</v>
      </c>
    </row>
    <row r="25" spans="1:3" x14ac:dyDescent="0.25">
      <c r="A25" s="1" t="s">
        <v>65</v>
      </c>
      <c r="B25" s="18">
        <f>_xlfn.NORM.S.DIST($B23,1)</f>
        <v>0.70623410855025981</v>
      </c>
    </row>
    <row r="26" spans="1:3" x14ac:dyDescent="0.25">
      <c r="A26" s="1" t="s">
        <v>66</v>
      </c>
      <c r="B26" s="18">
        <f>_xlfn.NORM.S.DIST($B24,1)</f>
        <v>0.21208011549501779</v>
      </c>
    </row>
    <row r="28" spans="1:3" x14ac:dyDescent="0.25">
      <c r="A28" s="1" t="s">
        <v>98</v>
      </c>
      <c r="B28" s="2">
        <f>$B$2*(B25)-($B$1*EXP(-($B$4)*($B$5+3)))*(B26)</f>
        <v>26802.678002539884</v>
      </c>
      <c r="C28" t="s">
        <v>100</v>
      </c>
    </row>
    <row r="29" spans="1:3" x14ac:dyDescent="0.25">
      <c r="A29" s="1" t="s">
        <v>68</v>
      </c>
      <c r="B29" s="2">
        <f>($B$1*EXP(-($B$4)*($B$5+3)))+B28-$B$2</f>
        <v>37894.748478966329</v>
      </c>
    </row>
    <row r="31" spans="1:3" x14ac:dyDescent="0.25">
      <c r="A31" s="1" t="s">
        <v>176</v>
      </c>
      <c r="B31" s="2">
        <f>B21-B29</f>
        <v>32197.321997460109</v>
      </c>
      <c r="C31" t="s">
        <v>177</v>
      </c>
    </row>
    <row r="32" spans="1:3" x14ac:dyDescent="0.25">
      <c r="A32" s="1" t="s">
        <v>176</v>
      </c>
      <c r="B32" s="2">
        <f>$B$1*EXP(-(B33)*($B$5+3))</f>
        <v>32197.320008673509</v>
      </c>
    </row>
    <row r="33" spans="1:3" x14ac:dyDescent="0.25">
      <c r="A33" s="1" t="s">
        <v>178</v>
      </c>
      <c r="B33" s="19">
        <v>0.20558529015759483</v>
      </c>
      <c r="C33" t="s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0811-E7EA-4559-884D-5C2A1137BAE2}">
  <dimension ref="A1:C37"/>
  <sheetViews>
    <sheetView showGridLines="0" topLeftCell="A41" zoomScale="160" zoomScaleNormal="160" workbookViewId="0">
      <selection activeCell="A41" sqref="A41"/>
    </sheetView>
  </sheetViews>
  <sheetFormatPr defaultRowHeight="15.65" x14ac:dyDescent="0.25"/>
  <cols>
    <col min="1" max="1" width="27.5" bestFit="1" customWidth="1"/>
    <col min="2" max="2" width="10.75" bestFit="1" customWidth="1"/>
  </cols>
  <sheetData>
    <row r="1" spans="1:3" x14ac:dyDescent="0.25">
      <c r="A1" s="1" t="s">
        <v>171</v>
      </c>
      <c r="B1" s="3">
        <v>40000</v>
      </c>
      <c r="C1" t="s">
        <v>172</v>
      </c>
    </row>
    <row r="2" spans="1:3" x14ac:dyDescent="0.25">
      <c r="A2" s="1" t="s">
        <v>95</v>
      </c>
      <c r="B2" s="3">
        <v>38000</v>
      </c>
      <c r="C2" t="s">
        <v>123</v>
      </c>
    </row>
    <row r="3" spans="1:3" x14ac:dyDescent="0.25">
      <c r="A3" s="1" t="s">
        <v>77</v>
      </c>
      <c r="B3" s="11">
        <v>0.5</v>
      </c>
      <c r="C3" t="s">
        <v>173</v>
      </c>
    </row>
    <row r="4" spans="1:3" x14ac:dyDescent="0.25">
      <c r="A4" s="1" t="s">
        <v>174</v>
      </c>
      <c r="B4" s="11">
        <v>0.06</v>
      </c>
      <c r="C4" t="s">
        <v>46</v>
      </c>
    </row>
    <row r="5" spans="1:3" x14ac:dyDescent="0.25">
      <c r="A5" s="1" t="s">
        <v>43</v>
      </c>
      <c r="B5" s="1">
        <v>5</v>
      </c>
    </row>
    <row r="7" spans="1:3" x14ac:dyDescent="0.25">
      <c r="A7" s="1" t="s">
        <v>175</v>
      </c>
      <c r="B7" s="2">
        <f>$B$1*EXP(-($B$4)*$B$5)</f>
        <v>29632.728827268715</v>
      </c>
    </row>
    <row r="9" spans="1:3" x14ac:dyDescent="0.25">
      <c r="A9" s="1" t="s">
        <v>69</v>
      </c>
      <c r="B9" s="18">
        <f>(LN($B$2/$B$1)+($B$4+$B$3^2/2)*($B$5))/($B$3*SQRT($B$5))</f>
        <v>0.78146703445873356</v>
      </c>
    </row>
    <row r="10" spans="1:3" x14ac:dyDescent="0.25">
      <c r="A10" s="1" t="s">
        <v>70</v>
      </c>
      <c r="B10" s="18">
        <f>B9-($B$3*SQRT($B$5))</f>
        <v>-0.33656695429116135</v>
      </c>
    </row>
    <row r="11" spans="1:3" x14ac:dyDescent="0.25">
      <c r="A11" s="1" t="s">
        <v>65</v>
      </c>
      <c r="B11" s="18">
        <f>_xlfn.NORM.S.DIST($B9,1)</f>
        <v>0.78273607094765851</v>
      </c>
    </row>
    <row r="12" spans="1:3" x14ac:dyDescent="0.25">
      <c r="A12" s="1" t="s">
        <v>66</v>
      </c>
      <c r="B12" s="18">
        <f>_xlfn.NORM.S.DIST($B10,1)</f>
        <v>0.36822168542859535</v>
      </c>
    </row>
    <row r="14" spans="1:3" x14ac:dyDescent="0.25">
      <c r="A14" s="1" t="s">
        <v>98</v>
      </c>
      <c r="B14" s="2">
        <f>$B$2*(B11)-($B$1*EXP(-($B$4)*$B$5))*(B12)</f>
        <v>18832.557343385612</v>
      </c>
      <c r="C14" t="s">
        <v>100</v>
      </c>
    </row>
    <row r="15" spans="1:3" x14ac:dyDescent="0.25">
      <c r="A15" s="1" t="s">
        <v>68</v>
      </c>
      <c r="B15" s="2">
        <f>($B$1*EXP(-($B$4)*$B$5))+B14-$B$2</f>
        <v>10465.286170654326</v>
      </c>
    </row>
    <row r="17" spans="1:3" x14ac:dyDescent="0.25">
      <c r="A17" s="1" t="s">
        <v>176</v>
      </c>
      <c r="B17" s="2">
        <f>B7-B15</f>
        <v>19167.442656614388</v>
      </c>
      <c r="C17" t="s">
        <v>177</v>
      </c>
    </row>
    <row r="18" spans="1:3" x14ac:dyDescent="0.25">
      <c r="A18" s="1" t="s">
        <v>176</v>
      </c>
      <c r="B18" s="2">
        <f>$B$1*EXP(-(B19)*$B$5)</f>
        <v>19167.439999703569</v>
      </c>
    </row>
    <row r="19" spans="1:3" x14ac:dyDescent="0.25">
      <c r="A19" s="1" t="s">
        <v>178</v>
      </c>
      <c r="B19" s="19">
        <v>0.14713328959641425</v>
      </c>
      <c r="C19" t="s">
        <v>179</v>
      </c>
    </row>
    <row r="21" spans="1:3" x14ac:dyDescent="0.25">
      <c r="A21" s="1" t="s">
        <v>175</v>
      </c>
      <c r="B21" s="2">
        <f>$B$1*EXP(-($B$4)*($B$5+3))</f>
        <v>24751.335672245634</v>
      </c>
    </row>
    <row r="22" spans="1:3" x14ac:dyDescent="0.25">
      <c r="A22" s="30"/>
      <c r="B22" s="17"/>
    </row>
    <row r="23" spans="1:3" x14ac:dyDescent="0.25">
      <c r="A23" s="31" t="s">
        <v>77</v>
      </c>
      <c r="B23" s="11">
        <v>0.6</v>
      </c>
    </row>
    <row r="24" spans="1:3" x14ac:dyDescent="0.25">
      <c r="A24" s="1" t="s">
        <v>69</v>
      </c>
      <c r="B24" s="18">
        <f>(LN($B$2/$B$1)+($B$4+$B$23^2/2)*($B$5))/($B$23*SQRT($B$5))</f>
        <v>0.85619542665309201</v>
      </c>
    </row>
    <row r="25" spans="1:3" x14ac:dyDescent="0.25">
      <c r="A25" s="1" t="s">
        <v>70</v>
      </c>
      <c r="B25" s="18">
        <f>B24-($B$23*SQRT($B$5))</f>
        <v>-0.48544535984678183</v>
      </c>
    </row>
    <row r="26" spans="1:3" x14ac:dyDescent="0.25">
      <c r="A26" s="1" t="s">
        <v>65</v>
      </c>
      <c r="B26" s="18">
        <f>_xlfn.NORM.S.DIST($B24,1)</f>
        <v>0.80405515408396533</v>
      </c>
    </row>
    <row r="27" spans="1:3" x14ac:dyDescent="0.25">
      <c r="A27" s="1" t="s">
        <v>66</v>
      </c>
      <c r="B27" s="18">
        <f>_xlfn.NORM.S.DIST($B25,1)</f>
        <v>0.31368023144257728</v>
      </c>
    </row>
    <row r="29" spans="1:3" x14ac:dyDescent="0.25">
      <c r="A29" s="1" t="s">
        <v>98</v>
      </c>
      <c r="B29" s="2">
        <f>$B$2*(B26)-($B$1*EXP(-($B$4)*($B$5)))*(B27)</f>
        <v>21258.894618377904</v>
      </c>
      <c r="C29" t="s">
        <v>100</v>
      </c>
    </row>
    <row r="30" spans="1:3" x14ac:dyDescent="0.25">
      <c r="A30" s="1" t="s">
        <v>68</v>
      </c>
      <c r="B30" s="2">
        <f>($B$1*EXP(-($B$4)*($B$5)))+B29-$B$2</f>
        <v>12891.623445646619</v>
      </c>
    </row>
    <row r="32" spans="1:3" x14ac:dyDescent="0.25">
      <c r="A32" s="1" t="s">
        <v>176</v>
      </c>
      <c r="B32" s="2">
        <f>B7-B30</f>
        <v>16741.105381622096</v>
      </c>
      <c r="C32" t="s">
        <v>177</v>
      </c>
    </row>
    <row r="33" spans="1:3" x14ac:dyDescent="0.25">
      <c r="A33" s="1" t="s">
        <v>176</v>
      </c>
      <c r="B33" s="2">
        <f>$B$1*EXP(-(B34)*($B$5))</f>
        <v>16741.110185350328</v>
      </c>
    </row>
    <row r="34" spans="1:3" x14ac:dyDescent="0.25">
      <c r="A34" s="1" t="s">
        <v>178</v>
      </c>
      <c r="B34" s="19">
        <v>0.17420241438712131</v>
      </c>
      <c r="C34" t="s">
        <v>179</v>
      </c>
    </row>
    <row r="36" spans="1:3" x14ac:dyDescent="0.25">
      <c r="A36" s="1" t="s">
        <v>180</v>
      </c>
      <c r="B36" s="2">
        <f>B32-B17</f>
        <v>-2426.3372749922928</v>
      </c>
    </row>
    <row r="37" spans="1:3" x14ac:dyDescent="0.25">
      <c r="A37" s="1" t="s">
        <v>181</v>
      </c>
      <c r="B37" s="2">
        <f>B29-B14</f>
        <v>2426.3372749922928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274E-67E4-4F1D-9960-54D03E629F4D}">
  <dimension ref="A1:D32"/>
  <sheetViews>
    <sheetView showGridLines="0" topLeftCell="A25" zoomScale="160" zoomScaleNormal="160" workbookViewId="0">
      <selection activeCell="B30" sqref="B30"/>
    </sheetView>
  </sheetViews>
  <sheetFormatPr defaultRowHeight="15.65" x14ac:dyDescent="0.25"/>
  <cols>
    <col min="1" max="1" width="28.5" bestFit="1" customWidth="1"/>
    <col min="2" max="2" width="16.125" bestFit="1" customWidth="1"/>
    <col min="3" max="3" width="14.5" bestFit="1" customWidth="1"/>
  </cols>
  <sheetData>
    <row r="1" spans="1:4" x14ac:dyDescent="0.25">
      <c r="A1" s="1" t="s">
        <v>10</v>
      </c>
      <c r="B1" s="3">
        <v>198000000</v>
      </c>
      <c r="C1" t="s">
        <v>182</v>
      </c>
      <c r="D1" t="s">
        <v>184</v>
      </c>
    </row>
    <row r="2" spans="1:4" x14ac:dyDescent="0.25">
      <c r="A2" s="1" t="s">
        <v>10</v>
      </c>
      <c r="B2" s="3">
        <v>120000000</v>
      </c>
      <c r="C2" t="s">
        <v>183</v>
      </c>
      <c r="D2" t="s">
        <v>184</v>
      </c>
    </row>
    <row r="3" spans="1:4" x14ac:dyDescent="0.25">
      <c r="A3" s="1" t="s">
        <v>185</v>
      </c>
      <c r="B3" s="3">
        <v>163000000</v>
      </c>
    </row>
    <row r="4" spans="1:4" x14ac:dyDescent="0.25">
      <c r="A4" s="1" t="s">
        <v>186</v>
      </c>
      <c r="B4" s="3">
        <v>150000000</v>
      </c>
      <c r="C4" t="s">
        <v>93</v>
      </c>
    </row>
    <row r="5" spans="1:4" x14ac:dyDescent="0.25">
      <c r="A5" s="1" t="s">
        <v>187</v>
      </c>
      <c r="B5" s="19">
        <f>((B8)*((B1/B3)-1))+((1-B8)*((B2/B3)-1))</f>
        <v>6.9999999999999965E-2</v>
      </c>
      <c r="C5" t="s">
        <v>130</v>
      </c>
    </row>
    <row r="6" spans="1:4" x14ac:dyDescent="0.25">
      <c r="A6" s="1" t="s">
        <v>43</v>
      </c>
      <c r="B6" s="26">
        <v>1</v>
      </c>
    </row>
    <row r="8" spans="1:4" x14ac:dyDescent="0.25">
      <c r="A8" s="1" t="s">
        <v>90</v>
      </c>
      <c r="B8" s="19">
        <v>0.6975641025641024</v>
      </c>
    </row>
    <row r="9" spans="1:4" x14ac:dyDescent="0.25">
      <c r="A9" s="1" t="s">
        <v>91</v>
      </c>
      <c r="B9" s="19">
        <f>1-B8</f>
        <v>0.3024358974358976</v>
      </c>
    </row>
    <row r="11" spans="1:4" x14ac:dyDescent="0.25">
      <c r="A11" s="1" t="s">
        <v>133</v>
      </c>
      <c r="B11" s="2">
        <f>(B8)*MAX(B1-B4,0)+(B9)*MAX(B2-B4,0)</f>
        <v>33483076.923076916</v>
      </c>
    </row>
    <row r="12" spans="1:4" x14ac:dyDescent="0.25">
      <c r="A12" s="1" t="s">
        <v>134</v>
      </c>
      <c r="B12" s="2">
        <f>PV(B5,B6,,-B11)</f>
        <v>31292595.255212069</v>
      </c>
      <c r="C12" s="6" t="s">
        <v>188</v>
      </c>
    </row>
    <row r="13" spans="1:4" x14ac:dyDescent="0.25">
      <c r="A13" s="1" t="s">
        <v>99</v>
      </c>
      <c r="B13" s="2">
        <f>B3-B12</f>
        <v>131707404.74478793</v>
      </c>
      <c r="C13" s="6" t="s">
        <v>189</v>
      </c>
    </row>
    <row r="15" spans="1:4" x14ac:dyDescent="0.25">
      <c r="A15" s="1" t="s">
        <v>190</v>
      </c>
      <c r="B15" s="1">
        <v>500000</v>
      </c>
      <c r="C15" t="s">
        <v>2</v>
      </c>
    </row>
    <row r="16" spans="1:4" x14ac:dyDescent="0.25">
      <c r="A16" s="1" t="s">
        <v>3</v>
      </c>
      <c r="B16" s="2">
        <f>B12/B15</f>
        <v>62.585190510424134</v>
      </c>
      <c r="C16" t="s">
        <v>2</v>
      </c>
    </row>
    <row r="18" spans="1:4" x14ac:dyDescent="0.25">
      <c r="A18" s="1" t="s">
        <v>175</v>
      </c>
      <c r="B18" s="2">
        <f>PV(B5,B6,,-B4)</f>
        <v>140186915.88785046</v>
      </c>
    </row>
    <row r="20" spans="1:4" x14ac:dyDescent="0.25">
      <c r="A20" s="1" t="s">
        <v>10</v>
      </c>
      <c r="B20" s="3">
        <v>217000000</v>
      </c>
      <c r="C20" t="s">
        <v>182</v>
      </c>
      <c r="D20" t="s">
        <v>184</v>
      </c>
    </row>
    <row r="21" spans="1:4" x14ac:dyDescent="0.25">
      <c r="A21" s="1" t="s">
        <v>10</v>
      </c>
      <c r="B21" s="3">
        <v>105000000</v>
      </c>
      <c r="C21" t="s">
        <v>183</v>
      </c>
      <c r="D21" t="s">
        <v>184</v>
      </c>
    </row>
    <row r="22" spans="1:4" x14ac:dyDescent="0.25">
      <c r="A22" s="1" t="s">
        <v>185</v>
      </c>
      <c r="B22" s="3">
        <v>163000000</v>
      </c>
    </row>
    <row r="23" spans="1:4" x14ac:dyDescent="0.25">
      <c r="A23" s="1" t="s">
        <v>186</v>
      </c>
      <c r="B23" s="3">
        <v>150000000</v>
      </c>
      <c r="C23" t="s">
        <v>93</v>
      </c>
    </row>
    <row r="24" spans="1:4" x14ac:dyDescent="0.25">
      <c r="A24" s="1" t="s">
        <v>187</v>
      </c>
      <c r="B24" s="19">
        <f>((B27)*((B20/B22)-1))+((1-B27)*((B21/B22)-1))</f>
        <v>6.9999999999999923E-2</v>
      </c>
      <c r="C24" t="s">
        <v>130</v>
      </c>
    </row>
    <row r="25" spans="1:4" x14ac:dyDescent="0.25">
      <c r="A25" s="1" t="s">
        <v>43</v>
      </c>
      <c r="B25" s="26">
        <v>1</v>
      </c>
    </row>
    <row r="27" spans="1:4" x14ac:dyDescent="0.25">
      <c r="A27" s="1" t="s">
        <v>90</v>
      </c>
      <c r="B27" s="19">
        <v>0.61973214285714273</v>
      </c>
    </row>
    <row r="28" spans="1:4" x14ac:dyDescent="0.25">
      <c r="A28" s="1" t="s">
        <v>91</v>
      </c>
      <c r="B28" s="19">
        <f>1-B27</f>
        <v>0.38026785714285727</v>
      </c>
    </row>
    <row r="30" spans="1:4" x14ac:dyDescent="0.25">
      <c r="A30" s="1" t="s">
        <v>133</v>
      </c>
      <c r="B30" s="2">
        <f>(B27)*MAX(B20-B23,0)+(B28)*MAX(B21-B23,0)</f>
        <v>41522053.57142856</v>
      </c>
    </row>
    <row r="31" spans="1:4" x14ac:dyDescent="0.25">
      <c r="A31" s="1" t="s">
        <v>134</v>
      </c>
      <c r="B31" s="2">
        <f>PV(B24,B25,,-B30)</f>
        <v>38805657.543391183</v>
      </c>
      <c r="C31" s="6" t="s">
        <v>188</v>
      </c>
    </row>
    <row r="32" spans="1:4" x14ac:dyDescent="0.25">
      <c r="A32" s="1" t="s">
        <v>99</v>
      </c>
      <c r="B32" s="2">
        <f>B22-B31</f>
        <v>124194342.45660882</v>
      </c>
      <c r="C32" s="6" t="s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C03F-7D56-4073-81E2-FD7DF206C3D9}">
  <dimension ref="A1:D16"/>
  <sheetViews>
    <sheetView showGridLines="0" tabSelected="1" topLeftCell="A10" zoomScale="160" zoomScaleNormal="160" workbookViewId="0">
      <selection activeCell="B17" sqref="B17"/>
    </sheetView>
  </sheetViews>
  <sheetFormatPr defaultRowHeight="15.65" x14ac:dyDescent="0.25"/>
  <cols>
    <col min="1" max="1" width="12.125" bestFit="1" customWidth="1"/>
  </cols>
  <sheetData>
    <row r="1" spans="1:4" x14ac:dyDescent="0.25">
      <c r="A1" s="1" t="s">
        <v>158</v>
      </c>
      <c r="B1" s="3">
        <v>108</v>
      </c>
      <c r="C1" t="s">
        <v>2</v>
      </c>
    </row>
    <row r="2" spans="1:4" x14ac:dyDescent="0.25">
      <c r="A2" s="1" t="s">
        <v>77</v>
      </c>
      <c r="B2" s="11">
        <v>0.35</v>
      </c>
      <c r="C2" t="s">
        <v>78</v>
      </c>
    </row>
    <row r="3" spans="1:4" x14ac:dyDescent="0.25">
      <c r="A3" s="1" t="s">
        <v>45</v>
      </c>
      <c r="B3" s="11">
        <v>0.05</v>
      </c>
      <c r="C3" t="s">
        <v>191</v>
      </c>
      <c r="D3" t="s">
        <v>179</v>
      </c>
    </row>
    <row r="4" spans="1:4" x14ac:dyDescent="0.25">
      <c r="A4" s="1" t="s">
        <v>126</v>
      </c>
      <c r="B4" s="3">
        <v>105</v>
      </c>
    </row>
    <row r="5" spans="1:4" x14ac:dyDescent="0.25">
      <c r="A5" s="1" t="s">
        <v>192</v>
      </c>
      <c r="B5" s="11">
        <v>0.02</v>
      </c>
      <c r="C5" t="s">
        <v>78</v>
      </c>
    </row>
    <row r="6" spans="1:4" x14ac:dyDescent="0.25">
      <c r="A6" s="1" t="s">
        <v>43</v>
      </c>
      <c r="B6" s="1">
        <f>6/12</f>
        <v>0.5</v>
      </c>
    </row>
    <row r="8" spans="1:4" x14ac:dyDescent="0.25">
      <c r="A8" s="1" t="s">
        <v>69</v>
      </c>
      <c r="B8" s="18">
        <f>(LN(B1/B4)+(B3-B5+B2^2/2)*(B6))/(B2*SQRT(B6))</f>
        <v>0.29818037158148025</v>
      </c>
    </row>
    <row r="9" spans="1:4" x14ac:dyDescent="0.25">
      <c r="A9" s="1" t="s">
        <v>70</v>
      </c>
      <c r="B9" s="18">
        <f>B8-(B2*SQRT(B6))</f>
        <v>5.0692998166188608E-2</v>
      </c>
    </row>
    <row r="10" spans="1:4" x14ac:dyDescent="0.25">
      <c r="A10" s="1" t="s">
        <v>65</v>
      </c>
      <c r="B10" s="18">
        <f>_xlfn.NORM.S.DIST($B8,1)</f>
        <v>0.61721724901113673</v>
      </c>
    </row>
    <row r="11" spans="1:4" x14ac:dyDescent="0.25">
      <c r="A11" s="1" t="s">
        <v>66</v>
      </c>
      <c r="B11" s="18">
        <f>_xlfn.NORM.S.DIST($B9,1)</f>
        <v>0.52021492193434193</v>
      </c>
    </row>
    <row r="13" spans="1:4" x14ac:dyDescent="0.25">
      <c r="A13" s="1" t="s">
        <v>67</v>
      </c>
      <c r="B13" s="2">
        <f>(B1*EXP(-(B5)*B6))*(B10)-(B4*EXP(-(B3)*B6))*(B11)</f>
        <v>12.722259331725304</v>
      </c>
    </row>
    <row r="14" spans="1:4" x14ac:dyDescent="0.25">
      <c r="A14" s="1" t="s">
        <v>193</v>
      </c>
      <c r="B14" s="2">
        <f>B4*EXP(-(B3)*B6)+B13</f>
        <v>115.12980009470022</v>
      </c>
    </row>
    <row r="15" spans="1:4" x14ac:dyDescent="0.25">
      <c r="A15" s="1" t="s">
        <v>194</v>
      </c>
      <c r="B15" s="2">
        <f>B1*EXP(-(B5)*B6)+B16</f>
        <v>115.13</v>
      </c>
    </row>
    <row r="16" spans="1:4" x14ac:dyDescent="0.25">
      <c r="A16" s="1" t="s">
        <v>68</v>
      </c>
      <c r="B16" s="2">
        <v>8.2046179550898408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</vt:lpstr>
      <vt:lpstr>3.</vt:lpstr>
      <vt:lpstr>4.</vt:lpstr>
      <vt:lpstr>5.</vt:lpstr>
      <vt:lpstr>6.</vt:lpstr>
      <vt:lpstr>7.</vt:lpstr>
      <vt:lpstr>8.</vt:lpstr>
      <vt:lpstr>9.</vt:lpstr>
      <vt:lpstr>10.</vt:lpstr>
      <vt:lpstr>11.</vt:lpstr>
      <vt:lpstr>12.</vt:lpstr>
      <vt:lpstr>13. &amp; 14.</vt:lpstr>
      <vt:lpstr>15.</vt:lpstr>
      <vt:lpstr>16. &amp; 17.</vt:lpstr>
      <vt:lpstr>21. &amp; 22.</vt:lpstr>
      <vt:lpstr>23.</vt:lpstr>
      <vt:lpstr>24.</vt:lpstr>
      <vt:lpstr>25.</vt:lpstr>
      <vt:lpstr>26.</vt:lpstr>
      <vt:lpstr>27.</vt:lpstr>
      <vt:lpstr>28.</vt:lpstr>
      <vt:lpstr>29.</vt:lpstr>
      <vt:lpstr>30.</vt:lpstr>
      <vt:lpstr>31.</vt:lpstr>
      <vt:lpstr>32.</vt:lpstr>
      <vt:lpstr>33. &amp; 34.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BussinesLearn365</dc:creator>
  <cp:lastModifiedBy>BusinessLearn365</cp:lastModifiedBy>
  <dcterms:created xsi:type="dcterms:W3CDTF">2022-10-24T07:28:02Z</dcterms:created>
  <dcterms:modified xsi:type="dcterms:W3CDTF">2023-04-04T07:05:51Z</dcterms:modified>
</cp:coreProperties>
</file>