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A3DBFE91-C29A-4F0D-9698-65285FE54776}" xr6:coauthVersionLast="47" xr6:coauthVersionMax="47" xr10:uidLastSave="{00000000-0000-0000-0000-000000000000}"/>
  <bookViews>
    <workbookView xWindow="-109" yWindow="-109" windowWidth="18775" windowHeight="10651" firstSheet="1" activeTab="8" xr2:uid="{D0B3B66C-50C9-4AA8-89AC-B6748F6F0CB2}"/>
  </bookViews>
  <sheets>
    <sheet name="1." sheetId="1" r:id="rId1"/>
    <sheet name="2." sheetId="3" r:id="rId2"/>
    <sheet name="3." sheetId="2" r:id="rId3"/>
    <sheet name="4." sheetId="4" r:id="rId4"/>
    <sheet name="5." sheetId="5" r:id="rId5"/>
    <sheet name="6." sheetId="6" r:id="rId6"/>
    <sheet name="7." sheetId="7" r:id="rId7"/>
    <sheet name="8. &amp; 9." sheetId="8" r:id="rId8"/>
    <sheet name="10.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9" l="1"/>
  <c r="B8" i="2"/>
  <c r="B9" i="2" s="1"/>
  <c r="K3" i="9"/>
  <c r="H4" i="9"/>
  <c r="J4" i="9" s="1"/>
  <c r="J3" i="9" s="1"/>
  <c r="H3" i="9"/>
  <c r="H7" i="9" s="1"/>
  <c r="J7" i="9" s="1"/>
  <c r="H2" i="9"/>
  <c r="B18" i="9"/>
  <c r="B15" i="9"/>
  <c r="B12" i="9"/>
  <c r="B10" i="9"/>
  <c r="H5" i="9" s="1"/>
  <c r="J2" i="8"/>
  <c r="J5" i="8"/>
  <c r="I2" i="8"/>
  <c r="I5" i="8"/>
  <c r="I3" i="8"/>
  <c r="G7" i="8"/>
  <c r="B12" i="8"/>
  <c r="B7" i="8"/>
  <c r="I7" i="8"/>
  <c r="G2" i="8"/>
  <c r="B15" i="8"/>
  <c r="G3" i="8"/>
  <c r="G4" i="8" s="1"/>
  <c r="I4" i="8" s="1"/>
  <c r="B16" i="7"/>
  <c r="B8" i="7"/>
  <c r="B9" i="7"/>
  <c r="B14" i="7"/>
  <c r="B11" i="7"/>
  <c r="B10" i="7"/>
  <c r="B4" i="7" s="1"/>
  <c r="B10" i="6"/>
  <c r="B9" i="6"/>
  <c r="B2" i="6"/>
  <c r="B14" i="5"/>
  <c r="B12" i="5"/>
  <c r="B11" i="5"/>
  <c r="B10" i="5"/>
  <c r="B9" i="5"/>
  <c r="B7" i="5"/>
  <c r="B20" i="4"/>
  <c r="B18" i="4"/>
  <c r="B17" i="4"/>
  <c r="B15" i="4"/>
  <c r="B5" i="4"/>
  <c r="B12" i="4"/>
  <c r="B11" i="4"/>
  <c r="B10" i="4"/>
  <c r="B9" i="4"/>
  <c r="B19" i="2"/>
  <c r="B6" i="2"/>
  <c r="B5" i="2"/>
  <c r="B17" i="3"/>
  <c r="B8" i="3"/>
  <c r="B2" i="3"/>
  <c r="B10" i="3"/>
  <c r="B14" i="1"/>
  <c r="B13" i="1"/>
  <c r="B11" i="1"/>
  <c r="B10" i="1"/>
  <c r="B9" i="1"/>
  <c r="B8" i="1"/>
  <c r="H6" i="9" l="1"/>
  <c r="J6" i="9" s="1"/>
  <c r="H8" i="9"/>
  <c r="J8" i="9" s="1"/>
  <c r="B13" i="9"/>
  <c r="B16" i="9" s="1"/>
  <c r="B10" i="8"/>
  <c r="B8" i="8"/>
  <c r="B18" i="6"/>
  <c r="B12" i="6"/>
  <c r="B14" i="2"/>
  <c r="B11" i="2"/>
  <c r="B13" i="2"/>
  <c r="B15" i="2" s="1"/>
  <c r="B20" i="2" s="1"/>
  <c r="B21" i="2" s="1"/>
  <c r="B10" i="2"/>
  <c r="B17" i="2" s="1"/>
  <c r="B12" i="3"/>
  <c r="B11" i="3"/>
  <c r="B13" i="3" s="1"/>
  <c r="J5" i="9" l="1"/>
  <c r="J2" i="9" s="1"/>
  <c r="B11" i="8"/>
  <c r="G5" i="8"/>
  <c r="G6" i="8" s="1"/>
  <c r="I6" i="8" s="1"/>
  <c r="B13" i="8"/>
  <c r="B14" i="6"/>
  <c r="B13" i="6"/>
  <c r="B15" i="6" s="1"/>
  <c r="B15" i="3"/>
  <c r="B16" i="3" s="1"/>
  <c r="B17" i="6" l="1"/>
</calcChain>
</file>

<file path=xl/sharedStrings.xml><?xml version="1.0" encoding="utf-8"?>
<sst xmlns="http://schemas.openxmlformats.org/spreadsheetml/2006/main" count="210" uniqueCount="117">
  <si>
    <t>per share</t>
  </si>
  <si>
    <t>Q</t>
  </si>
  <si>
    <t>European call options</t>
  </si>
  <si>
    <t>σ</t>
  </si>
  <si>
    <t>continuously compounded</t>
  </si>
  <si>
    <t>NPER</t>
  </si>
  <si>
    <t>S</t>
  </si>
  <si>
    <t>E</t>
  </si>
  <si>
    <t>R</t>
  </si>
  <si>
    <t>d1</t>
  </si>
  <si>
    <t>d2</t>
  </si>
  <si>
    <t>N(d1)</t>
  </si>
  <si>
    <t>N(d2)</t>
  </si>
  <si>
    <t>Call price</t>
  </si>
  <si>
    <t>per option</t>
  </si>
  <si>
    <t>ValueOf</t>
  </si>
  <si>
    <t>Annual salary</t>
  </si>
  <si>
    <t>PV(Salary)</t>
  </si>
  <si>
    <t>Contract value</t>
  </si>
  <si>
    <t>Future price</t>
  </si>
  <si>
    <t>per gallon</t>
  </si>
  <si>
    <t>per gallon in three months</t>
  </si>
  <si>
    <t>Current price</t>
  </si>
  <si>
    <t>per year</t>
  </si>
  <si>
    <t>Of price</t>
  </si>
  <si>
    <t xml:space="preserve"> millions gallons of gasoline in three months</t>
  </si>
  <si>
    <t>u</t>
  </si>
  <si>
    <t>d</t>
  </si>
  <si>
    <t>ΔIncreasePrice</t>
  </si>
  <si>
    <t>ΔDecreasePrice</t>
  </si>
  <si>
    <t>PUp</t>
  </si>
  <si>
    <t>PDown</t>
  </si>
  <si>
    <t>Value with price increase</t>
  </si>
  <si>
    <t>ProbabilityOfIncrease</t>
  </si>
  <si>
    <t>ProbabilityOfDrecrease</t>
  </si>
  <si>
    <t>C</t>
  </si>
  <si>
    <t>Value of contract</t>
  </si>
  <si>
    <t>to construct</t>
  </si>
  <si>
    <t>S1</t>
  </si>
  <si>
    <t>If demand increases</t>
  </si>
  <si>
    <t>If demand decreases</t>
  </si>
  <si>
    <t>can borrow and lend</t>
  </si>
  <si>
    <t>R_EAR</t>
  </si>
  <si>
    <t>recently offered by a local competitor for the right to build an office building on the land</t>
  </si>
  <si>
    <t>ReturnRise</t>
  </si>
  <si>
    <t>ReturnFall</t>
  </si>
  <si>
    <t>ReturnRise $</t>
  </si>
  <si>
    <t>ReturnFall  $</t>
  </si>
  <si>
    <t>ProbabilityRise</t>
  </si>
  <si>
    <t>ProbabilityFall</t>
  </si>
  <si>
    <t>Expected payoff at expiration</t>
  </si>
  <si>
    <t>PV</t>
  </si>
  <si>
    <t>Accept|Reject</t>
  </si>
  <si>
    <t>TheCurrentMarketPrice</t>
  </si>
  <si>
    <t>of crude oil per barrel</t>
  </si>
  <si>
    <t>barrels of oil</t>
  </si>
  <si>
    <t>Treasury bills</t>
  </si>
  <si>
    <t>returns on the price of crude oil</t>
  </si>
  <si>
    <t>Call price or Max Bid</t>
  </si>
  <si>
    <t>TheCurrentPriceOfSteel</t>
  </si>
  <si>
    <t>per ton</t>
  </si>
  <si>
    <t>Produce</t>
  </si>
  <si>
    <t>steel rods</t>
  </si>
  <si>
    <t>EachSteelRodWillCost</t>
  </si>
  <si>
    <t xml:space="preserve">to manufacture </t>
  </si>
  <si>
    <t>CompanyPlansToSellTheRodsFor</t>
  </si>
  <si>
    <t xml:space="preserve"> each</t>
  </si>
  <si>
    <t>Yield</t>
  </si>
  <si>
    <t>company will purchase tons of steel after 6 months</t>
  </si>
  <si>
    <t>of the returns(Price) on steel</t>
  </si>
  <si>
    <t>P</t>
  </si>
  <si>
    <t>This is the most the company should be willing to pay for the lease.</t>
  </si>
  <si>
    <t>If the demand is low</t>
  </si>
  <si>
    <t>If the demand for the new filters is high</t>
  </si>
  <si>
    <t>The value of the project today</t>
  </si>
  <si>
    <t>risk-free rate</t>
  </si>
  <si>
    <t xml:space="preserve"> company can sell the technology in one year</t>
  </si>
  <si>
    <t>Value of put with low demand</t>
  </si>
  <si>
    <t>Percentage increase with high demand</t>
  </si>
  <si>
    <t>Percentage decrease with low demand</t>
  </si>
  <si>
    <t>Value of option to abandon</t>
  </si>
  <si>
    <t>SalvageValue_E</t>
  </si>
  <si>
    <t>Value of put with high demand</t>
  </si>
  <si>
    <t>Put price (Pay for right to sell new technology at $11,800,000 after one year)</t>
  </si>
  <si>
    <t xml:space="preserve">Put price </t>
  </si>
  <si>
    <t>European put option</t>
  </si>
  <si>
    <t>Monthly interest rate</t>
  </si>
  <si>
    <t>Probability of rise</t>
  </si>
  <si>
    <t>Probability of decrease</t>
  </si>
  <si>
    <t>Stock price</t>
  </si>
  <si>
    <t>A</t>
  </si>
  <si>
    <t>B</t>
  </si>
  <si>
    <t>D</t>
  </si>
  <si>
    <t>F</t>
  </si>
  <si>
    <t>Put price</t>
  </si>
  <si>
    <t>Case</t>
  </si>
  <si>
    <t>Put Value</t>
  </si>
  <si>
    <t>months</t>
  </si>
  <si>
    <t>will be made to the owners</t>
  </si>
  <si>
    <t>S1_NPER_6</t>
  </si>
  <si>
    <t>S1_NPER_12</t>
  </si>
  <si>
    <t>on price of of the building</t>
  </si>
  <si>
    <t>n</t>
  </si>
  <si>
    <t>ΔUpPrice</t>
  </si>
  <si>
    <t>ΔDownPrice</t>
  </si>
  <si>
    <t>SixMonthInterestRate</t>
  </si>
  <si>
    <t>ProbabilityOfRise</t>
  </si>
  <si>
    <t>ProbabilityOfDecrease</t>
  </si>
  <si>
    <t>n=2(Up+Down)</t>
  </si>
  <si>
    <t>n=2(Up+Up)</t>
  </si>
  <si>
    <t>n=2(Down+Up)</t>
  </si>
  <si>
    <t>n=1(Up)</t>
  </si>
  <si>
    <t>n=1(Down)</t>
  </si>
  <si>
    <t>G</t>
  </si>
  <si>
    <t>n=2(Down+Down)</t>
  </si>
  <si>
    <t>n=0</t>
  </si>
  <si>
    <t>Price of real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</si>
</sst>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000"/>
    <numFmt numFmtId="165" formatCode="0.0%"/>
    <numFmt numFmtId="166" formatCode="&quot;$&quot;#,##0.000_);[Red]\(&quot;$&quot;#,##0.000\)"/>
  </numFmts>
  <fonts count="3" x14ac:knownFonts="1"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8" fontId="0" fillId="0" borderId="0" xfId="0" applyNumberFormat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8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/>
    <xf numFmtId="16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/>
    <xf numFmtId="6" fontId="0" fillId="0" borderId="0" xfId="0" applyNumberFormat="1"/>
    <xf numFmtId="0" fontId="0" fillId="0" borderId="1" xfId="0" applyFill="1" applyBorder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6" fontId="0" fillId="0" borderId="1" xfId="0" applyNumberFormat="1" applyBorder="1" applyAlignment="1"/>
    <xf numFmtId="0" fontId="0" fillId="0" borderId="0" xfId="0" applyAlignment="1">
      <alignment horizontal="center"/>
    </xf>
    <xf numFmtId="6" fontId="0" fillId="0" borderId="4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Border="1"/>
    <xf numFmtId="0" fontId="2" fillId="0" borderId="0" xfId="1"/>
  </cellXfs>
  <cellStyles count="2">
    <cellStyle name="Normal" xfId="0" builtinId="0"/>
    <cellStyle name="Normal 2" xfId="1" xr:uid="{95D7E7FE-48B0-477D-BF90-B3A1B6C82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EEE3-0DC7-4910-9086-ADD5ABD249D9}">
  <dimension ref="A1:C14"/>
  <sheetViews>
    <sheetView showGridLines="0" topLeftCell="A6" zoomScale="160" zoomScaleNormal="160" workbookViewId="0">
      <selection activeCell="A17" sqref="A17"/>
    </sheetView>
  </sheetViews>
  <sheetFormatPr defaultRowHeight="15.65" x14ac:dyDescent="0.25"/>
  <cols>
    <col min="1" max="1" width="12.25" bestFit="1" customWidth="1"/>
    <col min="2" max="2" width="11.75" bestFit="1" customWidth="1"/>
  </cols>
  <sheetData>
    <row r="1" spans="1:3" x14ac:dyDescent="0.25">
      <c r="A1" s="2" t="s">
        <v>6</v>
      </c>
      <c r="B1" s="3">
        <v>45</v>
      </c>
      <c r="C1" t="s">
        <v>0</v>
      </c>
    </row>
    <row r="2" spans="1:3" x14ac:dyDescent="0.25">
      <c r="A2" s="2" t="s">
        <v>7</v>
      </c>
      <c r="B2" s="3">
        <v>45</v>
      </c>
    </row>
    <row r="3" spans="1:3" x14ac:dyDescent="0.25">
      <c r="A3" s="2" t="s">
        <v>1</v>
      </c>
      <c r="B3" s="2">
        <v>35000</v>
      </c>
      <c r="C3" t="s">
        <v>2</v>
      </c>
    </row>
    <row r="4" spans="1:3" x14ac:dyDescent="0.25">
      <c r="A4" s="2" t="s">
        <v>3</v>
      </c>
      <c r="B4" s="4">
        <v>0.57999999999999996</v>
      </c>
    </row>
    <row r="5" spans="1:3" x14ac:dyDescent="0.25">
      <c r="A5" s="2" t="s">
        <v>8</v>
      </c>
      <c r="B5" s="4">
        <v>0.06</v>
      </c>
      <c r="C5" t="s">
        <v>4</v>
      </c>
    </row>
    <row r="6" spans="1:3" x14ac:dyDescent="0.25">
      <c r="A6" s="2" t="s">
        <v>5</v>
      </c>
      <c r="B6" s="2">
        <v>5</v>
      </c>
    </row>
    <row r="8" spans="1:3" x14ac:dyDescent="0.25">
      <c r="A8" s="2" t="s">
        <v>9</v>
      </c>
      <c r="B8" s="5">
        <f>(LN(B1/B2)+(B5+B4^2/2)*(B6))/(B4*SQRT(B6))</f>
        <v>0.87977709045767583</v>
      </c>
    </row>
    <row r="9" spans="1:3" x14ac:dyDescent="0.25">
      <c r="A9" s="2" t="s">
        <v>10</v>
      </c>
      <c r="B9" s="5">
        <f>B8-(B4*SQRT(B6))</f>
        <v>-0.41714233649220223</v>
      </c>
    </row>
    <row r="10" spans="1:3" x14ac:dyDescent="0.25">
      <c r="A10" s="2" t="s">
        <v>11</v>
      </c>
      <c r="B10" s="5">
        <f>_xlfn.NORM.S.DIST($B8,1)</f>
        <v>0.81050996113751284</v>
      </c>
    </row>
    <row r="11" spans="1:3" x14ac:dyDescent="0.25">
      <c r="A11" s="2" t="s">
        <v>12</v>
      </c>
      <c r="B11" s="5">
        <f>_xlfn.NORM.S.DIST($B9,1)</f>
        <v>0.33828714988012359</v>
      </c>
    </row>
    <row r="13" spans="1:3" x14ac:dyDescent="0.25">
      <c r="A13" s="2" t="s">
        <v>13</v>
      </c>
      <c r="B13" s="6">
        <f>B1*(B10)-(B2*EXP(-(B5)*B6))*(B11)</f>
        <v>25.195530450772353</v>
      </c>
      <c r="C13" t="s">
        <v>14</v>
      </c>
    </row>
    <row r="14" spans="1:3" x14ac:dyDescent="0.25">
      <c r="A14" s="2" t="s">
        <v>15</v>
      </c>
      <c r="B14" s="6">
        <f>B3*B13</f>
        <v>881843.56577703229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0725-C764-448B-BFA7-96B5C4DC9CFC}">
  <dimension ref="A1:C17"/>
  <sheetViews>
    <sheetView showGridLines="0" topLeftCell="A9" zoomScale="160" zoomScaleNormal="160" workbookViewId="0">
      <selection activeCell="A20" sqref="A20"/>
    </sheetView>
  </sheetViews>
  <sheetFormatPr defaultRowHeight="15.65" x14ac:dyDescent="0.25"/>
  <cols>
    <col min="1" max="1" width="12.75" bestFit="1" customWidth="1"/>
    <col min="2" max="3" width="13.375" bestFit="1" customWidth="1"/>
  </cols>
  <sheetData>
    <row r="1" spans="1:3" x14ac:dyDescent="0.25">
      <c r="A1" s="2" t="s">
        <v>6</v>
      </c>
      <c r="B1" s="3">
        <v>47</v>
      </c>
      <c r="C1" t="s">
        <v>0</v>
      </c>
    </row>
    <row r="2" spans="1:3" x14ac:dyDescent="0.25">
      <c r="A2" s="2" t="s">
        <v>7</v>
      </c>
      <c r="B2" s="3">
        <f>B1</f>
        <v>47</v>
      </c>
    </row>
    <row r="3" spans="1:3" x14ac:dyDescent="0.25">
      <c r="A3" s="2" t="s">
        <v>1</v>
      </c>
      <c r="B3" s="2">
        <v>25000</v>
      </c>
      <c r="C3" t="s">
        <v>2</v>
      </c>
    </row>
    <row r="4" spans="1:3" x14ac:dyDescent="0.25">
      <c r="A4" s="2" t="s">
        <v>3</v>
      </c>
      <c r="B4" s="4">
        <v>0.52</v>
      </c>
    </row>
    <row r="5" spans="1:3" x14ac:dyDescent="0.25">
      <c r="A5" s="2" t="s">
        <v>8</v>
      </c>
      <c r="B5" s="4">
        <v>0.05</v>
      </c>
      <c r="C5" t="s">
        <v>4</v>
      </c>
    </row>
    <row r="6" spans="1:3" x14ac:dyDescent="0.25">
      <c r="A6" s="2" t="s">
        <v>5</v>
      </c>
      <c r="B6" s="2">
        <v>3</v>
      </c>
    </row>
    <row r="7" spans="1:3" x14ac:dyDescent="0.25">
      <c r="A7" s="2" t="s">
        <v>16</v>
      </c>
      <c r="B7" s="3">
        <v>425000</v>
      </c>
    </row>
    <row r="8" spans="1:3" x14ac:dyDescent="0.25">
      <c r="A8" s="2" t="s">
        <v>17</v>
      </c>
      <c r="B8" s="6">
        <f>PV(B5+0.02,B6,-B7)</f>
        <v>1115334.3188769703</v>
      </c>
      <c r="C8" s="1"/>
    </row>
    <row r="10" spans="1:3" x14ac:dyDescent="0.25">
      <c r="A10" s="2" t="s">
        <v>9</v>
      </c>
      <c r="B10" s="5">
        <f>(LN(B1/B2)+(B5+B4^2/2)*(B6))/(B4*SQRT(B6))</f>
        <v>0.61687655684953102</v>
      </c>
    </row>
    <row r="11" spans="1:3" x14ac:dyDescent="0.25">
      <c r="A11" s="2" t="s">
        <v>10</v>
      </c>
      <c r="B11" s="5">
        <f>B10-(B4*SQRT(B6))</f>
        <v>-0.28378986308628518</v>
      </c>
    </row>
    <row r="12" spans="1:3" x14ac:dyDescent="0.25">
      <c r="A12" s="2" t="s">
        <v>11</v>
      </c>
      <c r="B12" s="5">
        <f>_xlfn.NORM.S.DIST($B10,1)</f>
        <v>0.73134192461448455</v>
      </c>
    </row>
    <row r="13" spans="1:3" x14ac:dyDescent="0.25">
      <c r="A13" s="2" t="s">
        <v>12</v>
      </c>
      <c r="B13" s="5">
        <f>_xlfn.NORM.S.DIST($B11,1)</f>
        <v>0.38828571168910381</v>
      </c>
    </row>
    <row r="15" spans="1:3" x14ac:dyDescent="0.25">
      <c r="A15" s="2" t="s">
        <v>13</v>
      </c>
      <c r="B15" s="6">
        <f>B1*(B12)-(B2*EXP(-(B5)*B6))*(B13)</f>
        <v>18.665641825294255</v>
      </c>
      <c r="C15" t="s">
        <v>14</v>
      </c>
    </row>
    <row r="16" spans="1:3" x14ac:dyDescent="0.25">
      <c r="A16" s="2" t="s">
        <v>15</v>
      </c>
      <c r="B16" s="6">
        <f>B3*B15</f>
        <v>466641.04563235637</v>
      </c>
    </row>
    <row r="17" spans="1:2" x14ac:dyDescent="0.25">
      <c r="A17" s="2" t="s">
        <v>18</v>
      </c>
      <c r="B17" s="6">
        <f>B8+B16</f>
        <v>1581975.3645093266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8FA8-7152-4622-B967-E3F5FCC787CE}">
  <dimension ref="A1:D21"/>
  <sheetViews>
    <sheetView showGridLines="0" topLeftCell="A8" zoomScale="160" zoomScaleNormal="160" workbookViewId="0">
      <selection activeCell="C21" sqref="C21"/>
    </sheetView>
  </sheetViews>
  <sheetFormatPr defaultRowHeight="15.65" x14ac:dyDescent="0.25"/>
  <cols>
    <col min="1" max="1" width="21.5" bestFit="1" customWidth="1"/>
    <col min="2" max="2" width="13.375" bestFit="1" customWidth="1"/>
  </cols>
  <sheetData>
    <row r="1" spans="1:4" x14ac:dyDescent="0.25">
      <c r="A1" s="2" t="s">
        <v>1</v>
      </c>
      <c r="B1" s="2">
        <v>5000000</v>
      </c>
      <c r="C1" t="s">
        <v>25</v>
      </c>
    </row>
    <row r="2" spans="1:4" x14ac:dyDescent="0.25">
      <c r="A2" s="2" t="s">
        <v>19</v>
      </c>
      <c r="B2" s="6">
        <v>1.95</v>
      </c>
      <c r="C2" t="s">
        <v>21</v>
      </c>
    </row>
    <row r="3" spans="1:4" x14ac:dyDescent="0.25">
      <c r="A3" s="2" t="s">
        <v>22</v>
      </c>
      <c r="B3" s="6">
        <v>1.76</v>
      </c>
      <c r="C3" t="s">
        <v>20</v>
      </c>
    </row>
    <row r="4" spans="1:4" x14ac:dyDescent="0.25">
      <c r="A4" s="2" t="s">
        <v>3</v>
      </c>
      <c r="B4" s="4">
        <v>0.57999999999999996</v>
      </c>
      <c r="C4" t="s">
        <v>24</v>
      </c>
    </row>
    <row r="5" spans="1:4" x14ac:dyDescent="0.25">
      <c r="A5" s="2" t="s">
        <v>8</v>
      </c>
      <c r="B5" s="8">
        <f>0.06/B6</f>
        <v>1.4999999999999999E-2</v>
      </c>
      <c r="C5" t="s">
        <v>23</v>
      </c>
      <c r="D5" s="7"/>
    </row>
    <row r="6" spans="1:4" x14ac:dyDescent="0.25">
      <c r="A6" s="2" t="s">
        <v>5</v>
      </c>
      <c r="B6" s="2">
        <f>12/3</f>
        <v>4</v>
      </c>
    </row>
    <row r="8" spans="1:4" x14ac:dyDescent="0.25">
      <c r="A8" s="2" t="s">
        <v>26</v>
      </c>
      <c r="B8" s="5">
        <f>EXP(B4/SQRT(12/3))</f>
        <v>1.3364274880254721</v>
      </c>
    </row>
    <row r="9" spans="1:4" x14ac:dyDescent="0.25">
      <c r="A9" s="2" t="s">
        <v>27</v>
      </c>
      <c r="B9" s="5">
        <f>1/B8</f>
        <v>0.74826356757856527</v>
      </c>
    </row>
    <row r="10" spans="1:4" x14ac:dyDescent="0.25">
      <c r="A10" s="2" t="s">
        <v>28</v>
      </c>
      <c r="B10" s="9">
        <f>B8-1</f>
        <v>0.33642748802547207</v>
      </c>
    </row>
    <row r="11" spans="1:4" x14ac:dyDescent="0.25">
      <c r="A11" s="2" t="s">
        <v>29</v>
      </c>
      <c r="B11" s="9">
        <f>B9-1</f>
        <v>-0.25173643242143473</v>
      </c>
    </row>
    <row r="13" spans="1:4" x14ac:dyDescent="0.25">
      <c r="A13" s="2" t="s">
        <v>30</v>
      </c>
      <c r="B13" s="6">
        <f>B3*B8</f>
        <v>2.352112378924831</v>
      </c>
    </row>
    <row r="14" spans="1:4" x14ac:dyDescent="0.25">
      <c r="A14" s="2" t="s">
        <v>31</v>
      </c>
      <c r="B14" s="6">
        <f>B3*B9</f>
        <v>1.3169438789382748</v>
      </c>
    </row>
    <row r="15" spans="1:4" x14ac:dyDescent="0.25">
      <c r="A15" s="2" t="s">
        <v>32</v>
      </c>
      <c r="B15" s="6">
        <f>MAX(B13-B2,0)</f>
        <v>0.40211237892483109</v>
      </c>
    </row>
    <row r="17" spans="1:3" x14ac:dyDescent="0.25">
      <c r="A17" s="2" t="s">
        <v>8</v>
      </c>
      <c r="B17" s="9">
        <f>(B18)*B10+(1-B18)*(B11)</f>
        <v>1.4999999999999986E-2</v>
      </c>
    </row>
    <row r="18" spans="1:3" x14ac:dyDescent="0.25">
      <c r="A18" s="2" t="s">
        <v>33</v>
      </c>
      <c r="B18" s="9">
        <v>0.45350696149257058</v>
      </c>
    </row>
    <row r="19" spans="1:3" x14ac:dyDescent="0.25">
      <c r="A19" s="2" t="s">
        <v>34</v>
      </c>
      <c r="B19" s="9">
        <f>1-B18</f>
        <v>0.54649303850742936</v>
      </c>
    </row>
    <row r="20" spans="1:3" x14ac:dyDescent="0.25">
      <c r="A20" s="10" t="s">
        <v>35</v>
      </c>
      <c r="B20" s="11">
        <f>((B18*B15)+(B19*0))/(1+B5)</f>
        <v>0.17966577649729001</v>
      </c>
      <c r="C20" t="s">
        <v>20</v>
      </c>
    </row>
    <row r="21" spans="1:3" x14ac:dyDescent="0.25">
      <c r="A21" s="2" t="s">
        <v>36</v>
      </c>
      <c r="B21" s="6">
        <f>B1*B20</f>
        <v>898328.88248645002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613F-819B-4D85-9B3E-97858FD22EEE}">
  <dimension ref="A1:C20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24.875" bestFit="1" customWidth="1"/>
    <col min="2" max="2" width="14.5" bestFit="1" customWidth="1"/>
  </cols>
  <sheetData>
    <row r="1" spans="1:3" x14ac:dyDescent="0.25">
      <c r="A1" s="2" t="s">
        <v>7</v>
      </c>
      <c r="B1" s="3">
        <v>65000000</v>
      </c>
      <c r="C1" t="s">
        <v>37</v>
      </c>
    </row>
    <row r="2" spans="1:3" x14ac:dyDescent="0.25">
      <c r="A2" s="2" t="s">
        <v>6</v>
      </c>
      <c r="B2" s="3">
        <v>58700000</v>
      </c>
    </row>
    <row r="3" spans="1:3" x14ac:dyDescent="0.25">
      <c r="A3" s="2" t="s">
        <v>38</v>
      </c>
      <c r="B3" s="3">
        <v>70400000</v>
      </c>
      <c r="C3" t="s">
        <v>39</v>
      </c>
    </row>
    <row r="4" spans="1:3" x14ac:dyDescent="0.25">
      <c r="A4" s="2" t="s">
        <v>38</v>
      </c>
      <c r="B4" s="3">
        <v>55200000</v>
      </c>
      <c r="C4" t="s">
        <v>40</v>
      </c>
    </row>
    <row r="5" spans="1:3" x14ac:dyDescent="0.25">
      <c r="A5" s="2" t="s">
        <v>42</v>
      </c>
      <c r="B5" s="8">
        <f>(B14)*B9+((1-B14)*B10)</f>
        <v>4.799999999999998E-2</v>
      </c>
      <c r="C5" t="s">
        <v>41</v>
      </c>
    </row>
    <row r="6" spans="1:3" x14ac:dyDescent="0.25">
      <c r="A6" s="2" t="s">
        <v>5</v>
      </c>
      <c r="B6" s="12">
        <v>1</v>
      </c>
    </row>
    <row r="7" spans="1:3" x14ac:dyDescent="0.25">
      <c r="A7" s="2" t="s">
        <v>13</v>
      </c>
      <c r="B7" s="3">
        <v>1800000</v>
      </c>
      <c r="C7" t="s">
        <v>43</v>
      </c>
    </row>
    <row r="9" spans="1:3" x14ac:dyDescent="0.25">
      <c r="A9" s="2" t="s">
        <v>44</v>
      </c>
      <c r="B9" s="9">
        <f>B3/B2-1</f>
        <v>0.19931856899488931</v>
      </c>
    </row>
    <row r="10" spans="1:3" x14ac:dyDescent="0.25">
      <c r="A10" s="2" t="s">
        <v>45</v>
      </c>
      <c r="B10" s="9">
        <f>B4/B2-1</f>
        <v>-5.9625212947189143E-2</v>
      </c>
    </row>
    <row r="11" spans="1:3" x14ac:dyDescent="0.25">
      <c r="A11" s="2" t="s">
        <v>46</v>
      </c>
      <c r="B11" s="3">
        <f>MAX(B3-B1,0)</f>
        <v>5400000</v>
      </c>
    </row>
    <row r="12" spans="1:3" x14ac:dyDescent="0.25">
      <c r="A12" s="2" t="s">
        <v>47</v>
      </c>
      <c r="B12" s="3">
        <f>MAX(B4-B2,0)</f>
        <v>0</v>
      </c>
    </row>
    <row r="14" spans="1:3" x14ac:dyDescent="0.25">
      <c r="A14" s="2" t="s">
        <v>48</v>
      </c>
      <c r="B14" s="9">
        <v>0.41563157894736841</v>
      </c>
    </row>
    <row r="15" spans="1:3" x14ac:dyDescent="0.25">
      <c r="A15" s="2" t="s">
        <v>49</v>
      </c>
      <c r="B15" s="9">
        <f>1-B14</f>
        <v>0.58436842105263165</v>
      </c>
    </row>
    <row r="17" spans="1:3" x14ac:dyDescent="0.25">
      <c r="A17" s="2" t="s">
        <v>50</v>
      </c>
      <c r="B17" s="6">
        <f>SUMPRODUCT($B$11:$B$12,$B$14:$B$15)</f>
        <v>2244410.5263157892</v>
      </c>
    </row>
    <row r="18" spans="1:3" x14ac:dyDescent="0.25">
      <c r="A18" s="2" t="s">
        <v>51</v>
      </c>
      <c r="B18" s="6">
        <f>PV(B5,B6,,-B17)</f>
        <v>2141613.0976295699</v>
      </c>
      <c r="C18" s="24" t="s">
        <v>116</v>
      </c>
    </row>
    <row r="20" spans="1:3" x14ac:dyDescent="0.25">
      <c r="A20" s="2" t="s">
        <v>52</v>
      </c>
      <c r="B20" s="13" t="str">
        <f>IF(B7&gt;=B18,"Accept","Reject")</f>
        <v>Reject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D60B-452F-4360-A923-77C0B140F560}">
  <dimension ref="A1:C14"/>
  <sheetViews>
    <sheetView showGridLines="0" topLeftCell="A6" zoomScale="160" zoomScaleNormal="160" workbookViewId="0">
      <selection activeCell="B14" sqref="B14"/>
    </sheetView>
  </sheetViews>
  <sheetFormatPr defaultRowHeight="15.65" x14ac:dyDescent="0.25"/>
  <cols>
    <col min="1" max="1" width="20.25" bestFit="1" customWidth="1"/>
    <col min="2" max="2" width="14.5" bestFit="1" customWidth="1"/>
  </cols>
  <sheetData>
    <row r="1" spans="1:3" x14ac:dyDescent="0.25">
      <c r="A1" s="2" t="s">
        <v>53</v>
      </c>
      <c r="B1" s="3">
        <v>60</v>
      </c>
      <c r="C1" t="s">
        <v>54</v>
      </c>
    </row>
    <row r="2" spans="1:3" x14ac:dyDescent="0.25">
      <c r="A2" s="2" t="s">
        <v>1</v>
      </c>
      <c r="B2" s="2">
        <v>495000</v>
      </c>
      <c r="C2" t="s">
        <v>55</v>
      </c>
    </row>
    <row r="3" spans="1:3" x14ac:dyDescent="0.25">
      <c r="A3" s="2" t="s">
        <v>7</v>
      </c>
      <c r="B3" s="3">
        <v>70000000</v>
      </c>
    </row>
    <row r="4" spans="1:3" x14ac:dyDescent="0.25">
      <c r="A4" s="2" t="s">
        <v>56</v>
      </c>
      <c r="B4" s="4">
        <v>0.04</v>
      </c>
      <c r="C4" t="s">
        <v>4</v>
      </c>
    </row>
    <row r="5" spans="1:3" x14ac:dyDescent="0.25">
      <c r="A5" s="2" t="s">
        <v>3</v>
      </c>
      <c r="B5" s="4">
        <v>0.5</v>
      </c>
      <c r="C5" t="s">
        <v>57</v>
      </c>
    </row>
    <row r="6" spans="1:3" x14ac:dyDescent="0.25">
      <c r="A6" s="2" t="s">
        <v>5</v>
      </c>
      <c r="B6" s="2">
        <v>1</v>
      </c>
    </row>
    <row r="7" spans="1:3" x14ac:dyDescent="0.25">
      <c r="A7" s="2" t="s">
        <v>6</v>
      </c>
      <c r="B7" s="3">
        <f>B2*B1</f>
        <v>29700000</v>
      </c>
    </row>
    <row r="9" spans="1:3" x14ac:dyDescent="0.25">
      <c r="A9" s="2" t="s">
        <v>9</v>
      </c>
      <c r="B9" s="5">
        <f>(LN(B7/B3)+(B4+B5^2/2)*(B6))/(B5*SQRT(B6))</f>
        <v>-1.3846963924814102</v>
      </c>
    </row>
    <row r="10" spans="1:3" x14ac:dyDescent="0.25">
      <c r="A10" s="2" t="s">
        <v>10</v>
      </c>
      <c r="B10" s="5">
        <f>B9-(B5*SQRT(B6))</f>
        <v>-1.8846963924814102</v>
      </c>
    </row>
    <row r="11" spans="1:3" x14ac:dyDescent="0.25">
      <c r="A11" s="2" t="s">
        <v>11</v>
      </c>
      <c r="B11" s="5">
        <f>_xlfn.NORM.S.DIST($B9,1)</f>
        <v>8.3072661324574457E-2</v>
      </c>
    </row>
    <row r="12" spans="1:3" x14ac:dyDescent="0.25">
      <c r="A12" s="2" t="s">
        <v>12</v>
      </c>
      <c r="B12" s="5">
        <f>_xlfn.NORM.S.DIST($B10,1)</f>
        <v>2.9735419852132312E-2</v>
      </c>
    </row>
    <row r="14" spans="1:3" x14ac:dyDescent="0.25">
      <c r="A14" s="10" t="s">
        <v>35</v>
      </c>
      <c r="B14" s="6">
        <f>B7*(B11)-(B3*EXP(-(B4)*B6))*(B12)</f>
        <v>467394.62595162704</v>
      </c>
      <c r="C14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D17C-1877-498E-8D3B-589B3A07DBA2}">
  <dimension ref="A1:C20"/>
  <sheetViews>
    <sheetView showGridLines="0" topLeftCell="A9" zoomScale="160" zoomScaleNormal="160" workbookViewId="0">
      <selection activeCell="B18" sqref="B18"/>
    </sheetView>
  </sheetViews>
  <sheetFormatPr defaultRowHeight="15.65" x14ac:dyDescent="0.25"/>
  <cols>
    <col min="1" max="1" width="29.25" bestFit="1" customWidth="1"/>
    <col min="2" max="2" width="14.5" bestFit="1" customWidth="1"/>
  </cols>
  <sheetData>
    <row r="1" spans="1:3" x14ac:dyDescent="0.25">
      <c r="A1" s="2" t="s">
        <v>59</v>
      </c>
      <c r="B1" s="3">
        <v>3700</v>
      </c>
      <c r="C1" t="s">
        <v>60</v>
      </c>
    </row>
    <row r="2" spans="1:3" x14ac:dyDescent="0.25">
      <c r="A2" s="2" t="s">
        <v>5</v>
      </c>
      <c r="B2" s="2">
        <f>6/12</f>
        <v>0.5</v>
      </c>
    </row>
    <row r="3" spans="1:3" x14ac:dyDescent="0.25">
      <c r="A3" s="2" t="s">
        <v>1</v>
      </c>
      <c r="B3" s="2">
        <v>500</v>
      </c>
      <c r="C3" t="s">
        <v>68</v>
      </c>
    </row>
    <row r="4" spans="1:3" x14ac:dyDescent="0.25">
      <c r="A4" s="2" t="s">
        <v>61</v>
      </c>
      <c r="B4" s="3">
        <v>175000</v>
      </c>
      <c r="C4" t="s">
        <v>62</v>
      </c>
    </row>
    <row r="5" spans="1:3" x14ac:dyDescent="0.25">
      <c r="A5" s="2" t="s">
        <v>63</v>
      </c>
      <c r="B5" s="3">
        <v>21</v>
      </c>
      <c r="C5" t="s">
        <v>64</v>
      </c>
    </row>
    <row r="6" spans="1:3" x14ac:dyDescent="0.25">
      <c r="A6" s="2" t="s">
        <v>65</v>
      </c>
      <c r="B6" s="3">
        <v>34</v>
      </c>
      <c r="C6" t="s">
        <v>66</v>
      </c>
    </row>
    <row r="7" spans="1:3" x14ac:dyDescent="0.25">
      <c r="A7" s="2" t="s">
        <v>56</v>
      </c>
      <c r="B7" s="8">
        <v>4.4999999999999998E-2</v>
      </c>
      <c r="C7" t="s">
        <v>4</v>
      </c>
    </row>
    <row r="8" spans="1:3" x14ac:dyDescent="0.25">
      <c r="A8" s="2" t="s">
        <v>3</v>
      </c>
      <c r="B8" s="4">
        <v>0.38</v>
      </c>
      <c r="C8" t="s">
        <v>69</v>
      </c>
    </row>
    <row r="9" spans="1:3" x14ac:dyDescent="0.25">
      <c r="A9" s="2" t="s">
        <v>7</v>
      </c>
      <c r="B9" s="3">
        <f>B4*(B6-B5)</f>
        <v>2275000</v>
      </c>
      <c r="C9" t="s">
        <v>67</v>
      </c>
    </row>
    <row r="10" spans="1:3" x14ac:dyDescent="0.25">
      <c r="A10" s="2" t="s">
        <v>6</v>
      </c>
      <c r="B10" s="3">
        <f>B3*B1</f>
        <v>1850000</v>
      </c>
    </row>
    <row r="12" spans="1:3" x14ac:dyDescent="0.25">
      <c r="A12" s="2" t="s">
        <v>9</v>
      </c>
      <c r="B12" s="5">
        <f>(LN(B10/B9)+(B7+B8^2/2)*(B2))/(B8*SQRT(B2))</f>
        <v>-0.55152249782820106</v>
      </c>
    </row>
    <row r="13" spans="1:3" x14ac:dyDescent="0.25">
      <c r="A13" s="2" t="s">
        <v>10</v>
      </c>
      <c r="B13" s="5">
        <f>B12-(B8*SQRT(B2))</f>
        <v>-0.82022307467908917</v>
      </c>
    </row>
    <row r="14" spans="1:3" x14ac:dyDescent="0.25">
      <c r="A14" s="2" t="s">
        <v>11</v>
      </c>
      <c r="B14" s="5">
        <f>_xlfn.NORM.S.DIST($B12,1)</f>
        <v>0.29063777426399395</v>
      </c>
    </row>
    <row r="15" spans="1:3" x14ac:dyDescent="0.25">
      <c r="A15" s="2" t="s">
        <v>12</v>
      </c>
      <c r="B15" s="5">
        <f>_xlfn.NORM.S.DIST($B13,1)</f>
        <v>0.20604447500725509</v>
      </c>
    </row>
    <row r="17" spans="1:3" x14ac:dyDescent="0.25">
      <c r="A17" s="10" t="s">
        <v>35</v>
      </c>
      <c r="B17" s="6">
        <f>B10*(B14)-(B9*EXP(-(B7)*B2))*(B15)</f>
        <v>79357.835580319923</v>
      </c>
      <c r="C17" t="s">
        <v>13</v>
      </c>
    </row>
    <row r="18" spans="1:3" x14ac:dyDescent="0.25">
      <c r="A18" s="10" t="s">
        <v>35</v>
      </c>
      <c r="B18" s="6">
        <f>(B19+B10)-(B9*EXP(-(B7)*B2))</f>
        <v>79357.840000000317</v>
      </c>
    </row>
    <row r="19" spans="1:3" x14ac:dyDescent="0.25">
      <c r="A19" s="10" t="s">
        <v>70</v>
      </c>
      <c r="B19" s="6">
        <v>453741.90461484046</v>
      </c>
      <c r="C19" t="s">
        <v>84</v>
      </c>
    </row>
    <row r="20" spans="1:3" x14ac:dyDescent="0.25">
      <c r="A20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BD9-8AFE-4CD1-92A9-56AA28647FB7}">
  <dimension ref="A1:C16"/>
  <sheetViews>
    <sheetView showGridLines="0" zoomScale="160" zoomScaleNormal="160" workbookViewId="0">
      <selection activeCell="B6" sqref="B6"/>
    </sheetView>
  </sheetViews>
  <sheetFormatPr defaultRowHeight="15.65" x14ac:dyDescent="0.25"/>
  <cols>
    <col min="1" max="1" width="33.25" bestFit="1" customWidth="1"/>
    <col min="2" max="2" width="14.5" bestFit="1" customWidth="1"/>
    <col min="3" max="3" width="10.75" bestFit="1" customWidth="1"/>
  </cols>
  <sheetData>
    <row r="1" spans="1:3" x14ac:dyDescent="0.25">
      <c r="A1" s="2" t="s">
        <v>38</v>
      </c>
      <c r="B1" s="3">
        <v>17800000</v>
      </c>
      <c r="C1" t="s">
        <v>73</v>
      </c>
    </row>
    <row r="2" spans="1:3" x14ac:dyDescent="0.25">
      <c r="A2" s="2" t="s">
        <v>38</v>
      </c>
      <c r="B2" s="3">
        <v>9400000</v>
      </c>
      <c r="C2" t="s">
        <v>72</v>
      </c>
    </row>
    <row r="3" spans="1:3" x14ac:dyDescent="0.25">
      <c r="A3" s="2" t="s">
        <v>6</v>
      </c>
      <c r="B3" s="3">
        <v>14300000</v>
      </c>
      <c r="C3" t="s">
        <v>74</v>
      </c>
    </row>
    <row r="4" spans="1:3" x14ac:dyDescent="0.25">
      <c r="A4" s="2" t="s">
        <v>75</v>
      </c>
      <c r="B4" s="9">
        <f>((B13)*B10)+((1-B13)*B11)</f>
        <v>5.9999999999999928E-2</v>
      </c>
    </row>
    <row r="5" spans="1:3" x14ac:dyDescent="0.25">
      <c r="A5" s="2" t="s">
        <v>81</v>
      </c>
      <c r="B5" s="3">
        <v>11800000</v>
      </c>
      <c r="C5" t="s">
        <v>76</v>
      </c>
    </row>
    <row r="6" spans="1:3" x14ac:dyDescent="0.25">
      <c r="A6" s="2" t="s">
        <v>5</v>
      </c>
      <c r="B6" s="12">
        <v>1</v>
      </c>
    </row>
    <row r="8" spans="1:3" x14ac:dyDescent="0.25">
      <c r="A8" s="2" t="s">
        <v>82</v>
      </c>
      <c r="B8" s="3">
        <f>MAX(B5-B1,0)</f>
        <v>0</v>
      </c>
    </row>
    <row r="9" spans="1:3" x14ac:dyDescent="0.25">
      <c r="A9" s="2" t="s">
        <v>77</v>
      </c>
      <c r="B9" s="3">
        <f>MAX(B5-B2,0)</f>
        <v>2400000</v>
      </c>
    </row>
    <row r="10" spans="1:3" x14ac:dyDescent="0.25">
      <c r="A10" s="2" t="s">
        <v>78</v>
      </c>
      <c r="B10" s="9">
        <f>B1/B3-1</f>
        <v>0.24475524475524479</v>
      </c>
      <c r="C10" t="s">
        <v>44</v>
      </c>
    </row>
    <row r="11" spans="1:3" x14ac:dyDescent="0.25">
      <c r="A11" s="2" t="s">
        <v>79</v>
      </c>
      <c r="B11" s="9">
        <f>B2/B3-1</f>
        <v>-0.34265734265734271</v>
      </c>
      <c r="C11" t="s">
        <v>45</v>
      </c>
    </row>
    <row r="13" spans="1:3" x14ac:dyDescent="0.25">
      <c r="A13" s="2" t="s">
        <v>48</v>
      </c>
      <c r="B13" s="9">
        <v>0.68547619047619035</v>
      </c>
    </row>
    <row r="14" spans="1:3" x14ac:dyDescent="0.25">
      <c r="A14" s="2" t="s">
        <v>49</v>
      </c>
      <c r="B14" s="9">
        <f>1-B13</f>
        <v>0.31452380952380965</v>
      </c>
    </row>
    <row r="16" spans="1:3" x14ac:dyDescent="0.25">
      <c r="A16" s="2" t="s">
        <v>80</v>
      </c>
      <c r="B16" s="6">
        <f>PV(B4,B6,,-SUMPRODUCT($B$13:$B$14,$B$8:$B$9))</f>
        <v>712129.3800539088</v>
      </c>
      <c r="C1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5EF7-9495-4EAE-BCEA-A9E50B873B06}">
  <dimension ref="A1:J17"/>
  <sheetViews>
    <sheetView showGridLines="0" topLeftCell="E1" zoomScale="160" zoomScaleNormal="160" workbookViewId="0">
      <selection activeCell="F1" sqref="F1:I7"/>
    </sheetView>
  </sheetViews>
  <sheetFormatPr defaultRowHeight="15.65" x14ac:dyDescent="0.25"/>
  <cols>
    <col min="1" max="1" width="21.5" bestFit="1" customWidth="1"/>
    <col min="6" max="6" width="9.875" bestFit="1" customWidth="1"/>
    <col min="7" max="7" width="9.875" customWidth="1"/>
  </cols>
  <sheetData>
    <row r="1" spans="1:10" x14ac:dyDescent="0.25">
      <c r="A1" s="2" t="s">
        <v>6</v>
      </c>
      <c r="B1" s="3">
        <v>82</v>
      </c>
      <c r="F1" s="13" t="s">
        <v>95</v>
      </c>
      <c r="G1" s="13" t="s">
        <v>89</v>
      </c>
      <c r="H1" s="13" t="s">
        <v>94</v>
      </c>
      <c r="I1" s="16" t="s">
        <v>96</v>
      </c>
      <c r="J1" s="16" t="s">
        <v>96</v>
      </c>
    </row>
    <row r="2" spans="1:10" x14ac:dyDescent="0.25">
      <c r="A2" s="2" t="s">
        <v>3</v>
      </c>
      <c r="B2" s="4">
        <v>0.7</v>
      </c>
      <c r="F2" s="13" t="s">
        <v>90</v>
      </c>
      <c r="G2" s="14">
        <f>B1</f>
        <v>82</v>
      </c>
      <c r="H2" s="14">
        <v>14.14</v>
      </c>
      <c r="I2" s="6">
        <f>PV($B$12,1,,-(($B$14*$I$3)+($B$15*$I$5)))</f>
        <v>14.139392972423906</v>
      </c>
      <c r="J2" s="6">
        <f>PV($B$12,1,,-(($B$14*$I$3)+($B$15*$J$5)))</f>
        <v>14.341421282692639</v>
      </c>
    </row>
    <row r="3" spans="1:10" x14ac:dyDescent="0.25">
      <c r="A3" s="2" t="s">
        <v>7</v>
      </c>
      <c r="B3" s="3">
        <v>90</v>
      </c>
      <c r="C3" t="s">
        <v>85</v>
      </c>
      <c r="F3" s="13" t="s">
        <v>91</v>
      </c>
      <c r="G3" s="14">
        <f>$G2*$B$7</f>
        <v>100.3628221611131</v>
      </c>
      <c r="H3" s="14">
        <v>4.3</v>
      </c>
      <c r="I3" s="6">
        <f>PV($B$12,1,,-(($B$14*$I$4)+($B$15*$I$7)))</f>
        <v>4.3022741030632403</v>
      </c>
    </row>
    <row r="4" spans="1:10" x14ac:dyDescent="0.25">
      <c r="A4" s="2" t="s">
        <v>8</v>
      </c>
      <c r="B4" s="4">
        <v>0.05</v>
      </c>
      <c r="C4" t="s">
        <v>23</v>
      </c>
      <c r="F4" s="13" t="s">
        <v>92</v>
      </c>
      <c r="G4" s="14">
        <f>$G3*$B$7</f>
        <v>122.83775697735628</v>
      </c>
      <c r="H4" s="14">
        <v>0</v>
      </c>
      <c r="I4" s="17">
        <f>MAX($B$3-$G4,0)</f>
        <v>0</v>
      </c>
    </row>
    <row r="5" spans="1:10" x14ac:dyDescent="0.25">
      <c r="A5" s="2" t="s">
        <v>5</v>
      </c>
      <c r="B5" s="2">
        <v>2</v>
      </c>
      <c r="C5" t="s">
        <v>97</v>
      </c>
      <c r="F5" s="13" t="s">
        <v>35</v>
      </c>
      <c r="G5" s="14">
        <f>$G2*$B$8</f>
        <v>66.996920325794719</v>
      </c>
      <c r="H5" s="14">
        <v>22.63</v>
      </c>
      <c r="I5" s="6">
        <f>PV($B$12,1,,-(($B$14*$I$7)+($B$15*$I$6)))</f>
        <v>22.627411726642595</v>
      </c>
      <c r="J5" s="3">
        <f>MAX($B$3-$G$5,0)</f>
        <v>23.003079674205281</v>
      </c>
    </row>
    <row r="6" spans="1:10" x14ac:dyDescent="0.25">
      <c r="F6" s="13" t="s">
        <v>93</v>
      </c>
      <c r="G6" s="14">
        <f>$G5*$B$8</f>
        <v>54.738869916352265</v>
      </c>
      <c r="H6" s="14">
        <v>35.26</v>
      </c>
      <c r="I6" s="18">
        <f t="shared" ref="I6:I7" si="0">MAX($B$3-$G6,0)</f>
        <v>35.261130083647735</v>
      </c>
    </row>
    <row r="7" spans="1:10" x14ac:dyDescent="0.25">
      <c r="A7" s="10" t="s">
        <v>26</v>
      </c>
      <c r="B7" s="5">
        <f>EXP(B2/SQRT(12))</f>
        <v>1.2239368556233305</v>
      </c>
      <c r="F7" s="13" t="s">
        <v>7</v>
      </c>
      <c r="G7" s="14">
        <f>($B$1*$B$7)*$B$8</f>
        <v>82</v>
      </c>
      <c r="H7" s="14">
        <v>8</v>
      </c>
      <c r="I7" s="6">
        <f t="shared" si="0"/>
        <v>8</v>
      </c>
    </row>
    <row r="8" spans="1:10" x14ac:dyDescent="0.25">
      <c r="A8" s="10" t="s">
        <v>27</v>
      </c>
      <c r="B8" s="5">
        <f>1/B7</f>
        <v>0.81703561372920397</v>
      </c>
    </row>
    <row r="10" spans="1:10" x14ac:dyDescent="0.25">
      <c r="A10" s="2" t="s">
        <v>28</v>
      </c>
      <c r="B10" s="9">
        <f>B7-1</f>
        <v>0.22393685562333054</v>
      </c>
    </row>
    <row r="11" spans="1:10" x14ac:dyDescent="0.25">
      <c r="A11" s="2" t="s">
        <v>29</v>
      </c>
      <c r="B11" s="9">
        <f>B8-1</f>
        <v>-0.18296438627079603</v>
      </c>
    </row>
    <row r="12" spans="1:10" x14ac:dyDescent="0.25">
      <c r="A12" s="2" t="s">
        <v>86</v>
      </c>
      <c r="B12" s="9">
        <f>B4/12</f>
        <v>4.1666666666666666E-3</v>
      </c>
    </row>
    <row r="13" spans="1:10" x14ac:dyDescent="0.25">
      <c r="A13" s="2" t="s">
        <v>86</v>
      </c>
      <c r="B13" s="9">
        <f>(B14*B10)+((1-B14)*B11)</f>
        <v>4.2000000000000093E-3</v>
      </c>
    </row>
    <row r="14" spans="1:10" x14ac:dyDescent="0.25">
      <c r="A14" s="2" t="s">
        <v>87</v>
      </c>
      <c r="B14" s="9">
        <v>0.45997496935508286</v>
      </c>
    </row>
    <row r="15" spans="1:10" x14ac:dyDescent="0.25">
      <c r="A15" s="2" t="s">
        <v>88</v>
      </c>
      <c r="B15" s="9">
        <f>1-B14</f>
        <v>0.54002503064491714</v>
      </c>
    </row>
    <row r="17" spans="2:2" x14ac:dyDescent="0.25">
      <c r="B17" s="15"/>
    </row>
  </sheetData>
  <pageMargins left="0.7" right="0.7" top="0.75" bottom="0.75" header="0.3" footer="0.3"/>
  <pageSetup orientation="portrait" horizontalDpi="1200" verticalDpi="1200" r:id="rId1"/>
  <ignoredErrors>
    <ignoredError sqref="I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71A8-D64B-469A-875D-B7682DEA3793}">
  <dimension ref="A1:K18"/>
  <sheetViews>
    <sheetView showGridLines="0" tabSelected="1" topLeftCell="A9" zoomScale="160" zoomScaleNormal="160" workbookViewId="0">
      <selection activeCell="B16" sqref="B16"/>
    </sheetView>
  </sheetViews>
  <sheetFormatPr defaultRowHeight="15.65" x14ac:dyDescent="0.25"/>
  <cols>
    <col min="1" max="1" width="19.5" bestFit="1" customWidth="1"/>
    <col min="2" max="2" width="12.375" bestFit="1" customWidth="1"/>
    <col min="6" max="6" width="16" bestFit="1" customWidth="1"/>
    <col min="7" max="7" width="5.25" bestFit="1" customWidth="1"/>
    <col min="8" max="10" width="14.5" bestFit="1" customWidth="1"/>
    <col min="11" max="11" width="11.75" bestFit="1" customWidth="1"/>
  </cols>
  <sheetData>
    <row r="1" spans="1:11" x14ac:dyDescent="0.25">
      <c r="A1" s="2" t="s">
        <v>7</v>
      </c>
      <c r="B1" s="3">
        <v>63000000</v>
      </c>
      <c r="G1" s="13" t="s">
        <v>95</v>
      </c>
      <c r="H1" s="13" t="s">
        <v>89</v>
      </c>
      <c r="I1" s="13" t="s">
        <v>13</v>
      </c>
      <c r="J1" s="13" t="s">
        <v>13</v>
      </c>
      <c r="K1" s="22"/>
    </row>
    <row r="2" spans="1:11" x14ac:dyDescent="0.25">
      <c r="A2" s="2" t="s">
        <v>6</v>
      </c>
      <c r="B2" s="3">
        <v>60000000</v>
      </c>
      <c r="F2" s="20" t="s">
        <v>115</v>
      </c>
      <c r="G2" s="13" t="s">
        <v>90</v>
      </c>
      <c r="H2" s="19">
        <f>$B$2</f>
        <v>60000000</v>
      </c>
      <c r="I2" s="19">
        <v>6961860</v>
      </c>
      <c r="J2" s="3">
        <f>PV($B$15,1,,-(($J$3*$B$17)+($J$5*$B$18)))</f>
        <v>6961859.7288806476</v>
      </c>
    </row>
    <row r="3" spans="1:11" x14ac:dyDescent="0.25">
      <c r="A3" s="2" t="s">
        <v>99</v>
      </c>
      <c r="B3" s="3">
        <v>900000</v>
      </c>
      <c r="C3" t="s">
        <v>98</v>
      </c>
      <c r="F3" s="20" t="s">
        <v>111</v>
      </c>
      <c r="G3" s="13" t="s">
        <v>91</v>
      </c>
      <c r="H3" s="19">
        <f>($H$2*$B$9)-$B$3</f>
        <v>73278666.590627253</v>
      </c>
      <c r="I3" s="19">
        <v>13860524</v>
      </c>
      <c r="J3" s="3">
        <f>PV($B$15,1,,-(($J$4*$B$17)+($J$7*$B$18)))</f>
        <v>13860523.720422363</v>
      </c>
      <c r="K3" s="3">
        <f>($H$3+$B$3)-$B$1</f>
        <v>11178666.590627253</v>
      </c>
    </row>
    <row r="4" spans="1:11" x14ac:dyDescent="0.25">
      <c r="A4" s="2" t="s">
        <v>100</v>
      </c>
      <c r="B4" s="3">
        <v>900000</v>
      </c>
      <c r="C4" t="s">
        <v>98</v>
      </c>
      <c r="F4" s="20" t="s">
        <v>109</v>
      </c>
      <c r="G4" s="13" t="s">
        <v>92</v>
      </c>
      <c r="H4" s="19">
        <f>$H$3*$B$9</f>
        <v>90595229.620531261</v>
      </c>
      <c r="I4" s="19">
        <v>27595230</v>
      </c>
      <c r="J4" s="3">
        <f t="shared" ref="J4:J8" si="0">MAX($H4-$B$1,0)</f>
        <v>27595229.620531261</v>
      </c>
    </row>
    <row r="5" spans="1:11" x14ac:dyDescent="0.25">
      <c r="A5" s="2" t="s">
        <v>3</v>
      </c>
      <c r="B5" s="4">
        <v>0.3</v>
      </c>
      <c r="C5" t="s">
        <v>101</v>
      </c>
      <c r="F5" s="20" t="s">
        <v>112</v>
      </c>
      <c r="G5" s="13" t="s">
        <v>35</v>
      </c>
      <c r="H5" s="15">
        <f>($H$2*$B$10)-$B$3</f>
        <v>47631473.609083086</v>
      </c>
      <c r="I5" s="21">
        <v>0</v>
      </c>
      <c r="J5" s="6">
        <f>PV($B$15,1,,-(($J$6*$B$17)+($J$8*$B$18)))</f>
        <v>0</v>
      </c>
    </row>
    <row r="6" spans="1:11" x14ac:dyDescent="0.25">
      <c r="A6" s="2" t="s">
        <v>8</v>
      </c>
      <c r="B6" s="4">
        <v>0.06</v>
      </c>
      <c r="C6" t="s">
        <v>23</v>
      </c>
      <c r="F6" s="20" t="s">
        <v>110</v>
      </c>
      <c r="G6" s="13" t="s">
        <v>93</v>
      </c>
      <c r="H6" s="19">
        <f>$H$5*$B$9</f>
        <v>58887320.001140587</v>
      </c>
      <c r="I6" s="19">
        <v>0</v>
      </c>
      <c r="J6" s="6">
        <f t="shared" si="0"/>
        <v>0</v>
      </c>
    </row>
    <row r="7" spans="1:11" x14ac:dyDescent="0.25">
      <c r="A7" s="2" t="s">
        <v>102</v>
      </c>
      <c r="B7" s="23">
        <v>2</v>
      </c>
      <c r="F7" s="20" t="s">
        <v>108</v>
      </c>
      <c r="G7" s="13" t="s">
        <v>7</v>
      </c>
      <c r="H7" s="19">
        <f>$H$3*$B$10</f>
        <v>59272027.895863757</v>
      </c>
      <c r="I7" s="19">
        <v>0</v>
      </c>
      <c r="J7" s="6">
        <f t="shared" si="0"/>
        <v>0</v>
      </c>
    </row>
    <row r="8" spans="1:11" x14ac:dyDescent="0.25">
      <c r="F8" s="20" t="s">
        <v>114</v>
      </c>
      <c r="G8" s="13" t="s">
        <v>113</v>
      </c>
      <c r="H8" s="19">
        <f>$H$5*$B$10</f>
        <v>38527093.40701589</v>
      </c>
      <c r="I8" s="19">
        <v>0</v>
      </c>
      <c r="J8" s="6">
        <f t="shared" si="0"/>
        <v>0</v>
      </c>
    </row>
    <row r="9" spans="1:11" x14ac:dyDescent="0.25">
      <c r="A9" s="10" t="s">
        <v>26</v>
      </c>
      <c r="B9" s="5">
        <f>EXP(B5/SQRT(B7))</f>
        <v>1.2363111098437876</v>
      </c>
    </row>
    <row r="10" spans="1:11" x14ac:dyDescent="0.25">
      <c r="A10" s="10" t="s">
        <v>27</v>
      </c>
      <c r="B10" s="5">
        <f>1/B9</f>
        <v>0.80885789348471815</v>
      </c>
    </row>
    <row r="12" spans="1:11" x14ac:dyDescent="0.25">
      <c r="A12" s="2" t="s">
        <v>103</v>
      </c>
      <c r="B12" s="9">
        <f>B9-1</f>
        <v>0.23631110984378756</v>
      </c>
    </row>
    <row r="13" spans="1:11" x14ac:dyDescent="0.25">
      <c r="A13" s="2" t="s">
        <v>104</v>
      </c>
      <c r="B13" s="9">
        <f>B10-1</f>
        <v>-0.19114210651528185</v>
      </c>
    </row>
    <row r="15" spans="1:11" x14ac:dyDescent="0.25">
      <c r="A15" s="2" t="s">
        <v>105</v>
      </c>
      <c r="B15" s="4">
        <f>B6/B7</f>
        <v>0.03</v>
      </c>
    </row>
    <row r="16" spans="1:11" x14ac:dyDescent="0.25">
      <c r="A16" s="2" t="s">
        <v>105</v>
      </c>
      <c r="B16" s="4">
        <f>((B17)*B12)+((1-B17)*B13)</f>
        <v>3.0000000000000027E-2</v>
      </c>
    </row>
    <row r="17" spans="1:2" x14ac:dyDescent="0.25">
      <c r="A17" s="2" t="s">
        <v>106</v>
      </c>
      <c r="B17" s="9">
        <v>0.51734809343326593</v>
      </c>
    </row>
    <row r="18" spans="1:2" x14ac:dyDescent="0.25">
      <c r="A18" s="2" t="s">
        <v>107</v>
      </c>
      <c r="B18" s="9">
        <f>1-B17</f>
        <v>0.48265190656673407</v>
      </c>
    </row>
  </sheetData>
  <pageMargins left="0.7" right="0.7" top="0.75" bottom="0.75" header="0.3" footer="0.3"/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</vt:lpstr>
      <vt:lpstr>2.</vt:lpstr>
      <vt:lpstr>3.</vt:lpstr>
      <vt:lpstr>4.</vt:lpstr>
      <vt:lpstr>5.</vt:lpstr>
      <vt:lpstr>6.</vt:lpstr>
      <vt:lpstr>7.</vt:lpstr>
      <vt:lpstr>8. &amp; 9.</vt:lpstr>
      <vt:lpstr>10.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BussinesLearn365</dc:creator>
  <cp:lastModifiedBy>BusinessLearn365</cp:lastModifiedBy>
  <dcterms:created xsi:type="dcterms:W3CDTF">2022-11-10T07:21:37Z</dcterms:created>
  <dcterms:modified xsi:type="dcterms:W3CDTF">2023-04-05T08:04:56Z</dcterms:modified>
</cp:coreProperties>
</file>