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\Corporate. Finance(As result)\Corporate Finance [12]\Excel\"/>
    </mc:Choice>
  </mc:AlternateContent>
  <xr:revisionPtr revIDLastSave="0" documentId="13_ncr:1_{3F56CAE2-4656-416B-BEF8-FD516DE7A22A}" xr6:coauthVersionLast="47" xr6:coauthVersionMax="47" xr10:uidLastSave="{00000000-0000-0000-0000-000000000000}"/>
  <bookViews>
    <workbookView xWindow="-109" yWindow="-109" windowWidth="16748" windowHeight="9511" firstSheet="4" activeTab="10" xr2:uid="{13E57788-2FD2-4A26-AEB5-5EA15B1B6B84}"/>
  </bookViews>
  <sheets>
    <sheet name="2." sheetId="1" r:id="rId1"/>
    <sheet name="5." sheetId="2" r:id="rId2"/>
    <sheet name="6." sheetId="3" r:id="rId3"/>
    <sheet name="7." sheetId="4" r:id="rId4"/>
    <sheet name="8." sheetId="5" r:id="rId5"/>
    <sheet name="9." sheetId="6" r:id="rId6"/>
    <sheet name="10." sheetId="7" r:id="rId7"/>
    <sheet name="11." sheetId="8" r:id="rId8"/>
    <sheet name="12." sheetId="9" r:id="rId9"/>
    <sheet name="13. &amp; 14." sheetId="11" r:id="rId10"/>
    <sheet name="KEAFER MANUFACTURING NWC" sheetId="12" r:id="rId11"/>
  </sheets>
  <definedNames>
    <definedName name="solver_adj" localSheetId="10" hidden="1">'KEAFER MANUFACTURING NWC'!$I$6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lhs1" localSheetId="10" hidden="1">'KEAFER MANUFACTURING NWC'!$D$216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'KEAFER MANUFACTURING NWC'!$D$213</definedName>
    <definedName name="solver_pre" localSheetId="10" hidden="1">0.000001</definedName>
    <definedName name="solver_rbv" localSheetId="10" hidden="1">1</definedName>
    <definedName name="solver_rel1" localSheetId="10" hidden="1">2</definedName>
    <definedName name="solver_rhs1" localSheetId="10" hidden="1">'KEAFER MANUFACTURING NWC'!$B$3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3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5" i="12" l="1"/>
  <c r="E164" i="12"/>
  <c r="B183" i="12"/>
  <c r="B192" i="12" s="1"/>
  <c r="C183" i="12"/>
  <c r="C192" i="12" s="1"/>
  <c r="D183" i="12"/>
  <c r="D192" i="12" s="1"/>
  <c r="E183" i="12"/>
  <c r="E192" i="12" s="1"/>
  <c r="E208" i="12"/>
  <c r="D208" i="12"/>
  <c r="C208" i="12"/>
  <c r="B208" i="12"/>
  <c r="E202" i="12"/>
  <c r="D202" i="12"/>
  <c r="C202" i="12"/>
  <c r="B202" i="12"/>
  <c r="B199" i="12"/>
  <c r="D194" i="12"/>
  <c r="E193" i="12"/>
  <c r="D193" i="12"/>
  <c r="C193" i="12"/>
  <c r="B193" i="12"/>
  <c r="B188" i="12"/>
  <c r="B179" i="12"/>
  <c r="B172" i="12"/>
  <c r="C172" i="12"/>
  <c r="D172" i="12"/>
  <c r="E172" i="12"/>
  <c r="B171" i="12"/>
  <c r="C171" i="12"/>
  <c r="D171" i="12"/>
  <c r="E171" i="12"/>
  <c r="B170" i="12"/>
  <c r="C170" i="12"/>
  <c r="D170" i="12"/>
  <c r="E170" i="12"/>
  <c r="E175" i="12"/>
  <c r="E174" i="12"/>
  <c r="E169" i="12"/>
  <c r="E168" i="12"/>
  <c r="E173" i="12"/>
  <c r="D176" i="12"/>
  <c r="D167" i="12"/>
  <c r="D166" i="12"/>
  <c r="D165" i="12"/>
  <c r="D173" i="12"/>
  <c r="C174" i="12"/>
  <c r="C164" i="12"/>
  <c r="C165" i="12"/>
  <c r="C173" i="12"/>
  <c r="B174" i="12"/>
  <c r="B124" i="12"/>
  <c r="C124" i="12"/>
  <c r="D124" i="12"/>
  <c r="E124" i="12"/>
  <c r="B166" i="12"/>
  <c r="B165" i="12"/>
  <c r="B173" i="12"/>
  <c r="B163" i="12"/>
  <c r="C163" i="12"/>
  <c r="D163" i="12"/>
  <c r="E163" i="12"/>
  <c r="B157" i="12"/>
  <c r="C157" i="12"/>
  <c r="D157" i="12"/>
  <c r="E157" i="12"/>
  <c r="B155" i="12"/>
  <c r="C155" i="12"/>
  <c r="D155" i="12"/>
  <c r="E155" i="12"/>
  <c r="D153" i="12"/>
  <c r="E153" i="12"/>
  <c r="C153" i="12"/>
  <c r="B154" i="12"/>
  <c r="C154" i="12"/>
  <c r="D154" i="12"/>
  <c r="E154" i="12"/>
  <c r="B149" i="12"/>
  <c r="C149" i="12"/>
  <c r="D149" i="12"/>
  <c r="E149" i="12"/>
  <c r="B146" i="12"/>
  <c r="C146" i="12"/>
  <c r="D146" i="12"/>
  <c r="E146" i="12"/>
  <c r="B138" i="12"/>
  <c r="E145" i="12" s="1"/>
  <c r="B145" i="12"/>
  <c r="C145" i="12"/>
  <c r="D145" i="12"/>
  <c r="B144" i="12"/>
  <c r="C144" i="12"/>
  <c r="D144" i="12"/>
  <c r="E144" i="12"/>
  <c r="E142" i="12"/>
  <c r="D142" i="12"/>
  <c r="C142" i="12"/>
  <c r="B143" i="12"/>
  <c r="C143" i="12"/>
  <c r="D143" i="12"/>
  <c r="E143" i="12"/>
  <c r="B137" i="12"/>
  <c r="C137" i="12"/>
  <c r="D137" i="12"/>
  <c r="E137" i="12"/>
  <c r="E162" i="12"/>
  <c r="D162" i="12"/>
  <c r="C162" i="12"/>
  <c r="B162" i="12"/>
  <c r="E156" i="12"/>
  <c r="D156" i="12"/>
  <c r="C156" i="12"/>
  <c r="B156" i="12"/>
  <c r="B153" i="12"/>
  <c r="D148" i="12"/>
  <c r="E147" i="12"/>
  <c r="D147" i="12"/>
  <c r="C147" i="12"/>
  <c r="B147" i="12"/>
  <c r="B142" i="12"/>
  <c r="B133" i="12"/>
  <c r="B125" i="12"/>
  <c r="B126" i="12" s="1"/>
  <c r="C125" i="12"/>
  <c r="C126" i="12" s="1"/>
  <c r="D125" i="12"/>
  <c r="D126" i="12" s="1"/>
  <c r="E125" i="12"/>
  <c r="E126" i="12" s="1"/>
  <c r="E129" i="12"/>
  <c r="E128" i="12"/>
  <c r="E118" i="12"/>
  <c r="E123" i="12"/>
  <c r="E122" i="12"/>
  <c r="E127" i="12"/>
  <c r="D130" i="12"/>
  <c r="D121" i="12"/>
  <c r="D120" i="12"/>
  <c r="D119" i="12"/>
  <c r="D127" i="12"/>
  <c r="C128" i="12"/>
  <c r="C118" i="12"/>
  <c r="C119" i="12"/>
  <c r="C127" i="12"/>
  <c r="B128" i="12"/>
  <c r="B80" i="12"/>
  <c r="C80" i="12"/>
  <c r="D80" i="12"/>
  <c r="E80" i="12"/>
  <c r="B79" i="12"/>
  <c r="C79" i="12"/>
  <c r="D79" i="12"/>
  <c r="E79" i="12"/>
  <c r="B78" i="12"/>
  <c r="C78" i="12"/>
  <c r="D78" i="12"/>
  <c r="E78" i="12"/>
  <c r="B120" i="12"/>
  <c r="B119" i="12"/>
  <c r="B127" i="12"/>
  <c r="B117" i="12"/>
  <c r="C117" i="12"/>
  <c r="D117" i="12"/>
  <c r="E117" i="12"/>
  <c r="B111" i="12"/>
  <c r="C111" i="12"/>
  <c r="D111" i="12"/>
  <c r="E111" i="12"/>
  <c r="B109" i="12"/>
  <c r="C109" i="12"/>
  <c r="D109" i="12"/>
  <c r="E109" i="12"/>
  <c r="D107" i="12"/>
  <c r="E107" i="12"/>
  <c r="C107" i="12"/>
  <c r="B108" i="12"/>
  <c r="C108" i="12"/>
  <c r="D108" i="12"/>
  <c r="E108" i="12"/>
  <c r="B103" i="12"/>
  <c r="C103" i="12"/>
  <c r="D103" i="12"/>
  <c r="E103" i="12"/>
  <c r="C100" i="12"/>
  <c r="D100" i="12"/>
  <c r="E100" i="12"/>
  <c r="B100" i="12"/>
  <c r="E99" i="12"/>
  <c r="C99" i="12"/>
  <c r="D99" i="12"/>
  <c r="B99" i="12"/>
  <c r="C98" i="12"/>
  <c r="D98" i="12"/>
  <c r="E98" i="12"/>
  <c r="B98" i="12"/>
  <c r="D96" i="12"/>
  <c r="E96" i="12"/>
  <c r="C96" i="12"/>
  <c r="B97" i="12"/>
  <c r="C97" i="12"/>
  <c r="D97" i="12"/>
  <c r="E97" i="12"/>
  <c r="B92" i="12"/>
  <c r="B91" i="12"/>
  <c r="C91" i="12"/>
  <c r="D91" i="12"/>
  <c r="E91" i="12"/>
  <c r="E116" i="12"/>
  <c r="D116" i="12"/>
  <c r="C116" i="12"/>
  <c r="B116" i="12"/>
  <c r="E110" i="12"/>
  <c r="D110" i="12"/>
  <c r="C110" i="12"/>
  <c r="B110" i="12"/>
  <c r="B107" i="12"/>
  <c r="D102" i="12"/>
  <c r="E101" i="12"/>
  <c r="D101" i="12"/>
  <c r="C101" i="12"/>
  <c r="B101" i="12"/>
  <c r="B96" i="12"/>
  <c r="B87" i="12"/>
  <c r="E83" i="12"/>
  <c r="E82" i="12"/>
  <c r="E72" i="12"/>
  <c r="E77" i="12"/>
  <c r="E76" i="12"/>
  <c r="E81" i="12"/>
  <c r="D84" i="12"/>
  <c r="D75" i="12"/>
  <c r="D74" i="12"/>
  <c r="D73" i="12"/>
  <c r="D81" i="12"/>
  <c r="C82" i="12"/>
  <c r="C72" i="12"/>
  <c r="C73" i="12"/>
  <c r="C81" i="12"/>
  <c r="B82" i="12"/>
  <c r="B74" i="12"/>
  <c r="B73" i="12"/>
  <c r="B81" i="12"/>
  <c r="B70" i="12"/>
  <c r="C70" i="12"/>
  <c r="D70" i="12"/>
  <c r="E70" i="12"/>
  <c r="C65" i="12"/>
  <c r="D65" i="12"/>
  <c r="E65" i="12"/>
  <c r="B65" i="12"/>
  <c r="E71" i="12"/>
  <c r="D71" i="12"/>
  <c r="C71" i="12"/>
  <c r="B71" i="12"/>
  <c r="E63" i="12"/>
  <c r="D63" i="12"/>
  <c r="C63" i="12"/>
  <c r="B63" i="12"/>
  <c r="E62" i="12"/>
  <c r="D62" i="12"/>
  <c r="C62" i="12"/>
  <c r="B62" i="12"/>
  <c r="E61" i="12"/>
  <c r="D61" i="12"/>
  <c r="C61" i="12"/>
  <c r="B61" i="12"/>
  <c r="B56" i="12"/>
  <c r="E41" i="12"/>
  <c r="E45" i="12"/>
  <c r="D44" i="12"/>
  <c r="B42" i="12"/>
  <c r="B43" i="12"/>
  <c r="C49" i="12"/>
  <c r="D49" i="12"/>
  <c r="E49" i="12"/>
  <c r="B49" i="12"/>
  <c r="B47" i="12"/>
  <c r="C47" i="12"/>
  <c r="D47" i="12"/>
  <c r="E47" i="12"/>
  <c r="E52" i="12"/>
  <c r="E51" i="12"/>
  <c r="E39" i="11"/>
  <c r="E46" i="12"/>
  <c r="C41" i="12"/>
  <c r="C51" i="12"/>
  <c r="E50" i="12"/>
  <c r="D53" i="12"/>
  <c r="D42" i="12"/>
  <c r="D40" i="11"/>
  <c r="D42" i="11"/>
  <c r="D43" i="12"/>
  <c r="D50" i="12"/>
  <c r="C42" i="12"/>
  <c r="C49" i="11"/>
  <c r="C50" i="12"/>
  <c r="C39" i="11"/>
  <c r="C40" i="11"/>
  <c r="B51" i="12"/>
  <c r="B50" i="12"/>
  <c r="C48" i="11"/>
  <c r="B40" i="12"/>
  <c r="C40" i="12"/>
  <c r="D40" i="12"/>
  <c r="E40" i="12"/>
  <c r="B39" i="12"/>
  <c r="C39" i="12"/>
  <c r="D39" i="12"/>
  <c r="E39" i="12"/>
  <c r="B33" i="12"/>
  <c r="C33" i="12"/>
  <c r="D33" i="12"/>
  <c r="E33" i="12"/>
  <c r="B30" i="12"/>
  <c r="D25" i="12"/>
  <c r="B24" i="12"/>
  <c r="C24" i="12"/>
  <c r="D24" i="12"/>
  <c r="E24" i="12"/>
  <c r="B19" i="12"/>
  <c r="C14" i="12"/>
  <c r="C21" i="12" s="1"/>
  <c r="D14" i="12"/>
  <c r="D23" i="12" s="1"/>
  <c r="E14" i="12"/>
  <c r="D22" i="12" s="1"/>
  <c r="B14" i="12"/>
  <c r="B21" i="12" s="1"/>
  <c r="C8" i="2"/>
  <c r="C13" i="11"/>
  <c r="C12" i="11"/>
  <c r="B10" i="2"/>
  <c r="B4" i="2"/>
  <c r="C2" i="2"/>
  <c r="C14" i="2"/>
  <c r="H18" i="12"/>
  <c r="B16" i="2"/>
  <c r="H19" i="12"/>
  <c r="C7" i="11"/>
  <c r="E118" i="11"/>
  <c r="F110" i="11" s="1"/>
  <c r="D118" i="11"/>
  <c r="E117" i="11"/>
  <c r="F111" i="11"/>
  <c r="F117" i="11" s="1"/>
  <c r="C93" i="11"/>
  <c r="E82" i="11"/>
  <c r="F81" i="11" s="1"/>
  <c r="F73" i="11" s="1"/>
  <c r="E81" i="11"/>
  <c r="C59" i="11"/>
  <c r="E48" i="11"/>
  <c r="C26" i="11"/>
  <c r="F17" i="11"/>
  <c r="E17" i="11"/>
  <c r="D17" i="11"/>
  <c r="C17" i="11"/>
  <c r="D16" i="11"/>
  <c r="F15" i="11"/>
  <c r="E15" i="11"/>
  <c r="D15" i="11"/>
  <c r="C15" i="11"/>
  <c r="D12" i="11"/>
  <c r="D19" i="11" s="1"/>
  <c r="K10" i="11"/>
  <c r="J10" i="11"/>
  <c r="D14" i="11" s="1"/>
  <c r="H10" i="11"/>
  <c r="E12" i="11" s="1"/>
  <c r="E19" i="11" s="1"/>
  <c r="C10" i="11"/>
  <c r="D10" i="11"/>
  <c r="B13" i="9"/>
  <c r="B7" i="9"/>
  <c r="C7" i="9" s="1"/>
  <c r="B4" i="9"/>
  <c r="E15" i="8"/>
  <c r="E14" i="8"/>
  <c r="E13" i="8"/>
  <c r="E12" i="8"/>
  <c r="E11" i="8"/>
  <c r="E7" i="8"/>
  <c r="E6" i="8"/>
  <c r="E5" i="8"/>
  <c r="E4" i="8"/>
  <c r="D18" i="7"/>
  <c r="C18" i="7"/>
  <c r="B18" i="7"/>
  <c r="D17" i="7"/>
  <c r="C17" i="7"/>
  <c r="B17" i="7"/>
  <c r="D16" i="7"/>
  <c r="C16" i="7"/>
  <c r="B16" i="7"/>
  <c r="D15" i="7"/>
  <c r="D19" i="7" s="1"/>
  <c r="C15" i="7"/>
  <c r="C19" i="7" s="1"/>
  <c r="B15" i="7"/>
  <c r="B19" i="7" s="1"/>
  <c r="D12" i="7"/>
  <c r="C12" i="7"/>
  <c r="B12" i="7"/>
  <c r="B13" i="7" s="1"/>
  <c r="B20" i="7" s="1"/>
  <c r="D3" i="6"/>
  <c r="C3" i="6"/>
  <c r="B3" i="6"/>
  <c r="B6" i="6"/>
  <c r="B5" i="6"/>
  <c r="E3" i="5"/>
  <c r="E4" i="5"/>
  <c r="D4" i="5"/>
  <c r="C4" i="5"/>
  <c r="B4" i="5"/>
  <c r="D3" i="5"/>
  <c r="C3" i="5"/>
  <c r="B3" i="5"/>
  <c r="H11" i="4"/>
  <c r="G11" i="4"/>
  <c r="E11" i="4"/>
  <c r="D11" i="4"/>
  <c r="C11" i="4"/>
  <c r="B11" i="4"/>
  <c r="B8" i="4" a="1"/>
  <c r="E8" i="4" s="1"/>
  <c r="E5" i="4"/>
  <c r="D5" i="4"/>
  <c r="B5" i="4"/>
  <c r="B5" i="4" a="1"/>
  <c r="C5" i="4" s="1"/>
  <c r="B10" i="3"/>
  <c r="B8" i="3"/>
  <c r="B6" i="1"/>
  <c r="B7" i="1"/>
  <c r="B8" i="1" s="1"/>
  <c r="B9" i="1" s="1"/>
  <c r="C189" i="12" l="1"/>
  <c r="D188" i="12" s="1"/>
  <c r="E189" i="12"/>
  <c r="B184" i="12"/>
  <c r="E191" i="12" s="1"/>
  <c r="D189" i="12"/>
  <c r="B189" i="12"/>
  <c r="C188" i="12" s="1"/>
  <c r="E188" i="12"/>
  <c r="E190" i="12"/>
  <c r="C190" i="12"/>
  <c r="D191" i="12"/>
  <c r="B191" i="12"/>
  <c r="D190" i="12"/>
  <c r="B190" i="12"/>
  <c r="C191" i="12"/>
  <c r="D21" i="12"/>
  <c r="C22" i="12"/>
  <c r="B22" i="12"/>
  <c r="E23" i="12"/>
  <c r="C23" i="12"/>
  <c r="B20" i="12"/>
  <c r="D20" i="12"/>
  <c r="E19" i="12" s="1"/>
  <c r="E21" i="12"/>
  <c r="B15" i="12"/>
  <c r="E22" i="12" s="1"/>
  <c r="B23" i="12"/>
  <c r="E20" i="12"/>
  <c r="C20" i="12"/>
  <c r="D19" i="12" s="1"/>
  <c r="D18" i="11"/>
  <c r="D20" i="11" s="1"/>
  <c r="D21" i="11" s="1"/>
  <c r="D13" i="11"/>
  <c r="E10" i="11" s="1"/>
  <c r="E13" i="11" s="1"/>
  <c r="F10" i="11" s="1"/>
  <c r="E14" i="11"/>
  <c r="E18" i="11" s="1"/>
  <c r="E20" i="11" s="1"/>
  <c r="E21" i="11" s="1"/>
  <c r="C14" i="11"/>
  <c r="C18" i="11" s="1"/>
  <c r="C20" i="11" s="1"/>
  <c r="F12" i="11"/>
  <c r="F14" i="11"/>
  <c r="F18" i="11" s="1"/>
  <c r="F20" i="11" s="1"/>
  <c r="C19" i="11"/>
  <c r="C9" i="9"/>
  <c r="D7" i="9"/>
  <c r="B9" i="9"/>
  <c r="C10" i="7"/>
  <c r="B8" i="4"/>
  <c r="D8" i="4"/>
  <c r="C8" i="4"/>
  <c r="D195" i="12" l="1"/>
  <c r="D200" i="12" s="1"/>
  <c r="D209" i="12" s="1"/>
  <c r="C195" i="12"/>
  <c r="C200" i="12" s="1"/>
  <c r="C209" i="12" s="1"/>
  <c r="B195" i="12"/>
  <c r="B200" i="12" s="1"/>
  <c r="E195" i="12"/>
  <c r="E200" i="12" s="1"/>
  <c r="E209" i="12" s="1"/>
  <c r="D26" i="12"/>
  <c r="D31" i="12" s="1"/>
  <c r="B26" i="12"/>
  <c r="B31" i="12" s="1"/>
  <c r="B32" i="12" s="1"/>
  <c r="E26" i="12"/>
  <c r="E31" i="12" s="1"/>
  <c r="C19" i="12"/>
  <c r="C26" i="12" s="1"/>
  <c r="C31" i="12" s="1"/>
  <c r="E94" i="11"/>
  <c r="E60" i="11"/>
  <c r="E27" i="11"/>
  <c r="D60" i="11"/>
  <c r="D27" i="11"/>
  <c r="D94" i="11"/>
  <c r="C21" i="11"/>
  <c r="F19" i="11"/>
  <c r="F21" i="11" s="1"/>
  <c r="F13" i="11"/>
  <c r="E7" i="9"/>
  <c r="E9" i="9" s="1"/>
  <c r="E12" i="9" s="1"/>
  <c r="D9" i="9"/>
  <c r="C13" i="9"/>
  <c r="B12" i="9"/>
  <c r="B14" i="9" s="1"/>
  <c r="C12" i="9"/>
  <c r="C14" i="9" s="1"/>
  <c r="D13" i="9"/>
  <c r="C13" i="7"/>
  <c r="C20" i="7" s="1"/>
  <c r="D10" i="7" s="1"/>
  <c r="D13" i="7" s="1"/>
  <c r="D20" i="7" s="1"/>
  <c r="B209" i="12" l="1"/>
  <c r="B201" i="12"/>
  <c r="B203" i="12" s="1"/>
  <c r="C199" i="12"/>
  <c r="B34" i="12"/>
  <c r="C30" i="12"/>
  <c r="C32" i="12" s="1"/>
  <c r="F60" i="11"/>
  <c r="F27" i="11"/>
  <c r="F94" i="11"/>
  <c r="C94" i="11"/>
  <c r="C60" i="11"/>
  <c r="C27" i="11"/>
  <c r="D71" i="11"/>
  <c r="D38" i="11"/>
  <c r="D105" i="11"/>
  <c r="E105" i="11"/>
  <c r="E71" i="11"/>
  <c r="E38" i="11"/>
  <c r="E13" i="9"/>
  <c r="E14" i="9" s="1"/>
  <c r="D12" i="9"/>
  <c r="D14" i="9" s="1"/>
  <c r="B219" i="12" l="1"/>
  <c r="B220" i="12" s="1"/>
  <c r="C219" i="12" s="1"/>
  <c r="C211" i="12" s="1"/>
  <c r="C210" i="12" s="1"/>
  <c r="C220" i="12" s="1"/>
  <c r="D219" i="12" s="1"/>
  <c r="C201" i="12"/>
  <c r="C203" i="12" s="1"/>
  <c r="D199" i="12"/>
  <c r="C34" i="12"/>
  <c r="D30" i="12"/>
  <c r="D32" i="12" s="1"/>
  <c r="C105" i="11"/>
  <c r="C71" i="11"/>
  <c r="C38" i="11"/>
  <c r="D59" i="11"/>
  <c r="C28" i="11"/>
  <c r="C30" i="11" s="1"/>
  <c r="D93" i="11"/>
  <c r="C95" i="11"/>
  <c r="C97" i="11" s="1"/>
  <c r="C115" i="11" s="1"/>
  <c r="D26" i="11"/>
  <c r="C61" i="11"/>
  <c r="C63" i="11" s="1"/>
  <c r="F71" i="11"/>
  <c r="F38" i="11"/>
  <c r="F105" i="11"/>
  <c r="B211" i="12" l="1"/>
  <c r="B212" i="12" s="1"/>
  <c r="B216" i="12" s="1"/>
  <c r="B217" i="12" s="1"/>
  <c r="B218" i="12" s="1"/>
  <c r="E199" i="12"/>
  <c r="E201" i="12" s="1"/>
  <c r="E203" i="12" s="1"/>
  <c r="D201" i="12"/>
  <c r="D203" i="12" s="1"/>
  <c r="C216" i="12"/>
  <c r="D34" i="12"/>
  <c r="E30" i="12"/>
  <c r="E32" i="12" s="1"/>
  <c r="E34" i="12" s="1"/>
  <c r="C81" i="11"/>
  <c r="C73" i="11" s="1"/>
  <c r="C107" i="11"/>
  <c r="C106" i="11" s="1"/>
  <c r="C116" i="11" s="1"/>
  <c r="D115" i="11" s="1"/>
  <c r="D48" i="11"/>
  <c r="E93" i="11"/>
  <c r="D61" i="11"/>
  <c r="D63" i="11" s="1"/>
  <c r="D28" i="11"/>
  <c r="D30" i="11" s="1"/>
  <c r="D95" i="11"/>
  <c r="D97" i="11" s="1"/>
  <c r="E59" i="11"/>
  <c r="E26" i="11"/>
  <c r="C217" i="12" l="1"/>
  <c r="C218" i="12" s="1"/>
  <c r="D212" i="12"/>
  <c r="D211" i="12"/>
  <c r="C45" i="11"/>
  <c r="C47" i="11" s="1"/>
  <c r="D107" i="11"/>
  <c r="D116" i="11" s="1"/>
  <c r="E115" i="11" s="1"/>
  <c r="D41" i="11"/>
  <c r="C72" i="11"/>
  <c r="E95" i="11"/>
  <c r="E97" i="11" s="1"/>
  <c r="F59" i="11"/>
  <c r="F26" i="11"/>
  <c r="F93" i="11"/>
  <c r="E61" i="11"/>
  <c r="E63" i="11" s="1"/>
  <c r="E28" i="11"/>
  <c r="E30" i="11" s="1"/>
  <c r="C112" i="11"/>
  <c r="C114" i="11" s="1"/>
  <c r="F15" i="8"/>
  <c r="F14" i="8"/>
  <c r="F13" i="8"/>
  <c r="F12" i="8"/>
  <c r="F11" i="8"/>
  <c r="F6" i="8"/>
  <c r="F5" i="8"/>
  <c r="B7" i="8"/>
  <c r="F7" i="8" s="1"/>
  <c r="B4" i="8"/>
  <c r="F4" i="8" s="1"/>
  <c r="C7" i="7"/>
  <c r="B7" i="7"/>
  <c r="H2" i="5"/>
  <c r="G2" i="5"/>
  <c r="B6" i="5" s="1"/>
  <c r="B14" i="3"/>
  <c r="B15" i="3" s="1"/>
  <c r="B11" i="3"/>
  <c r="B9" i="3"/>
  <c r="B12" i="3" s="1"/>
  <c r="B17" i="2"/>
  <c r="E14" i="2"/>
  <c r="E16" i="2" s="1"/>
  <c r="D8" i="2"/>
  <c r="D10" i="2" s="1"/>
  <c r="G13" i="2"/>
  <c r="G7" i="2"/>
  <c r="G2" i="2"/>
  <c r="D213" i="12" l="1"/>
  <c r="D216" i="12" s="1"/>
  <c r="C82" i="11"/>
  <c r="D81" i="11" s="1"/>
  <c r="C78" i="11"/>
  <c r="C80" i="11" s="1"/>
  <c r="E107" i="11"/>
  <c r="E116" i="11" s="1"/>
  <c r="F61" i="11"/>
  <c r="F63" i="11" s="1"/>
  <c r="F28" i="11"/>
  <c r="F30" i="11" s="1"/>
  <c r="F95" i="11"/>
  <c r="F97" i="11" s="1"/>
  <c r="D108" i="11"/>
  <c r="D112" i="11" s="1"/>
  <c r="D114" i="11" s="1"/>
  <c r="B16" i="3"/>
  <c r="D2" i="2"/>
  <c r="E2" i="2"/>
  <c r="D6" i="5"/>
  <c r="E6" i="5"/>
  <c r="B11" i="2"/>
  <c r="C10" i="2"/>
  <c r="E8" i="2"/>
  <c r="E10" i="2"/>
  <c r="D14" i="2"/>
  <c r="D16" i="2"/>
  <c r="D17" i="2" s="1"/>
  <c r="C6" i="5"/>
  <c r="C16" i="2"/>
  <c r="C17" i="2" s="1"/>
  <c r="D11" i="2"/>
  <c r="E17" i="2"/>
  <c r="E11" i="2"/>
  <c r="E215" i="12" l="1"/>
  <c r="D222" i="12"/>
  <c r="E214" i="12"/>
  <c r="D217" i="12"/>
  <c r="D218" i="12" s="1"/>
  <c r="F115" i="11"/>
  <c r="E106" i="11"/>
  <c r="E112" i="11" s="1"/>
  <c r="E114" i="11" s="1"/>
  <c r="E44" i="11"/>
  <c r="E43" i="11"/>
  <c r="D51" i="11"/>
  <c r="D45" i="11"/>
  <c r="D47" i="11" s="1"/>
  <c r="D74" i="11"/>
  <c r="D73" i="11"/>
  <c r="D4" i="2"/>
  <c r="D5" i="2" s="1"/>
  <c r="E4" i="2"/>
  <c r="E5" i="2"/>
  <c r="C11" i="2"/>
  <c r="B5" i="2"/>
  <c r="C4" i="2"/>
  <c r="C5" i="2" s="1"/>
  <c r="E221" i="12" l="1"/>
  <c r="E210" i="12"/>
  <c r="D75" i="11"/>
  <c r="E76" i="11" s="1"/>
  <c r="E50" i="11"/>
  <c r="F107" i="11"/>
  <c r="C121" i="11" s="1"/>
  <c r="E220" i="12" l="1"/>
  <c r="E219" i="12"/>
  <c r="E216" i="12"/>
  <c r="F116" i="11"/>
  <c r="F106" i="11" s="1"/>
  <c r="F112" i="11" s="1"/>
  <c r="F114" i="11" s="1"/>
  <c r="D78" i="11"/>
  <c r="D80" i="11" s="1"/>
  <c r="E83" i="11"/>
  <c r="D84" i="11"/>
  <c r="E49" i="11"/>
  <c r="F48" i="11" s="1"/>
  <c r="F40" i="11" s="1"/>
  <c r="E45" i="11"/>
  <c r="E47" i="11" s="1"/>
  <c r="E77" i="11"/>
  <c r="E84" i="11" s="1"/>
  <c r="E217" i="12" l="1"/>
  <c r="E218" i="12" s="1"/>
  <c r="F76" i="11"/>
  <c r="C87" i="11" s="1"/>
  <c r="F77" i="11"/>
  <c r="E78" i="11"/>
  <c r="E80" i="11" s="1"/>
  <c r="F39" i="11"/>
  <c r="C54" i="11"/>
  <c r="F49" i="11" l="1"/>
  <c r="F45" i="11"/>
  <c r="F47" i="11" s="1"/>
  <c r="F83" i="11"/>
  <c r="F72" i="11"/>
  <c r="F82" i="11" l="1"/>
  <c r="F78" i="11"/>
  <c r="F80" i="11" s="1"/>
  <c r="E48" i="12" l="1"/>
  <c r="C48" i="12"/>
  <c r="D48" i="12"/>
  <c r="B48" i="12"/>
</calcChain>
</file>

<file path=xl/sharedStrings.xml><?xml version="1.0" encoding="utf-8"?>
<sst xmlns="http://schemas.openxmlformats.org/spreadsheetml/2006/main" count="545" uniqueCount="173">
  <si>
    <t>CA</t>
  </si>
  <si>
    <t>NWC</t>
  </si>
  <si>
    <t>Beginning receivables</t>
  </si>
  <si>
    <t>Sales</t>
  </si>
  <si>
    <t>Cash collections</t>
  </si>
  <si>
    <t>Ending receivables</t>
  </si>
  <si>
    <t>Q4</t>
  </si>
  <si>
    <t>Q1</t>
  </si>
  <si>
    <t>Q2</t>
  </si>
  <si>
    <t>Q3</t>
  </si>
  <si>
    <t>a.</t>
  </si>
  <si>
    <t>b.</t>
  </si>
  <si>
    <t>c.</t>
  </si>
  <si>
    <t>Item</t>
  </si>
  <si>
    <t>Beginning</t>
  </si>
  <si>
    <t>Ending</t>
  </si>
  <si>
    <r>
      <rPr>
        <sz val="12"/>
        <color rgb="FF231F20"/>
        <rFont val="Arial Narrow"/>
        <family val="2"/>
      </rPr>
      <t>Inventory</t>
    </r>
  </si>
  <si>
    <r>
      <rPr>
        <sz val="12"/>
        <color rgb="FF231F20"/>
        <rFont val="Arial Narrow"/>
        <family val="2"/>
      </rPr>
      <t>Accounts receivable</t>
    </r>
  </si>
  <si>
    <r>
      <rPr>
        <sz val="12"/>
        <color rgb="FF231F20"/>
        <rFont val="Arial Narrow"/>
        <family val="2"/>
      </rPr>
      <t>Accounts payable</t>
    </r>
  </si>
  <si>
    <r>
      <rPr>
        <b/>
        <sz val="12"/>
        <color rgb="FF231F20"/>
        <rFont val="Arial Narrow"/>
        <family val="2"/>
      </rPr>
      <t>Net sales</t>
    </r>
  </si>
  <si>
    <r>
      <rPr>
        <b/>
        <sz val="12"/>
        <color rgb="FF231F20"/>
        <rFont val="Arial Narrow"/>
        <family val="2"/>
      </rPr>
      <t>Cost of goods sold</t>
    </r>
  </si>
  <si>
    <t>Inventory turnover</t>
  </si>
  <si>
    <t>times</t>
  </si>
  <si>
    <t>Inventory period</t>
  </si>
  <si>
    <t>days</t>
  </si>
  <si>
    <t>Receivables turnover</t>
  </si>
  <si>
    <t>Receivables period</t>
  </si>
  <si>
    <t>Operating cycle</t>
  </si>
  <si>
    <t>Payables turnover</t>
  </si>
  <si>
    <t>Payables period</t>
  </si>
  <si>
    <t>Cash cycle</t>
  </si>
  <si>
    <t xml:space="preserve">Q4
</t>
  </si>
  <si>
    <t xml:space="preserve">Payment of accounts            </t>
  </si>
  <si>
    <t>Payment of accounts</t>
  </si>
  <si>
    <t>Wages, taxes, and other expenses</t>
  </si>
  <si>
    <t>Long-term financing expenses (interest and dividends)</t>
  </si>
  <si>
    <t>Total</t>
  </si>
  <si>
    <t>January</t>
  </si>
  <si>
    <t>February</t>
  </si>
  <si>
    <t>March</t>
  </si>
  <si>
    <t>Sales budget</t>
  </si>
  <si>
    <t>November sales</t>
  </si>
  <si>
    <t>December sales</t>
  </si>
  <si>
    <t xml:space="preserve">Sales </t>
  </si>
  <si>
    <t>April</t>
  </si>
  <si>
    <t>May</t>
  </si>
  <si>
    <t>June</t>
  </si>
  <si>
    <t>Credit sales</t>
  </si>
  <si>
    <t>Credit purchases</t>
  </si>
  <si>
    <t>Cash disbursements</t>
  </si>
  <si>
    <t>Wages, taxes, and expenses</t>
  </si>
  <si>
    <t>Interest</t>
  </si>
  <si>
    <t xml:space="preserve">Equipment purchases
</t>
  </si>
  <si>
    <t xml:space="preserve">0
</t>
  </si>
  <si>
    <t>Beginning cash balance</t>
  </si>
  <si>
    <t>     April</t>
  </si>
  <si>
    <t>       May</t>
  </si>
  <si>
    <t>       June</t>
  </si>
  <si>
    <t>Cash receipts</t>
  </si>
  <si>
    <t>Cash collections from credit sales</t>
  </si>
  <si>
    <t>Total cash available</t>
  </si>
  <si>
    <t>Purchases</t>
  </si>
  <si>
    <t>Equipment purchases</t>
  </si>
  <si>
    <t>Total cash disbursements</t>
  </si>
  <si>
    <t>Ending cash balance</t>
  </si>
  <si>
    <t>Assets</t>
  </si>
  <si>
    <t>Liabilities and Equity</t>
  </si>
  <si>
    <t xml:space="preserve">Cash                                                             </t>
  </si>
  <si>
    <t xml:space="preserve">Accounts receivable                                        </t>
  </si>
  <si>
    <t xml:space="preserve">Inventories                                                          </t>
  </si>
  <si>
    <t xml:space="preserve">Property, plant, and equipment                       </t>
  </si>
  <si>
    <t xml:space="preserve">Less: Accumulated depreciation              </t>
  </si>
  <si>
    <t xml:space="preserve">Total assets                                                  </t>
  </si>
  <si>
    <t xml:space="preserve">Accounts payable                                        </t>
  </si>
  <si>
    <t xml:space="preserve">Accrued expenses                                            </t>
  </si>
  <si>
    <t xml:space="preserve">Long-term debt                                                  </t>
  </si>
  <si>
    <t xml:space="preserve">Common stock                                                   </t>
  </si>
  <si>
    <t xml:space="preserve">Accumulated retained earnings                   </t>
  </si>
  <si>
    <t xml:space="preserve">Total liabilities and equity                            </t>
  </si>
  <si>
    <r>
      <t xml:space="preserve">COUNTRY KETTLES, INC.
</t>
    </r>
    <r>
      <rPr>
        <b/>
        <sz val="12"/>
        <color theme="0"/>
        <rFont val="Arial Narrow"/>
        <family val="2"/>
      </rPr>
      <t>Balance Sheet</t>
    </r>
  </si>
  <si>
    <t>Source/Use</t>
  </si>
  <si>
    <t>Amount</t>
  </si>
  <si>
    <t>Sales last quarter of previous year</t>
  </si>
  <si>
    <t>Quarter 1</t>
  </si>
  <si>
    <t>Quarter 2</t>
  </si>
  <si>
    <t>Quarter 4</t>
  </si>
  <si>
    <t>Sales (basic trend)</t>
  </si>
  <si>
    <t>Seasonal adjustment</t>
  </si>
  <si>
    <t>Sales projection</t>
  </si>
  <si>
    <t>Collected within quarter</t>
  </si>
  <si>
    <t>Cash collections from sales</t>
  </si>
  <si>
    <t>Collection from previous quarter</t>
  </si>
  <si>
    <t>Capital expenditures</t>
  </si>
  <si>
    <t>Interest &amp; dividends</t>
  </si>
  <si>
    <t>Total cash collections</t>
  </si>
  <si>
    <t>Net cash inflow</t>
  </si>
  <si>
    <t>Collection of accounts D</t>
  </si>
  <si>
    <t>Payment of accounts   C</t>
  </si>
  <si>
    <t>WILDCAT, INC.
Cash Budget (in millions)</t>
  </si>
  <si>
    <t>Minimum cash balance</t>
  </si>
  <si>
    <t>Cumulative surplus (deficit)</t>
  </si>
  <si>
    <t>WILDCAT, INC.
Short-Term Financial Plan (in millions)</t>
  </si>
  <si>
    <t>New short-term investments</t>
  </si>
  <si>
    <t>Income on short-term investments</t>
  </si>
  <si>
    <t>Short-term investments sold</t>
  </si>
  <si>
    <t>New short-term borrowing</t>
  </si>
  <si>
    <t>Interest on short-term borrowing</t>
  </si>
  <si>
    <t>Beginning short-term investments</t>
  </si>
  <si>
    <t>Ending short-term investments</t>
  </si>
  <si>
    <t>Beginning short-term debt</t>
  </si>
  <si>
    <t>Ending short-term debt</t>
  </si>
  <si>
    <t>Short-term borrowing repaid                               </t>
  </si>
  <si>
    <t>Minimum cash balance                               </t>
  </si>
  <si>
    <t>Net cash cost</t>
  </si>
  <si>
    <t>Equity</t>
  </si>
  <si>
    <t>Long-term debt</t>
  </si>
  <si>
    <t>Fixed assets</t>
  </si>
  <si>
    <t>CL</t>
  </si>
  <si>
    <t>Total Assets</t>
  </si>
  <si>
    <t>Cash Balance</t>
  </si>
  <si>
    <t>Without Cash</t>
  </si>
  <si>
    <t>With Cash</t>
  </si>
  <si>
    <t>in credit</t>
  </si>
  <si>
    <t>Projected</t>
  </si>
  <si>
    <t>Greater in each quarter</t>
  </si>
  <si>
    <t>Orders</t>
  </si>
  <si>
    <t>during each quarter of projected sales for the next quarter</t>
  </si>
  <si>
    <t>Purchases from suppliers</t>
  </si>
  <si>
    <t>of the next quarter’s forecast sales.</t>
  </si>
  <si>
    <t>Sales for the first quarter of the following year are projected</t>
  </si>
  <si>
    <t>Wages, taxes, and other expenses are</t>
  </si>
  <si>
    <t>Sales for the first quarter of the year after this one are projected at</t>
  </si>
  <si>
    <t>mil</t>
  </si>
  <si>
    <t>Accounts receivable at the beginning of the year were</t>
  </si>
  <si>
    <t>Interest and dividends are</t>
  </si>
  <si>
    <t>Wildcat plans a major capital outlay in the second quarter of</t>
  </si>
  <si>
    <t>Finally, the company started the year with a</t>
  </si>
  <si>
    <t>it plans to purchase new machinery in the third quarter at a cost of</t>
  </si>
  <si>
    <t>Adam wants to maintain a minimum cash balance of</t>
  </si>
  <si>
    <t>Gross sales</t>
  </si>
  <si>
    <t>higher in each quarter next year.</t>
  </si>
  <si>
    <t xml:space="preserve">Keafer currently has an accounts receivable period of </t>
  </si>
  <si>
    <t>will never be collected from accounts receivable.</t>
  </si>
  <si>
    <t xml:space="preserve">of the next quarter’s projected gross sales and suppliers are paid in </t>
  </si>
  <si>
    <t>of gross sales.</t>
  </si>
  <si>
    <t>on its long-term debt.</t>
  </si>
  <si>
    <t>per quarter on all short-term borrowing</t>
  </si>
  <si>
    <t>per quarter on all short-term deposits.</t>
  </si>
  <si>
    <t>Cash Flow</t>
  </si>
  <si>
    <t>Collections from previous quarter</t>
  </si>
  <si>
    <t>Collections from current quarter sales</t>
  </si>
  <si>
    <t>Payments to suppliers for previous quarter</t>
  </si>
  <si>
    <t>Payments to suppliers for current quarter</t>
  </si>
  <si>
    <t>Expenses</t>
  </si>
  <si>
    <t>Dividends and interest</t>
  </si>
  <si>
    <t>Net cash flow</t>
  </si>
  <si>
    <t xml:space="preserve">Outlay  </t>
  </si>
  <si>
    <t>Sales for the first quarter of the following year are also expected to grow at -------------</t>
  </si>
  <si>
    <t>Accounts receivable balance of ---------------------------</t>
  </si>
  <si>
    <t>Orders supplies each quarter -----------------------------</t>
  </si>
  <si>
    <t>You’re projecting that sales will be -----------------------</t>
  </si>
  <si>
    <t>Wages, taxes, and other costs run about----------------</t>
  </si>
  <si>
    <t>The company currently has a cash balance of --------</t>
  </si>
  <si>
    <t>The company has a quarterly interest payment of ----</t>
  </si>
  <si>
    <t>Sales next year</t>
  </si>
  <si>
    <t>Sales following year</t>
  </si>
  <si>
    <t>Cumulative surplus –deficit</t>
  </si>
  <si>
    <t>Short-term Financial Plan</t>
  </si>
  <si>
    <t>Target cash balance</t>
  </si>
  <si>
    <t xml:space="preserve">Short-term borrowing repaid </t>
  </si>
  <si>
    <t xml:space="preserve">Minimum cash balance  </t>
  </si>
  <si>
    <t>Cash generated by short-term financing</t>
  </si>
  <si>
    <t>~ 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</si>
</sst>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164" formatCode="&quot;$&quot;0.00"/>
    <numFmt numFmtId="165" formatCode="&quot;$&quot;0"/>
    <numFmt numFmtId="166" formatCode="#,##0.0000"/>
    <numFmt numFmtId="167" formatCode="0.0000"/>
    <numFmt numFmtId="168" formatCode="&quot;$&quot;#,##0.0_);[Red]\(&quot;$&quot;#,##0.0\)"/>
    <numFmt numFmtId="169" formatCode="&quot;$&quot;#,##0"/>
    <numFmt numFmtId="170" formatCode="0.0%"/>
    <numFmt numFmtId="171" formatCode="&quot;$&quot;#,##0.00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b/>
      <sz val="12"/>
      <name val="Arial Narrow"/>
      <family val="2"/>
    </font>
    <font>
      <sz val="12"/>
      <color rgb="FF231F20"/>
      <name val="Arial Narrow"/>
      <family val="2"/>
    </font>
    <font>
      <b/>
      <sz val="12"/>
      <color rgb="FF231F20"/>
      <name val="Arial Narrow"/>
      <family val="2"/>
    </font>
    <font>
      <b/>
      <sz val="12"/>
      <color theme="1"/>
      <name val="Arial Narrow"/>
      <family val="2"/>
    </font>
    <font>
      <sz val="10"/>
      <name val="Times New Roman"/>
      <family val="1"/>
      <charset val="204"/>
    </font>
    <font>
      <b/>
      <sz val="12"/>
      <color indexed="9"/>
      <name val="Arial Narrow"/>
      <family val="2"/>
    </font>
    <font>
      <sz val="12"/>
      <color indexed="63"/>
      <name val="Arial Narrow"/>
      <family val="2"/>
    </font>
    <font>
      <b/>
      <sz val="12"/>
      <color indexed="63"/>
      <name val="Arial Narrow"/>
      <family val="2"/>
    </font>
    <font>
      <b/>
      <i/>
      <sz val="12"/>
      <color indexed="8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i/>
      <sz val="12"/>
      <color indexed="8"/>
      <name val="Arial Narrow"/>
      <family val="2"/>
    </font>
    <font>
      <u/>
      <sz val="12"/>
      <color indexed="8"/>
      <name val="Arial Narrow"/>
      <family val="2"/>
    </font>
    <font>
      <b/>
      <i/>
      <sz val="12"/>
      <color theme="1"/>
      <name val="Arial Narrow"/>
      <family val="2"/>
    </font>
    <font>
      <sz val="11"/>
      <color indexed="8"/>
      <name val="Arial"/>
      <family val="2"/>
    </font>
    <font>
      <sz val="11"/>
      <color indexed="8"/>
      <name val="Times New Roman"/>
      <family val="1"/>
      <charset val="204"/>
    </font>
    <font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5622A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D3D2D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0" borderId="0" xfId="0" applyFont="1"/>
    <xf numFmtId="0" fontId="6" fillId="0" borderId="0" xfId="0" applyFont="1" applyAlignment="1">
      <alignment horizontal="left" wrapText="1"/>
    </xf>
    <xf numFmtId="12" fontId="2" fillId="0" borderId="0" xfId="0" applyNumberFormat="1" applyFont="1"/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top" wrapText="1"/>
    </xf>
    <xf numFmtId="6" fontId="7" fillId="0" borderId="2" xfId="0" applyNumberFormat="1" applyFont="1" applyFill="1" applyBorder="1" applyAlignment="1">
      <alignment horizontal="right" vertical="top" indent="2" shrinkToFit="1"/>
    </xf>
    <xf numFmtId="6" fontId="7" fillId="0" borderId="2" xfId="0" applyNumberFormat="1" applyFont="1" applyFill="1" applyBorder="1" applyAlignment="1">
      <alignment vertical="top" shrinkToFit="1"/>
    </xf>
    <xf numFmtId="0" fontId="6" fillId="0" borderId="2" xfId="0" applyFont="1" applyFill="1" applyBorder="1" applyAlignment="1">
      <alignment vertical="top" wrapText="1"/>
    </xf>
    <xf numFmtId="6" fontId="7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Border="1"/>
    <xf numFmtId="166" fontId="2" fillId="0" borderId="2" xfId="0" applyNumberFormat="1" applyFont="1" applyBorder="1"/>
    <xf numFmtId="2" fontId="2" fillId="0" borderId="2" xfId="0" applyNumberFormat="1" applyFont="1" applyBorder="1"/>
    <xf numFmtId="167" fontId="2" fillId="0" borderId="2" xfId="0" applyNumberFormat="1" applyFont="1" applyBorder="1"/>
    <xf numFmtId="0" fontId="9" fillId="0" borderId="2" xfId="0" applyFont="1" applyBorder="1"/>
    <xf numFmtId="0" fontId="9" fillId="0" borderId="0" xfId="0" applyFont="1"/>
    <xf numFmtId="0" fontId="10" fillId="0" borderId="0" xfId="0" applyFont="1" applyAlignment="1">
      <alignment vertical="top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6" fontId="3" fillId="3" borderId="0" xfId="0" applyNumberFormat="1" applyFont="1" applyFill="1" applyAlignment="1">
      <alignment horizontal="left" wrapText="1"/>
    </xf>
    <xf numFmtId="6" fontId="3" fillId="3" borderId="0" xfId="0" applyNumberFormat="1" applyFont="1" applyFill="1" applyAlignment="1">
      <alignment horizontal="right" wrapText="1"/>
    </xf>
    <xf numFmtId="6" fontId="12" fillId="3" borderId="0" xfId="0" applyNumberFormat="1" applyFont="1" applyFill="1" applyAlignment="1">
      <alignment horizontal="right" vertical="top" shrinkToFit="1"/>
    </xf>
    <xf numFmtId="0" fontId="3" fillId="0" borderId="0" xfId="0" applyFont="1" applyAlignment="1">
      <alignment horizontal="left" vertical="center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4" fillId="0" borderId="2" xfId="0" applyFont="1" applyBorder="1" applyAlignment="1">
      <alignment horizontal="center" vertical="top" wrapText="1"/>
    </xf>
    <xf numFmtId="6" fontId="4" fillId="0" borderId="2" xfId="0" applyNumberFormat="1" applyFont="1" applyBorder="1" applyAlignment="1">
      <alignment horizontal="right" vertical="top" shrinkToFit="1"/>
    </xf>
    <xf numFmtId="6" fontId="2" fillId="0" borderId="2" xfId="0" applyNumberFormat="1" applyFont="1" applyBorder="1" applyAlignment="1">
      <alignment horizontal="right"/>
    </xf>
    <xf numFmtId="6" fontId="3" fillId="0" borderId="0" xfId="0" applyNumberFormat="1" applyFont="1" applyBorder="1" applyAlignment="1">
      <alignment horizontal="right" wrapText="1"/>
    </xf>
    <xf numFmtId="0" fontId="3" fillId="2" borderId="0" xfId="0" applyFont="1" applyFill="1" applyAlignment="1">
      <alignment horizontal="centerContinuous" vertical="center" wrapText="1"/>
    </xf>
    <xf numFmtId="1" fontId="13" fillId="3" borderId="0" xfId="0" applyNumberFormat="1" applyFont="1" applyFill="1" applyAlignment="1">
      <alignment horizontal="center" vertical="top" shrinkToFit="1"/>
    </xf>
    <xf numFmtId="0" fontId="3" fillId="3" borderId="0" xfId="0" applyFont="1" applyFill="1" applyAlignment="1">
      <alignment horizontal="center" vertical="center" wrapText="1"/>
    </xf>
    <xf numFmtId="6" fontId="6" fillId="3" borderId="0" xfId="0" applyNumberFormat="1" applyFont="1" applyFill="1" applyAlignment="1">
      <alignment horizontal="left" wrapText="1"/>
    </xf>
    <xf numFmtId="0" fontId="15" fillId="2" borderId="0" xfId="0" applyFont="1" applyFill="1" applyAlignment="1">
      <alignment horizontal="centerContinuous" vertical="center" wrapText="1"/>
    </xf>
    <xf numFmtId="6" fontId="12" fillId="3" borderId="1" xfId="0" applyNumberFormat="1" applyFont="1" applyFill="1" applyBorder="1" applyAlignment="1">
      <alignment horizontal="right" vertical="top" shrinkToFit="1"/>
    </xf>
    <xf numFmtId="0" fontId="3" fillId="3" borderId="1" xfId="0" applyFont="1" applyFill="1" applyBorder="1" applyAlignment="1">
      <alignment horizontal="left" wrapText="1"/>
    </xf>
    <xf numFmtId="6" fontId="12" fillId="3" borderId="0" xfId="0" applyNumberFormat="1" applyFont="1" applyFill="1" applyBorder="1" applyAlignment="1">
      <alignment horizontal="right" vertical="top" shrinkToFit="1"/>
    </xf>
    <xf numFmtId="6" fontId="13" fillId="3" borderId="0" xfId="0" applyNumberFormat="1" applyFont="1" applyFill="1" applyAlignment="1">
      <alignment horizontal="right" vertical="top" shrinkToFit="1"/>
    </xf>
    <xf numFmtId="0" fontId="3" fillId="0" borderId="0" xfId="0" applyFont="1" applyAlignment="1">
      <alignment horizontal="left" wrapText="1"/>
    </xf>
    <xf numFmtId="0" fontId="14" fillId="0" borderId="0" xfId="0" applyFont="1" applyAlignment="1">
      <alignment horizontal="left" vertical="top" wrapText="1" indent="1"/>
    </xf>
    <xf numFmtId="0" fontId="1" fillId="0" borderId="2" xfId="0" applyFont="1" applyBorder="1"/>
    <xf numFmtId="6" fontId="1" fillId="0" borderId="0" xfId="0" applyNumberFormat="1" applyFont="1"/>
    <xf numFmtId="0" fontId="1" fillId="0" borderId="0" xfId="0" applyFont="1"/>
    <xf numFmtId="2" fontId="2" fillId="0" borderId="0" xfId="0" applyNumberFormat="1" applyFont="1"/>
    <xf numFmtId="0" fontId="5" fillId="0" borderId="2" xfId="0" applyFont="1" applyBorder="1" applyAlignment="1">
      <alignment horizontal="center"/>
    </xf>
    <xf numFmtId="165" fontId="4" fillId="0" borderId="2" xfId="0" applyNumberFormat="1" applyFont="1" applyBorder="1" applyAlignment="1">
      <alignment vertical="top" shrinkToFit="1"/>
    </xf>
    <xf numFmtId="165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 indent="1"/>
    </xf>
    <xf numFmtId="164" fontId="4" fillId="0" borderId="2" xfId="0" applyNumberFormat="1" applyFont="1" applyBorder="1" applyAlignment="1">
      <alignment vertical="top" shrinkToFit="1"/>
    </xf>
    <xf numFmtId="164" fontId="4" fillId="0" borderId="2" xfId="0" applyNumberFormat="1" applyFont="1" applyBorder="1" applyAlignment="1">
      <alignment vertical="top" wrapText="1"/>
    </xf>
    <xf numFmtId="0" fontId="2" fillId="0" borderId="0" xfId="0" applyFont="1" applyBorder="1"/>
    <xf numFmtId="0" fontId="4" fillId="0" borderId="2" xfId="0" applyFont="1" applyBorder="1" applyAlignment="1">
      <alignment horizontal="center" wrapText="1"/>
    </xf>
    <xf numFmtId="0" fontId="17" fillId="0" borderId="2" xfId="0" applyFont="1" applyBorder="1" applyAlignment="1">
      <alignment horizontal="right" vertical="top" wrapText="1" indent="1"/>
    </xf>
    <xf numFmtId="0" fontId="17" fillId="0" borderId="2" xfId="0" applyFont="1" applyBorder="1" applyAlignment="1">
      <alignment horizontal="right" vertical="top" wrapText="1"/>
    </xf>
    <xf numFmtId="169" fontId="4" fillId="0" borderId="2" xfId="0" applyNumberFormat="1" applyFont="1" applyBorder="1" applyAlignment="1">
      <alignment horizontal="right" vertical="top" indent="1" shrinkToFit="1"/>
    </xf>
    <xf numFmtId="6" fontId="4" fillId="0" borderId="2" xfId="0" applyNumberFormat="1" applyFont="1" applyBorder="1" applyAlignment="1">
      <alignment horizontal="right" vertical="top" indent="1" shrinkToFit="1"/>
    </xf>
    <xf numFmtId="6" fontId="4" fillId="0" borderId="2" xfId="0" applyNumberFormat="1" applyFont="1" applyBorder="1" applyAlignment="1">
      <alignment horizontal="right" vertical="top" wrapText="1" indent="1"/>
    </xf>
    <xf numFmtId="3" fontId="4" fillId="0" borderId="2" xfId="0" applyNumberFormat="1" applyFont="1" applyBorder="1" applyAlignment="1">
      <alignment horizontal="right" vertical="top" indent="1" shrinkToFit="1"/>
    </xf>
    <xf numFmtId="0" fontId="4" fillId="0" borderId="2" xfId="0" applyFont="1" applyBorder="1" applyAlignment="1">
      <alignment horizontal="center" vertical="top" wrapText="1"/>
    </xf>
    <xf numFmtId="8" fontId="4" fillId="0" borderId="2" xfId="0" applyNumberFormat="1" applyFont="1" applyBorder="1" applyAlignment="1">
      <alignment vertical="top" shrinkToFit="1"/>
    </xf>
    <xf numFmtId="8" fontId="5" fillId="0" borderId="2" xfId="0" applyNumberFormat="1" applyFont="1" applyBorder="1" applyAlignment="1">
      <alignment vertical="top" shrinkToFit="1"/>
    </xf>
    <xf numFmtId="8" fontId="3" fillId="0" borderId="2" xfId="0" applyNumberFormat="1" applyFont="1" applyBorder="1" applyAlignment="1">
      <alignment wrapText="1"/>
    </xf>
    <xf numFmtId="8" fontId="4" fillId="0" borderId="2" xfId="0" applyNumberFormat="1" applyFont="1" applyBorder="1" applyAlignment="1">
      <alignment vertical="top" wrapText="1"/>
    </xf>
    <xf numFmtId="0" fontId="17" fillId="0" borderId="2" xfId="0" applyFont="1" applyBorder="1" applyAlignment="1">
      <alignment horizontal="center" vertical="top" wrapText="1"/>
    </xf>
    <xf numFmtId="8" fontId="18" fillId="0" borderId="2" xfId="0" applyNumberFormat="1" applyFont="1" applyBorder="1" applyAlignment="1">
      <alignment vertical="top" shrinkToFit="1"/>
    </xf>
    <xf numFmtId="8" fontId="18" fillId="0" borderId="2" xfId="0" applyNumberFormat="1" applyFont="1" applyBorder="1" applyAlignment="1">
      <alignment vertical="top" wrapText="1"/>
    </xf>
    <xf numFmtId="0" fontId="19" fillId="0" borderId="2" xfId="0" applyFont="1" applyBorder="1"/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11" fillId="2" borderId="0" xfId="0" applyFont="1" applyFill="1" applyBorder="1" applyAlignment="1">
      <alignment horizontal="right" vertical="top" indent="2"/>
    </xf>
    <xf numFmtId="0" fontId="11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vertical="top" wrapText="1"/>
    </xf>
    <xf numFmtId="6" fontId="3" fillId="3" borderId="0" xfId="0" applyNumberFormat="1" applyFont="1" applyFill="1" applyBorder="1" applyAlignment="1">
      <alignment horizontal="right" wrapText="1"/>
    </xf>
    <xf numFmtId="6" fontId="3" fillId="3" borderId="0" xfId="0" applyNumberFormat="1" applyFont="1" applyFill="1" applyBorder="1" applyAlignment="1">
      <alignment horizontal="right" vertical="center" wrapText="1"/>
    </xf>
    <xf numFmtId="0" fontId="12" fillId="4" borderId="0" xfId="0" applyFont="1" applyFill="1" applyBorder="1" applyAlignment="1">
      <alignment horizontal="left" vertical="top" wrapText="1" indent="3"/>
    </xf>
    <xf numFmtId="8" fontId="3" fillId="4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9" fontId="1" fillId="0" borderId="2" xfId="0" applyNumberFormat="1" applyFont="1" applyBorder="1"/>
    <xf numFmtId="8" fontId="1" fillId="0" borderId="2" xfId="0" applyNumberFormat="1" applyFont="1" applyBorder="1" applyAlignment="1">
      <alignment horizontal="right"/>
    </xf>
    <xf numFmtId="9" fontId="1" fillId="0" borderId="2" xfId="0" applyNumberFormat="1" applyFont="1" applyBorder="1" applyAlignment="1">
      <alignment horizontal="right"/>
    </xf>
    <xf numFmtId="8" fontId="1" fillId="0" borderId="0" xfId="0" applyNumberFormat="1" applyFont="1" applyAlignment="1">
      <alignment horizontal="right"/>
    </xf>
    <xf numFmtId="12" fontId="1" fillId="0" borderId="0" xfId="0" applyNumberFormat="1" applyFont="1"/>
    <xf numFmtId="0" fontId="1" fillId="0" borderId="5" xfId="0" applyFont="1" applyBorder="1"/>
    <xf numFmtId="9" fontId="1" fillId="0" borderId="5" xfId="0" applyNumberFormat="1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4" xfId="0" applyFont="1" applyBorder="1"/>
    <xf numFmtId="6" fontId="1" fillId="0" borderId="2" xfId="0" applyNumberFormat="1" applyFont="1" applyBorder="1"/>
    <xf numFmtId="8" fontId="3" fillId="3" borderId="0" xfId="0" applyNumberFormat="1" applyFont="1" applyFill="1" applyAlignment="1">
      <alignment horizontal="right" wrapText="1"/>
    </xf>
    <xf numFmtId="168" fontId="3" fillId="3" borderId="0" xfId="0" applyNumberFormat="1" applyFont="1" applyFill="1" applyAlignment="1">
      <alignment horizontal="right" wrapText="1"/>
    </xf>
    <xf numFmtId="9" fontId="12" fillId="3" borderId="2" xfId="0" applyNumberFormat="1" applyFont="1" applyFill="1" applyBorder="1" applyAlignment="1">
      <alignment horizontal="right" vertical="top" shrinkToFit="1"/>
    </xf>
    <xf numFmtId="8" fontId="1" fillId="0" borderId="2" xfId="0" applyNumberFormat="1" applyFont="1" applyBorder="1"/>
    <xf numFmtId="8" fontId="12" fillId="3" borderId="0" xfId="0" applyNumberFormat="1" applyFont="1" applyFill="1" applyAlignment="1">
      <alignment horizontal="right" vertical="top" shrinkToFit="1"/>
    </xf>
    <xf numFmtId="0" fontId="3" fillId="5" borderId="0" xfId="0" applyFont="1" applyFill="1" applyBorder="1" applyAlignment="1">
      <alignment horizontal="left" vertical="top" wrapText="1"/>
    </xf>
    <xf numFmtId="0" fontId="11" fillId="5" borderId="0" xfId="0" applyFont="1" applyFill="1" applyBorder="1" applyAlignment="1">
      <alignment horizontal="right" vertical="center" wrapText="1" indent="2"/>
    </xf>
    <xf numFmtId="0" fontId="13" fillId="3" borderId="0" xfId="0" applyFont="1" applyFill="1" applyBorder="1" applyAlignment="1">
      <alignment vertical="top" wrapText="1"/>
    </xf>
    <xf numFmtId="6" fontId="12" fillId="3" borderId="0" xfId="0" applyNumberFormat="1" applyFont="1" applyFill="1" applyBorder="1" applyAlignment="1">
      <alignment horizontal="right" vertical="top" wrapText="1" shrinkToFit="1"/>
    </xf>
    <xf numFmtId="9" fontId="12" fillId="3" borderId="2" xfId="0" applyNumberFormat="1" applyFont="1" applyFill="1" applyBorder="1" applyAlignment="1">
      <alignment vertical="top" shrinkToFit="1"/>
    </xf>
    <xf numFmtId="6" fontId="3" fillId="0" borderId="0" xfId="0" applyNumberFormat="1" applyFont="1" applyAlignment="1">
      <alignment horizontal="right" wrapText="1"/>
    </xf>
    <xf numFmtId="6" fontId="9" fillId="0" borderId="2" xfId="0" applyNumberFormat="1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6" fontId="9" fillId="0" borderId="5" xfId="0" applyNumberFormat="1" applyFont="1" applyBorder="1"/>
    <xf numFmtId="6" fontId="1" fillId="0" borderId="6" xfId="0" applyNumberFormat="1" applyFont="1" applyBorder="1"/>
    <xf numFmtId="0" fontId="5" fillId="0" borderId="0" xfId="0" applyFont="1" applyAlignment="1">
      <alignment horizontal="centerContinuous" vertical="center"/>
    </xf>
    <xf numFmtId="8" fontId="0" fillId="0" borderId="0" xfId="0" applyNumberFormat="1"/>
    <xf numFmtId="6" fontId="0" fillId="0" borderId="0" xfId="0" applyNumberFormat="1"/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horizontal="left" vertical="top" wrapText="1" indent="1"/>
    </xf>
    <xf numFmtId="0" fontId="11" fillId="2" borderId="0" xfId="0" applyFont="1" applyFill="1" applyAlignment="1">
      <alignment horizontal="center" vertical="top"/>
    </xf>
    <xf numFmtId="6" fontId="12" fillId="3" borderId="0" xfId="0" applyNumberFormat="1" applyFont="1" applyFill="1" applyAlignment="1">
      <alignment horizontal="left" vertical="top" indent="2" shrinkToFit="1"/>
    </xf>
    <xf numFmtId="6" fontId="12" fillId="3" borderId="0" xfId="0" applyNumberFormat="1" applyFont="1" applyFill="1" applyAlignment="1">
      <alignment horizontal="center" vertical="top" shrinkToFit="1"/>
    </xf>
    <xf numFmtId="9" fontId="0" fillId="0" borderId="0" xfId="0" applyNumberFormat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4" fontId="20" fillId="0" borderId="0" xfId="0" applyNumberFormat="1" applyFont="1" applyAlignment="1">
      <alignment horizontal="right" vertical="center" indent="1" shrinkToFit="1"/>
    </xf>
    <xf numFmtId="0" fontId="21" fillId="0" borderId="0" xfId="0" applyFont="1" applyAlignment="1">
      <alignment vertical="top"/>
    </xf>
    <xf numFmtId="0" fontId="22" fillId="0" borderId="0" xfId="0" applyFont="1" applyAlignment="1">
      <alignment horizontal="centerContinuous" vertical="top"/>
    </xf>
    <xf numFmtId="9" fontId="9" fillId="0" borderId="2" xfId="0" applyNumberFormat="1" applyFont="1" applyBorder="1"/>
    <xf numFmtId="9" fontId="9" fillId="0" borderId="5" xfId="0" applyNumberFormat="1" applyFont="1" applyBorder="1"/>
    <xf numFmtId="170" fontId="1" fillId="0" borderId="2" xfId="0" applyNumberFormat="1" applyFont="1" applyBorder="1"/>
    <xf numFmtId="12" fontId="1" fillId="0" borderId="2" xfId="0" applyNumberFormat="1" applyFont="1" applyBorder="1"/>
    <xf numFmtId="0" fontId="1" fillId="0" borderId="0" xfId="0" applyFont="1" applyBorder="1"/>
    <xf numFmtId="6" fontId="1" fillId="0" borderId="0" xfId="0" applyNumberFormat="1" applyFont="1" applyBorder="1"/>
    <xf numFmtId="0" fontId="4" fillId="0" borderId="0" xfId="0" applyFont="1" applyAlignment="1">
      <alignment horizontal="centerContinuous" vertical="top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6" fontId="4" fillId="0" borderId="0" xfId="0" applyNumberFormat="1" applyFont="1" applyAlignment="1">
      <alignment vertical="top"/>
    </xf>
    <xf numFmtId="171" fontId="4" fillId="0" borderId="0" xfId="0" applyNumberFormat="1" applyFont="1" applyAlignment="1">
      <alignment vertical="top" shrinkToFit="1"/>
    </xf>
    <xf numFmtId="8" fontId="1" fillId="0" borderId="0" xfId="0" applyNumberFormat="1" applyFont="1" applyAlignment="1"/>
    <xf numFmtId="171" fontId="1" fillId="0" borderId="0" xfId="0" applyNumberFormat="1" applyFont="1" applyAlignment="1"/>
    <xf numFmtId="6" fontId="1" fillId="0" borderId="0" xfId="0" applyNumberFormat="1" applyFont="1" applyAlignment="1"/>
    <xf numFmtId="8" fontId="4" fillId="0" borderId="0" xfId="0" applyNumberFormat="1" applyFont="1" applyAlignment="1">
      <alignment horizontal="right" vertical="top" indent="1" shrinkToFit="1"/>
    </xf>
    <xf numFmtId="8" fontId="4" fillId="0" borderId="0" xfId="0" applyNumberFormat="1" applyFont="1" applyAlignment="1">
      <alignment vertical="top"/>
    </xf>
    <xf numFmtId="8" fontId="4" fillId="0" borderId="0" xfId="0" applyNumberFormat="1" applyFont="1" applyAlignment="1">
      <alignment vertical="top" wrapText="1"/>
    </xf>
    <xf numFmtId="9" fontId="1" fillId="0" borderId="2" xfId="0" applyNumberFormat="1" applyFont="1" applyFill="1" applyBorder="1"/>
    <xf numFmtId="10" fontId="1" fillId="6" borderId="2" xfId="0" applyNumberFormat="1" applyFont="1" applyFill="1" applyBorder="1"/>
    <xf numFmtId="8" fontId="4" fillId="0" borderId="0" xfId="0" applyNumberFormat="1" applyFont="1" applyAlignment="1">
      <alignment vertical="top" shrinkToFit="1"/>
    </xf>
    <xf numFmtId="8" fontId="4" fillId="6" borderId="0" xfId="0" applyNumberFormat="1" applyFont="1" applyFill="1" applyAlignment="1">
      <alignment vertical="top" shrinkToFit="1"/>
    </xf>
    <xf numFmtId="8" fontId="1" fillId="0" borderId="0" xfId="0" applyNumberFormat="1" applyFont="1" applyAlignment="1">
      <alignment vertical="top"/>
    </xf>
    <xf numFmtId="171" fontId="1" fillId="0" borderId="0" xfId="0" applyNumberFormat="1" applyFont="1" applyAlignment="1">
      <alignment vertical="top"/>
    </xf>
    <xf numFmtId="6" fontId="1" fillId="0" borderId="0" xfId="0" applyNumberFormat="1" applyFont="1" applyAlignment="1">
      <alignment vertical="top"/>
    </xf>
    <xf numFmtId="4" fontId="4" fillId="0" borderId="0" xfId="0" applyNumberFormat="1" applyFont="1" applyAlignment="1">
      <alignment vertical="top" shrinkToFit="1"/>
    </xf>
    <xf numFmtId="4" fontId="4" fillId="0" borderId="0" xfId="0" applyNumberFormat="1" applyFont="1" applyAlignment="1">
      <alignment vertical="top" wrapText="1"/>
    </xf>
    <xf numFmtId="6" fontId="4" fillId="0" borderId="0" xfId="0" applyNumberFormat="1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3F8F-2E38-49CE-9CBE-A3122A60F2FE}">
  <dimension ref="A1:C9"/>
  <sheetViews>
    <sheetView showGridLines="0" zoomScale="160" zoomScaleNormal="160" workbookViewId="0">
      <selection activeCell="F1" sqref="F1"/>
    </sheetView>
  </sheetViews>
  <sheetFormatPr defaultRowHeight="14.55" x14ac:dyDescent="0.3"/>
  <cols>
    <col min="1" max="1" width="13.44140625" bestFit="1" customWidth="1"/>
    <col min="2" max="2" width="8.33203125" bestFit="1" customWidth="1"/>
  </cols>
  <sheetData>
    <row r="1" spans="1:3" ht="15.75" x14ac:dyDescent="0.3">
      <c r="A1" s="40" t="s">
        <v>114</v>
      </c>
      <c r="B1" s="27">
        <v>17010</v>
      </c>
    </row>
    <row r="2" spans="1:3" ht="15.75" x14ac:dyDescent="0.3">
      <c r="A2" s="10" t="s">
        <v>115</v>
      </c>
      <c r="B2" s="27">
        <v>8400</v>
      </c>
    </row>
    <row r="3" spans="1:3" ht="15.75" x14ac:dyDescent="0.3">
      <c r="A3" s="10" t="s">
        <v>1</v>
      </c>
      <c r="B3" s="27">
        <v>2150</v>
      </c>
    </row>
    <row r="4" spans="1:3" ht="15.75" x14ac:dyDescent="0.3">
      <c r="A4" s="10" t="s">
        <v>116</v>
      </c>
      <c r="B4" s="27">
        <v>22430</v>
      </c>
    </row>
    <row r="5" spans="1:3" ht="15.75" x14ac:dyDescent="0.3">
      <c r="A5" s="10" t="s">
        <v>117</v>
      </c>
      <c r="B5" s="27">
        <v>2260</v>
      </c>
    </row>
    <row r="6" spans="1:3" ht="15.75" x14ac:dyDescent="0.3">
      <c r="A6" s="10" t="s">
        <v>0</v>
      </c>
      <c r="B6" s="27">
        <f>B5+B3</f>
        <v>4410</v>
      </c>
      <c r="C6" s="41" t="s">
        <v>120</v>
      </c>
    </row>
    <row r="7" spans="1:3" ht="15.75" x14ac:dyDescent="0.3">
      <c r="A7" s="10" t="s">
        <v>118</v>
      </c>
      <c r="B7" s="27">
        <f>B1+B2+B5</f>
        <v>27670</v>
      </c>
      <c r="C7" s="42"/>
    </row>
    <row r="8" spans="1:3" ht="15.75" x14ac:dyDescent="0.3">
      <c r="A8" s="10" t="s">
        <v>119</v>
      </c>
      <c r="B8" s="27">
        <f>B7-B4-B6</f>
        <v>830</v>
      </c>
      <c r="C8" s="42"/>
    </row>
    <row r="9" spans="1:3" ht="15.75" x14ac:dyDescent="0.3">
      <c r="A9" s="10" t="s">
        <v>0</v>
      </c>
      <c r="B9" s="27">
        <f>B6+B8</f>
        <v>5240</v>
      </c>
      <c r="C9" s="42" t="s">
        <v>121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4B5E-D2AD-40E7-9DF2-7BB9093838C2}">
  <dimension ref="A1:G17"/>
  <sheetViews>
    <sheetView showGridLines="0" zoomScale="160" zoomScaleNormal="160" workbookViewId="0">
      <selection activeCell="C9" sqref="C9"/>
    </sheetView>
  </sheetViews>
  <sheetFormatPr defaultRowHeight="14.55" x14ac:dyDescent="0.3"/>
  <cols>
    <col min="1" max="1" width="24.44140625" customWidth="1"/>
    <col min="2" max="3" width="8.88671875" bestFit="1" customWidth="1"/>
    <col min="4" max="4" width="9.88671875" bestFit="1" customWidth="1"/>
    <col min="5" max="5" width="8.88671875" bestFit="1" customWidth="1"/>
  </cols>
  <sheetData>
    <row r="1" spans="1:7" ht="17.399999999999999" customHeight="1" x14ac:dyDescent="0.3">
      <c r="A1" s="2" t="s">
        <v>10</v>
      </c>
      <c r="B1" s="44" t="s">
        <v>7</v>
      </c>
      <c r="C1" s="44" t="s">
        <v>8</v>
      </c>
      <c r="D1" s="44" t="s">
        <v>9</v>
      </c>
      <c r="E1" s="44" t="s">
        <v>6</v>
      </c>
      <c r="G1" s="1"/>
    </row>
    <row r="2" spans="1:7" ht="15.75" x14ac:dyDescent="0.3">
      <c r="A2" s="47" t="s">
        <v>2</v>
      </c>
      <c r="B2" s="45">
        <v>215</v>
      </c>
      <c r="C2" s="45">
        <f>B$3*$G$2</f>
        <v>340</v>
      </c>
      <c r="D2" s="45">
        <f>C$3*$G$2</f>
        <v>385</v>
      </c>
      <c r="E2" s="45">
        <f t="shared" ref="E2" si="0">D$3*$G$2</f>
        <v>375</v>
      </c>
      <c r="G2" s="3">
        <f>(90-45)/90</f>
        <v>0.5</v>
      </c>
    </row>
    <row r="3" spans="1:7" ht="15.75" x14ac:dyDescent="0.3">
      <c r="A3" s="47" t="s">
        <v>3</v>
      </c>
      <c r="B3" s="45">
        <v>680</v>
      </c>
      <c r="C3" s="45">
        <v>770</v>
      </c>
      <c r="D3" s="45">
        <v>750</v>
      </c>
      <c r="E3" s="45">
        <v>920</v>
      </c>
      <c r="F3" s="3" t="s">
        <v>122</v>
      </c>
      <c r="G3" s="43"/>
    </row>
    <row r="4" spans="1:7" ht="15.75" x14ac:dyDescent="0.3">
      <c r="A4" s="47" t="s">
        <v>4</v>
      </c>
      <c r="B4" s="46">
        <f>-B$2+-C$2</f>
        <v>-555</v>
      </c>
      <c r="C4" s="46">
        <f>-C$2+-D$2</f>
        <v>-725</v>
      </c>
      <c r="D4" s="46">
        <f>-D$2+-E$2</f>
        <v>-760</v>
      </c>
      <c r="E4" s="46">
        <f>-E2+-(E3*G2)</f>
        <v>-835</v>
      </c>
      <c r="G4" s="1"/>
    </row>
    <row r="5" spans="1:7" ht="15.75" x14ac:dyDescent="0.3">
      <c r="A5" s="47" t="s">
        <v>5</v>
      </c>
      <c r="B5" s="45">
        <f>SUM(B2:B4)</f>
        <v>340</v>
      </c>
      <c r="C5" s="45">
        <f t="shared" ref="C5:E5" si="1">SUM(C2:C4)</f>
        <v>385</v>
      </c>
      <c r="D5" s="45">
        <f t="shared" si="1"/>
        <v>375</v>
      </c>
      <c r="E5" s="45">
        <f t="shared" si="1"/>
        <v>460</v>
      </c>
      <c r="G5" s="1"/>
    </row>
    <row r="6" spans="1:7" ht="15.75" x14ac:dyDescent="0.3">
      <c r="G6" s="1"/>
    </row>
    <row r="7" spans="1:7" ht="15.75" x14ac:dyDescent="0.3">
      <c r="A7" s="2" t="s">
        <v>11</v>
      </c>
      <c r="B7" s="44" t="s">
        <v>7</v>
      </c>
      <c r="C7" s="44" t="s">
        <v>8</v>
      </c>
      <c r="D7" s="44" t="s">
        <v>9</v>
      </c>
      <c r="E7" s="44" t="s">
        <v>6</v>
      </c>
      <c r="G7" s="3">
        <f>(90-60)/90</f>
        <v>0.33333333333333331</v>
      </c>
    </row>
    <row r="8" spans="1:7" ht="15.75" x14ac:dyDescent="0.3">
      <c r="A8" s="47" t="s">
        <v>2</v>
      </c>
      <c r="B8" s="48">
        <v>215</v>
      </c>
      <c r="C8" s="48">
        <f>B$9-(B$9*$G$7)</f>
        <v>453.33333333333337</v>
      </c>
      <c r="D8" s="48">
        <f t="shared" ref="D8:E8" si="2">C$9-(C$9*$G$7)</f>
        <v>513.33333333333337</v>
      </c>
      <c r="E8" s="48">
        <f t="shared" si="2"/>
        <v>500</v>
      </c>
      <c r="G8" s="1"/>
    </row>
    <row r="9" spans="1:7" ht="15.75" x14ac:dyDescent="0.3">
      <c r="A9" s="47" t="s">
        <v>3</v>
      </c>
      <c r="B9" s="45">
        <v>680</v>
      </c>
      <c r="C9" s="45">
        <v>770</v>
      </c>
      <c r="D9" s="45">
        <v>750</v>
      </c>
      <c r="E9" s="45">
        <v>920</v>
      </c>
      <c r="G9" s="1"/>
    </row>
    <row r="10" spans="1:7" ht="15.75" x14ac:dyDescent="0.3">
      <c r="A10" s="47" t="s">
        <v>4</v>
      </c>
      <c r="B10" s="49">
        <f>-B$9*$G$7+-B8</f>
        <v>-441.66666666666663</v>
      </c>
      <c r="C10" s="49">
        <f>-C$9*$G$7+-C8</f>
        <v>-710</v>
      </c>
      <c r="D10" s="49">
        <f>-D$9*$G$7+-D8</f>
        <v>-763.33333333333337</v>
      </c>
      <c r="E10" s="49">
        <f>-E$9*$G$7+-E8</f>
        <v>-806.66666666666663</v>
      </c>
      <c r="G10" s="1"/>
    </row>
    <row r="11" spans="1:7" ht="15.75" x14ac:dyDescent="0.3">
      <c r="A11" s="47" t="s">
        <v>5</v>
      </c>
      <c r="B11" s="48">
        <f>SUM(B8:B10)</f>
        <v>453.33333333333337</v>
      </c>
      <c r="C11" s="48">
        <f t="shared" ref="C11" si="3">SUM(C8:C10)</f>
        <v>513.33333333333348</v>
      </c>
      <c r="D11" s="48">
        <f t="shared" ref="D11" si="4">SUM(D8:D10)</f>
        <v>500.00000000000011</v>
      </c>
      <c r="E11" s="48">
        <f t="shared" ref="E11" si="5">SUM(E8:E10)</f>
        <v>613.33333333333337</v>
      </c>
      <c r="G11" s="1"/>
    </row>
    <row r="12" spans="1:7" ht="15.75" x14ac:dyDescent="0.3">
      <c r="G12" s="1"/>
    </row>
    <row r="13" spans="1:7" ht="15.75" x14ac:dyDescent="0.3">
      <c r="A13" s="2" t="s">
        <v>12</v>
      </c>
      <c r="B13" s="44" t="s">
        <v>7</v>
      </c>
      <c r="C13" s="44" t="s">
        <v>8</v>
      </c>
      <c r="D13" s="44" t="s">
        <v>9</v>
      </c>
      <c r="E13" s="44" t="s">
        <v>6</v>
      </c>
      <c r="G13" s="3">
        <f>(90-30)/90</f>
        <v>0.66666666666666663</v>
      </c>
    </row>
    <row r="14" spans="1:7" ht="15.75" x14ac:dyDescent="0.3">
      <c r="A14" s="47" t="s">
        <v>2</v>
      </c>
      <c r="B14" s="48">
        <v>215</v>
      </c>
      <c r="C14" s="48">
        <f>B$15-(B$15*$G$13)</f>
        <v>226.66666666666669</v>
      </c>
      <c r="D14" s="48">
        <f t="shared" ref="D14:E14" si="6">C$15-(C$15*$G$13)</f>
        <v>256.66666666666674</v>
      </c>
      <c r="E14" s="48">
        <f t="shared" si="6"/>
        <v>250</v>
      </c>
    </row>
    <row r="15" spans="1:7" ht="15.75" x14ac:dyDescent="0.3">
      <c r="A15" s="47" t="s">
        <v>3</v>
      </c>
      <c r="B15" s="45">
        <v>680</v>
      </c>
      <c r="C15" s="45">
        <v>770</v>
      </c>
      <c r="D15" s="45">
        <v>750</v>
      </c>
      <c r="E15" s="45">
        <v>920</v>
      </c>
    </row>
    <row r="16" spans="1:7" ht="15.75" x14ac:dyDescent="0.3">
      <c r="A16" s="47" t="s">
        <v>4</v>
      </c>
      <c r="B16" s="49">
        <f>-B$15*$G$13+-B$14</f>
        <v>-668.33333333333326</v>
      </c>
      <c r="C16" s="49">
        <f t="shared" ref="C16:E16" si="7">-C$15*$G$13+-C$14</f>
        <v>-740</v>
      </c>
      <c r="D16" s="49">
        <f t="shared" si="7"/>
        <v>-756.66666666666674</v>
      </c>
      <c r="E16" s="49">
        <f t="shared" si="7"/>
        <v>-863.33333333333326</v>
      </c>
    </row>
    <row r="17" spans="1:5" ht="15.75" x14ac:dyDescent="0.3">
      <c r="A17" s="47" t="s">
        <v>5</v>
      </c>
      <c r="B17" s="48">
        <f>SUM(B14:B16)</f>
        <v>226.66666666666674</v>
      </c>
      <c r="C17" s="48">
        <f t="shared" ref="C17" si="8">SUM(C14:C16)</f>
        <v>256.66666666666674</v>
      </c>
      <c r="D17" s="48">
        <f t="shared" ref="D17" si="9">SUM(D14:D16)</f>
        <v>250</v>
      </c>
      <c r="E17" s="48">
        <f t="shared" ref="E17" si="10">SUM(E14:E16)</f>
        <v>306.66666666666674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12BB-561A-4682-9EF4-19748C72F1B2}">
  <dimension ref="A1:C16"/>
  <sheetViews>
    <sheetView showGridLines="0" zoomScale="160" zoomScaleNormal="160" workbookViewId="0">
      <selection activeCell="F1" sqref="F1"/>
    </sheetView>
  </sheetViews>
  <sheetFormatPr defaultRowHeight="14.55" x14ac:dyDescent="0.3"/>
  <cols>
    <col min="1" max="1" width="19.5546875" bestFit="1" customWidth="1"/>
    <col min="2" max="2" width="10.6640625" bestFit="1" customWidth="1"/>
    <col min="3" max="3" width="8.88671875" bestFit="1" customWidth="1"/>
  </cols>
  <sheetData>
    <row r="1" spans="1:3" ht="15.75" x14ac:dyDescent="0.3">
      <c r="A1" s="4" t="s">
        <v>13</v>
      </c>
      <c r="B1" s="4" t="s">
        <v>14</v>
      </c>
      <c r="C1" s="4" t="s">
        <v>15</v>
      </c>
    </row>
    <row r="2" spans="1:3" ht="15.75" x14ac:dyDescent="0.3">
      <c r="A2" s="5" t="s">
        <v>16</v>
      </c>
      <c r="B2" s="6">
        <v>16284</v>
      </c>
      <c r="C2" s="7">
        <v>19108</v>
      </c>
    </row>
    <row r="3" spans="1:3" ht="15.75" x14ac:dyDescent="0.3">
      <c r="A3" s="5" t="s">
        <v>17</v>
      </c>
      <c r="B3" s="6">
        <v>11219</v>
      </c>
      <c r="C3" s="7">
        <v>13973</v>
      </c>
    </row>
    <row r="4" spans="1:3" ht="15.75" x14ac:dyDescent="0.3">
      <c r="A4" s="5" t="s">
        <v>18</v>
      </c>
      <c r="B4" s="6">
        <v>13960</v>
      </c>
      <c r="C4" s="7">
        <v>16676</v>
      </c>
    </row>
    <row r="5" spans="1:3" ht="15.75" x14ac:dyDescent="0.3">
      <c r="A5" s="8" t="s">
        <v>19</v>
      </c>
      <c r="B5" s="9">
        <v>219320</v>
      </c>
      <c r="C5" s="1"/>
    </row>
    <row r="6" spans="1:3" ht="15.75" x14ac:dyDescent="0.3">
      <c r="A6" s="8" t="s">
        <v>20</v>
      </c>
      <c r="B6" s="9">
        <v>168420</v>
      </c>
      <c r="C6" s="1"/>
    </row>
    <row r="8" spans="1:3" ht="15.75" x14ac:dyDescent="0.3">
      <c r="A8" s="10" t="s">
        <v>21</v>
      </c>
      <c r="B8" s="11">
        <f>B6/AVERAGE(B2:C2)</f>
        <v>9.5174050632911396</v>
      </c>
      <c r="C8" s="50" t="s">
        <v>22</v>
      </c>
    </row>
    <row r="9" spans="1:3" ht="15.75" x14ac:dyDescent="0.3">
      <c r="A9" s="10" t="s">
        <v>23</v>
      </c>
      <c r="B9" s="12">
        <f>365/B8</f>
        <v>38.350789692435576</v>
      </c>
      <c r="C9" s="50" t="s">
        <v>24</v>
      </c>
    </row>
    <row r="10" spans="1:3" ht="15.75" x14ac:dyDescent="0.3">
      <c r="A10" s="10" t="s">
        <v>25</v>
      </c>
      <c r="B10" s="13">
        <f>B5/AVERAGE(B3:C3)</f>
        <v>17.411876786281358</v>
      </c>
      <c r="C10" s="50" t="s">
        <v>22</v>
      </c>
    </row>
    <row r="11" spans="1:3" ht="15.75" x14ac:dyDescent="0.3">
      <c r="A11" s="10" t="s">
        <v>26</v>
      </c>
      <c r="B11" s="12">
        <f>365/B10</f>
        <v>20.962702899872333</v>
      </c>
      <c r="C11" s="50" t="s">
        <v>24</v>
      </c>
    </row>
    <row r="12" spans="1:3" ht="15.75" x14ac:dyDescent="0.3">
      <c r="A12" s="14" t="s">
        <v>27</v>
      </c>
      <c r="B12" s="12">
        <f>B9+B11</f>
        <v>59.313492592307909</v>
      </c>
      <c r="C12" s="50" t="s">
        <v>24</v>
      </c>
    </row>
    <row r="13" spans="1:3" ht="15.75" x14ac:dyDescent="0.3">
      <c r="A13" s="1"/>
      <c r="B13" s="1"/>
      <c r="C13" s="50"/>
    </row>
    <row r="14" spans="1:3" ht="15.75" x14ac:dyDescent="0.3">
      <c r="A14" s="10" t="s">
        <v>28</v>
      </c>
      <c r="B14" s="13">
        <f>B6/AVERAGE(B4:C4)</f>
        <v>10.99490795142969</v>
      </c>
      <c r="C14" s="50" t="s">
        <v>22</v>
      </c>
    </row>
    <row r="15" spans="1:3" ht="15.75" x14ac:dyDescent="0.3">
      <c r="A15" s="10" t="s">
        <v>29</v>
      </c>
      <c r="B15" s="12">
        <f>365/B14</f>
        <v>33.197185607410049</v>
      </c>
      <c r="C15" s="50" t="s">
        <v>24</v>
      </c>
    </row>
    <row r="16" spans="1:3" ht="15.75" x14ac:dyDescent="0.3">
      <c r="A16" s="14" t="s">
        <v>30</v>
      </c>
      <c r="B16" s="12">
        <f>B12-B15</f>
        <v>26.116306984897861</v>
      </c>
      <c r="C16" s="50" t="s">
        <v>24</v>
      </c>
    </row>
  </sheetData>
  <pageMargins left="0.7" right="0.7" top="0.75" bottom="0.75" header="0.3" footer="0.3"/>
  <pageSetup orientation="portrait" r:id="rId1"/>
  <ignoredErrors>
    <ignoredError sqref="B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7CD7-7AB9-49E3-8E3C-880837A0B1BC}">
  <dimension ref="A1:I11"/>
  <sheetViews>
    <sheetView showGridLines="0" zoomScale="160" zoomScaleNormal="160" workbookViewId="0">
      <selection activeCell="B11" sqref="B11"/>
    </sheetView>
  </sheetViews>
  <sheetFormatPr defaultRowHeight="14.55" x14ac:dyDescent="0.3"/>
  <cols>
    <col min="1" max="1" width="24.88671875" bestFit="1" customWidth="1"/>
    <col min="7" max="8" width="9.88671875" bestFit="1" customWidth="1"/>
  </cols>
  <sheetData>
    <row r="1" spans="1:9" ht="15.75" x14ac:dyDescent="0.3">
      <c r="A1" s="15"/>
      <c r="B1" s="51" t="s">
        <v>7</v>
      </c>
      <c r="C1" s="78" t="s">
        <v>8</v>
      </c>
      <c r="D1" s="78" t="s">
        <v>9</v>
      </c>
      <c r="E1" s="78" t="s">
        <v>31</v>
      </c>
      <c r="G1" s="40" t="s">
        <v>123</v>
      </c>
      <c r="H1" s="79">
        <v>0.15</v>
      </c>
      <c r="I1" s="42" t="s">
        <v>124</v>
      </c>
    </row>
    <row r="2" spans="1:9" ht="15.75" x14ac:dyDescent="0.3">
      <c r="A2" s="40" t="s">
        <v>3</v>
      </c>
      <c r="B2" s="80">
        <v>740</v>
      </c>
      <c r="C2" s="80">
        <v>665</v>
      </c>
      <c r="D2" s="80">
        <v>785</v>
      </c>
      <c r="E2" s="80">
        <v>890</v>
      </c>
      <c r="G2" s="40" t="s">
        <v>125</v>
      </c>
      <c r="H2" s="81">
        <v>0.3</v>
      </c>
      <c r="I2" s="42" t="s">
        <v>126</v>
      </c>
    </row>
    <row r="3" spans="1:9" ht="15.75" x14ac:dyDescent="0.3">
      <c r="A3" s="42"/>
      <c r="B3" s="82"/>
      <c r="C3" s="82"/>
      <c r="D3" s="82"/>
      <c r="E3" s="82"/>
    </row>
    <row r="4" spans="1:9" ht="15.75" x14ac:dyDescent="0.3">
      <c r="A4" s="15" t="s">
        <v>10</v>
      </c>
      <c r="B4" s="51" t="s">
        <v>7</v>
      </c>
      <c r="C4" s="78" t="s">
        <v>8</v>
      </c>
      <c r="D4" s="78" t="s">
        <v>9</v>
      </c>
      <c r="E4" s="78" t="s">
        <v>31</v>
      </c>
      <c r="F4" s="42"/>
      <c r="G4" s="42"/>
      <c r="H4" s="42"/>
    </row>
    <row r="5" spans="1:9" ht="15.75" x14ac:dyDescent="0.3">
      <c r="A5" s="40" t="s">
        <v>32</v>
      </c>
      <c r="B5" s="80">
        <f t="array" ref="B5:D5">$B$2:$D$2*$H$2</f>
        <v>222</v>
      </c>
      <c r="C5" s="80">
        <v>199.5</v>
      </c>
      <c r="D5" s="80">
        <v>235.5</v>
      </c>
      <c r="E5" s="80">
        <f>($B$2*(1+$H$1))*$H$2</f>
        <v>255.29999999999995</v>
      </c>
      <c r="F5" s="42"/>
      <c r="G5" s="42"/>
      <c r="H5" s="42"/>
    </row>
    <row r="6" spans="1:9" ht="15.75" x14ac:dyDescent="0.3">
      <c r="A6" s="42"/>
      <c r="B6" s="42"/>
      <c r="C6" s="42"/>
      <c r="D6" s="42"/>
      <c r="E6" s="42"/>
      <c r="F6" s="42"/>
      <c r="G6" s="42"/>
      <c r="H6" s="42"/>
    </row>
    <row r="7" spans="1:9" ht="15.75" x14ac:dyDescent="0.3">
      <c r="A7" s="15" t="s">
        <v>11</v>
      </c>
      <c r="B7" s="51" t="s">
        <v>7</v>
      </c>
      <c r="C7" s="78" t="s">
        <v>8</v>
      </c>
      <c r="D7" s="78" t="s">
        <v>9</v>
      </c>
      <c r="E7" s="78" t="s">
        <v>31</v>
      </c>
      <c r="F7" s="42"/>
      <c r="G7" s="42"/>
      <c r="H7" s="42"/>
    </row>
    <row r="8" spans="1:9" ht="15.75" x14ac:dyDescent="0.3">
      <c r="A8" s="40" t="s">
        <v>32</v>
      </c>
      <c r="B8" s="80">
        <f t="array" ref="B8:E8">$B$2:$E$2*$H$2</f>
        <v>222</v>
      </c>
      <c r="C8" s="80">
        <v>199.5</v>
      </c>
      <c r="D8" s="80">
        <v>235.5</v>
      </c>
      <c r="E8" s="80">
        <v>267</v>
      </c>
      <c r="F8" s="42"/>
      <c r="G8" s="42"/>
      <c r="H8" s="42"/>
    </row>
    <row r="9" spans="1:9" ht="15.75" x14ac:dyDescent="0.3">
      <c r="A9" s="42"/>
      <c r="B9" s="42"/>
      <c r="C9" s="42"/>
      <c r="D9" s="42"/>
      <c r="E9" s="42"/>
      <c r="F9" s="42"/>
      <c r="G9" s="42"/>
      <c r="H9" s="42"/>
    </row>
    <row r="10" spans="1:9" ht="15.75" x14ac:dyDescent="0.3">
      <c r="A10" s="15" t="s">
        <v>12</v>
      </c>
      <c r="B10" s="51" t="s">
        <v>7</v>
      </c>
      <c r="C10" s="78" t="s">
        <v>8</v>
      </c>
      <c r="D10" s="78" t="s">
        <v>9</v>
      </c>
      <c r="E10" s="78" t="s">
        <v>31</v>
      </c>
      <c r="F10" s="42"/>
      <c r="G10" s="83"/>
      <c r="H10" s="42"/>
    </row>
    <row r="11" spans="1:9" ht="15.75" x14ac:dyDescent="0.3">
      <c r="A11" s="40" t="s">
        <v>32</v>
      </c>
      <c r="B11" s="80">
        <f>(B$2*$H$2)*$G$11+(C$2*$H$2)*$H$11</f>
        <v>214.5</v>
      </c>
      <c r="C11" s="80">
        <f t="shared" ref="C11:D11" si="0">(C$2*$H$2)*$G$11+(D$2*$H$2)*$H$11</f>
        <v>211.5</v>
      </c>
      <c r="D11" s="80">
        <f t="shared" si="0"/>
        <v>246</v>
      </c>
      <c r="E11" s="80">
        <f>($E$2*$H$2)*$G$11+(($B$2*(1+$H$1))*H2)*$H$11</f>
        <v>263.09999999999997</v>
      </c>
      <c r="F11" s="42"/>
      <c r="G11" s="83">
        <f>(90-30)/90</f>
        <v>0.66666666666666663</v>
      </c>
      <c r="H11" s="83">
        <f>(90-60)/90</f>
        <v>0.33333333333333331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1309-9586-458E-8E04-D64CB6E368F0}">
  <dimension ref="A1:H11"/>
  <sheetViews>
    <sheetView showGridLines="0" zoomScale="160" zoomScaleNormal="160" workbookViewId="0">
      <selection activeCell="E10" sqref="E10"/>
    </sheetView>
  </sheetViews>
  <sheetFormatPr defaultRowHeight="14.55" x14ac:dyDescent="0.3"/>
  <cols>
    <col min="1" max="1" width="31.5546875" bestFit="1" customWidth="1"/>
    <col min="2" max="5" width="10.44140625" bestFit="1" customWidth="1"/>
  </cols>
  <sheetData>
    <row r="1" spans="1:8" ht="15.75" x14ac:dyDescent="0.3">
      <c r="A1" s="69"/>
      <c r="B1" s="70" t="s">
        <v>7</v>
      </c>
      <c r="C1" s="71" t="s">
        <v>8</v>
      </c>
      <c r="D1" s="71" t="s">
        <v>9</v>
      </c>
      <c r="E1" s="71" t="s">
        <v>6</v>
      </c>
    </row>
    <row r="2" spans="1:8" ht="15.75" x14ac:dyDescent="0.3">
      <c r="A2" s="72" t="s">
        <v>3</v>
      </c>
      <c r="B2" s="73">
        <v>1590</v>
      </c>
      <c r="C2" s="73">
        <v>1820</v>
      </c>
      <c r="D2" s="73">
        <v>1780</v>
      </c>
      <c r="E2" s="73">
        <v>1510</v>
      </c>
      <c r="G2" s="3">
        <f>(90-30)/90</f>
        <v>0.66666666666666663</v>
      </c>
      <c r="H2" s="3">
        <f>(90-60)/90</f>
        <v>0.33333333333333331</v>
      </c>
    </row>
    <row r="3" spans="1:8" ht="15.75" x14ac:dyDescent="0.3">
      <c r="A3" s="72" t="s">
        <v>33</v>
      </c>
      <c r="B3" s="90">
        <f>(B$2*$B$9)*$G$2+(C$2*$B$9)*$H$2</f>
        <v>1250</v>
      </c>
      <c r="C3" s="90">
        <f t="shared" ref="C3:D3" si="0">(C$2*$B$9)*$G$2+(D$2*$B$9)*$H$2</f>
        <v>1355</v>
      </c>
      <c r="D3" s="90">
        <f t="shared" si="0"/>
        <v>1267.5</v>
      </c>
      <c r="E3" s="90">
        <f>(E$2*$B$9)*$G$2+($D$10*$B$9)*$H$2</f>
        <v>1220</v>
      </c>
    </row>
    <row r="4" spans="1:8" ht="15.75" x14ac:dyDescent="0.3">
      <c r="A4" s="72" t="s">
        <v>34</v>
      </c>
      <c r="B4" s="91">
        <f>B$2*$B$11</f>
        <v>318</v>
      </c>
      <c r="C4" s="91">
        <f t="shared" ref="C4:E4" si="1">C$2*$B$11</f>
        <v>364</v>
      </c>
      <c r="D4" s="91">
        <f t="shared" si="1"/>
        <v>356</v>
      </c>
      <c r="E4" s="91">
        <f t="shared" si="1"/>
        <v>302</v>
      </c>
    </row>
    <row r="5" spans="1:8" ht="31.5" x14ac:dyDescent="0.3">
      <c r="A5" s="72" t="s">
        <v>35</v>
      </c>
      <c r="B5" s="74">
        <v>78</v>
      </c>
      <c r="C5" s="74">
        <v>78</v>
      </c>
      <c r="D5" s="74">
        <v>78</v>
      </c>
      <c r="E5" s="74">
        <v>78</v>
      </c>
    </row>
    <row r="6" spans="1:8" ht="15.75" x14ac:dyDescent="0.3">
      <c r="A6" s="75" t="s">
        <v>36</v>
      </c>
      <c r="B6" s="76">
        <f>SUM(B$3:B$5)</f>
        <v>1646</v>
      </c>
      <c r="C6" s="76">
        <f t="shared" ref="C6:E6" si="2">SUM(C$3:C$5)</f>
        <v>1797</v>
      </c>
      <c r="D6" s="76">
        <f t="shared" si="2"/>
        <v>1701.5</v>
      </c>
      <c r="E6" s="76">
        <f t="shared" si="2"/>
        <v>1600</v>
      </c>
    </row>
    <row r="9" spans="1:8" ht="15.75" x14ac:dyDescent="0.3">
      <c r="A9" s="84" t="s">
        <v>127</v>
      </c>
      <c r="B9" s="85">
        <v>0.75</v>
      </c>
      <c r="C9" s="42" t="s">
        <v>128</v>
      </c>
      <c r="D9" s="42"/>
      <c r="E9" s="42"/>
      <c r="F9">
        <v>1</v>
      </c>
    </row>
    <row r="10" spans="1:8" ht="15.75" x14ac:dyDescent="0.3">
      <c r="A10" s="86" t="s">
        <v>129</v>
      </c>
      <c r="B10" s="87"/>
      <c r="C10" s="88"/>
      <c r="D10" s="89">
        <v>1860</v>
      </c>
      <c r="E10" s="42"/>
    </row>
    <row r="11" spans="1:8" ht="15.75" x14ac:dyDescent="0.3">
      <c r="A11" s="86" t="s">
        <v>130</v>
      </c>
      <c r="B11" s="79">
        <v>0.2</v>
      </c>
      <c r="C11" s="42"/>
      <c r="D11" s="42"/>
      <c r="E11" s="4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4609-2C42-4964-BFAA-E18590D55451}">
  <dimension ref="A1:H6"/>
  <sheetViews>
    <sheetView showGridLines="0" zoomScale="160" zoomScaleNormal="160" workbookViewId="0">
      <selection activeCell="E3" sqref="E3"/>
    </sheetView>
  </sheetViews>
  <sheetFormatPr defaultRowHeight="14.55" x14ac:dyDescent="0.3"/>
  <cols>
    <col min="1" max="1" width="17.44140625" customWidth="1"/>
    <col min="2" max="2" width="12.5546875" bestFit="1" customWidth="1"/>
    <col min="3" max="3" width="12.44140625" bestFit="1" customWidth="1"/>
    <col min="4" max="4" width="12.5546875" bestFit="1" customWidth="1"/>
  </cols>
  <sheetData>
    <row r="1" spans="1:8" ht="15.75" x14ac:dyDescent="0.3">
      <c r="A1" s="77"/>
      <c r="B1" s="71" t="s">
        <v>37</v>
      </c>
      <c r="C1" s="71" t="s">
        <v>38</v>
      </c>
      <c r="D1" s="71" t="s">
        <v>39</v>
      </c>
      <c r="E1" s="16"/>
      <c r="F1" s="92">
        <v>0.65</v>
      </c>
      <c r="H1" s="89">
        <v>149680</v>
      </c>
    </row>
    <row r="2" spans="1:8" ht="15.75" x14ac:dyDescent="0.3">
      <c r="A2" s="72" t="s">
        <v>40</v>
      </c>
      <c r="B2" s="36">
        <v>325000</v>
      </c>
      <c r="C2" s="36">
        <v>373800</v>
      </c>
      <c r="D2" s="36">
        <v>384600</v>
      </c>
      <c r="E2" s="16"/>
      <c r="F2" s="92">
        <v>0.2</v>
      </c>
      <c r="H2" s="89">
        <v>94340</v>
      </c>
    </row>
    <row r="3" spans="1:8" ht="15.75" x14ac:dyDescent="0.3">
      <c r="A3" s="72" t="s">
        <v>43</v>
      </c>
      <c r="B3" s="94">
        <f t="shared" ref="B3" si="0">$B$5*$F$3+$B$6*$F$2+B$2*$F$1</f>
        <v>320498.57142857148</v>
      </c>
      <c r="C3" s="94">
        <f>$B$6*$F$3+$B$2*$F$2+C$2*$F$1</f>
        <v>348401.42857142858</v>
      </c>
      <c r="D3" s="94">
        <f>$B$2*$F$3+$C$2*$F$2+$D$2*$F$1</f>
        <v>373500</v>
      </c>
      <c r="E3" s="16"/>
      <c r="F3" s="92">
        <v>0.15</v>
      </c>
    </row>
    <row r="4" spans="1:8" ht="15.75" x14ac:dyDescent="0.3">
      <c r="A4" s="1"/>
      <c r="B4" s="1"/>
      <c r="C4" s="1"/>
      <c r="D4" s="1"/>
    </row>
    <row r="5" spans="1:8" ht="15.75" x14ac:dyDescent="0.3">
      <c r="A5" s="10" t="s">
        <v>41</v>
      </c>
      <c r="B5" s="93">
        <f>(H1-H2)/F3</f>
        <v>368933.33333333337</v>
      </c>
      <c r="C5" s="1"/>
      <c r="D5" s="1"/>
    </row>
    <row r="6" spans="1:8" ht="15.75" x14ac:dyDescent="0.3">
      <c r="A6" s="10" t="s">
        <v>42</v>
      </c>
      <c r="B6" s="93">
        <f>(H2)/(F2+F3)</f>
        <v>269542.85714285716</v>
      </c>
      <c r="C6" s="1"/>
      <c r="D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308C-B3DA-4BC6-8916-C3954592B6F1}">
  <dimension ref="A1:H20"/>
  <sheetViews>
    <sheetView showGridLines="0" zoomScale="160" zoomScaleNormal="160" workbookViewId="0"/>
  </sheetViews>
  <sheetFormatPr defaultRowHeight="14.55" x14ac:dyDescent="0.3"/>
  <cols>
    <col min="1" max="1" width="30.5546875" bestFit="1" customWidth="1"/>
    <col min="2" max="2" width="17.88671875" bestFit="1" customWidth="1"/>
    <col min="3" max="4" width="12.5546875" bestFit="1" customWidth="1"/>
  </cols>
  <sheetData>
    <row r="1" spans="1:8" ht="15.75" x14ac:dyDescent="0.3">
      <c r="A1" s="95"/>
      <c r="B1" s="96" t="s">
        <v>44</v>
      </c>
      <c r="C1" s="96" t="s">
        <v>45</v>
      </c>
      <c r="D1" s="96" t="s">
        <v>46</v>
      </c>
      <c r="F1" s="99">
        <v>0.05</v>
      </c>
      <c r="H1" s="89">
        <v>266112</v>
      </c>
    </row>
    <row r="2" spans="1:8" ht="15.75" x14ac:dyDescent="0.3">
      <c r="A2" s="72" t="s">
        <v>47</v>
      </c>
      <c r="B2" s="36">
        <v>481250</v>
      </c>
      <c r="C2" s="36">
        <v>501840</v>
      </c>
      <c r="D2" s="36">
        <v>555032</v>
      </c>
      <c r="F2" s="99">
        <v>0.35</v>
      </c>
      <c r="H2" s="89">
        <v>197680</v>
      </c>
    </row>
    <row r="3" spans="1:8" ht="15.75" x14ac:dyDescent="0.3">
      <c r="A3" s="72" t="s">
        <v>48</v>
      </c>
      <c r="B3" s="36">
        <v>186280</v>
      </c>
      <c r="C3" s="36">
        <v>222320</v>
      </c>
      <c r="D3" s="36">
        <v>253904</v>
      </c>
      <c r="F3" s="99">
        <v>0.6</v>
      </c>
    </row>
    <row r="4" spans="1:8" ht="15.75" x14ac:dyDescent="0.3">
      <c r="A4" s="97" t="s">
        <v>49</v>
      </c>
      <c r="B4" s="73"/>
      <c r="C4" s="73"/>
      <c r="D4" s="73"/>
    </row>
    <row r="5" spans="1:8" ht="15.75" x14ac:dyDescent="0.3">
      <c r="A5" s="72" t="s">
        <v>50</v>
      </c>
      <c r="B5" s="36">
        <v>50371</v>
      </c>
      <c r="C5" s="36">
        <v>61091</v>
      </c>
      <c r="D5" s="36">
        <v>63736</v>
      </c>
    </row>
    <row r="6" spans="1:8" ht="15.75" x14ac:dyDescent="0.3">
      <c r="A6" s="72" t="s">
        <v>51</v>
      </c>
      <c r="B6" s="36">
        <v>14450</v>
      </c>
      <c r="C6" s="36">
        <v>14450</v>
      </c>
      <c r="D6" s="36">
        <v>14450</v>
      </c>
    </row>
    <row r="7" spans="1:8" ht="20.3" customHeight="1" x14ac:dyDescent="0.3">
      <c r="A7" s="72" t="s">
        <v>52</v>
      </c>
      <c r="B7" s="98">
        <f>105100</f>
        <v>105100</v>
      </c>
      <c r="C7" s="98">
        <f>115360</f>
        <v>115360</v>
      </c>
      <c r="D7" s="98" t="s">
        <v>53</v>
      </c>
    </row>
    <row r="9" spans="1:8" ht="15.75" x14ac:dyDescent="0.3">
      <c r="A9" s="22"/>
      <c r="B9" s="25" t="s">
        <v>55</v>
      </c>
      <c r="C9" s="25" t="s">
        <v>56</v>
      </c>
      <c r="D9" s="25" t="s">
        <v>57</v>
      </c>
    </row>
    <row r="10" spans="1:8" ht="15.75" x14ac:dyDescent="0.3">
      <c r="A10" s="23" t="s">
        <v>54</v>
      </c>
      <c r="B10" s="26">
        <v>354800</v>
      </c>
      <c r="C10" s="27">
        <f>B$20</f>
        <v>315303.69999999995</v>
      </c>
      <c r="D10" s="27">
        <f>C$20</f>
        <v>402516.69999999995</v>
      </c>
    </row>
    <row r="11" spans="1:8" ht="15.75" x14ac:dyDescent="0.3">
      <c r="A11" s="24" t="s">
        <v>58</v>
      </c>
      <c r="B11" s="28"/>
      <c r="C11" s="28"/>
      <c r="D11" s="28"/>
    </row>
    <row r="12" spans="1:8" ht="15.75" x14ac:dyDescent="0.3">
      <c r="A12" s="23" t="s">
        <v>59</v>
      </c>
      <c r="B12" s="26">
        <f>((B$2*$F$2)+($H$1*$F$3))</f>
        <v>328104.69999999995</v>
      </c>
      <c r="C12" s="26">
        <f>((C$2*$F$2)+(B$2*$F$3))</f>
        <v>464394</v>
      </c>
      <c r="D12" s="26">
        <f>((D$2*$F$2)+(C$2*$F$3))</f>
        <v>495365.19999999995</v>
      </c>
    </row>
    <row r="13" spans="1:8" ht="15.75" x14ac:dyDescent="0.3">
      <c r="A13" s="23" t="s">
        <v>60</v>
      </c>
      <c r="B13" s="26">
        <f>_xlfn.AGGREGATE(9,4,B$10:B$12)</f>
        <v>682904.7</v>
      </c>
      <c r="C13" s="26">
        <f>_xlfn.AGGREGATE(9,4,C$10:C$12)</f>
        <v>779697.7</v>
      </c>
      <c r="D13" s="26">
        <f>_xlfn.AGGREGATE(9,4,D$10:D$12)</f>
        <v>897881.89999999991</v>
      </c>
    </row>
    <row r="14" spans="1:8" ht="15.75" x14ac:dyDescent="0.3">
      <c r="A14" s="24" t="s">
        <v>49</v>
      </c>
      <c r="B14" s="100"/>
      <c r="C14" s="100"/>
      <c r="D14" s="100"/>
    </row>
    <row r="15" spans="1:8" ht="15.75" x14ac:dyDescent="0.3">
      <c r="A15" s="23" t="s">
        <v>61</v>
      </c>
      <c r="B15" s="26">
        <f>H2</f>
        <v>197680</v>
      </c>
      <c r="C15" s="26">
        <f>B3</f>
        <v>186280</v>
      </c>
      <c r="D15" s="26">
        <f>C3</f>
        <v>222320</v>
      </c>
    </row>
    <row r="16" spans="1:8" ht="15.75" x14ac:dyDescent="0.3">
      <c r="A16" s="23" t="s">
        <v>50</v>
      </c>
      <c r="B16" s="26">
        <f>B$5</f>
        <v>50371</v>
      </c>
      <c r="C16" s="26">
        <f t="shared" ref="C16:D16" si="0">C$5</f>
        <v>61091</v>
      </c>
      <c r="D16" s="26">
        <f t="shared" si="0"/>
        <v>63736</v>
      </c>
    </row>
    <row r="17" spans="1:4" ht="15.75" x14ac:dyDescent="0.3">
      <c r="A17" s="23" t="s">
        <v>51</v>
      </c>
      <c r="B17" s="26">
        <f>B$6</f>
        <v>14450</v>
      </c>
      <c r="C17" s="26">
        <f t="shared" ref="C17:D17" si="1">C$6</f>
        <v>14450</v>
      </c>
      <c r="D17" s="26">
        <f t="shared" si="1"/>
        <v>14450</v>
      </c>
    </row>
    <row r="18" spans="1:4" ht="18" customHeight="1" x14ac:dyDescent="0.3">
      <c r="A18" s="23" t="s">
        <v>62</v>
      </c>
      <c r="B18" s="26">
        <f>B$7</f>
        <v>105100</v>
      </c>
      <c r="C18" s="26">
        <f t="shared" ref="C18:D18" si="2">C$7</f>
        <v>115360</v>
      </c>
      <c r="D18" s="26" t="str">
        <f t="shared" si="2"/>
        <v xml:space="preserve">0
</v>
      </c>
    </row>
    <row r="19" spans="1:4" ht="15.75" x14ac:dyDescent="0.3">
      <c r="A19" s="23" t="s">
        <v>63</v>
      </c>
      <c r="B19" s="26">
        <f>SUM(B$15:B$18)</f>
        <v>367601</v>
      </c>
      <c r="C19" s="26">
        <f>SUM(C$15:C$18)</f>
        <v>377181</v>
      </c>
      <c r="D19" s="26">
        <f>SUM(D$15:D$18)</f>
        <v>300506</v>
      </c>
    </row>
    <row r="20" spans="1:4" ht="15.75" x14ac:dyDescent="0.3">
      <c r="A20" s="24" t="s">
        <v>64</v>
      </c>
      <c r="B20" s="26">
        <f>B$13-B$19</f>
        <v>315303.69999999995</v>
      </c>
      <c r="C20" s="26">
        <f>C$13-C$19</f>
        <v>402516.69999999995</v>
      </c>
      <c r="D20" s="26">
        <f>D$13-D$19</f>
        <v>597375.89999999991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F7B6-1D0D-48A6-B2DC-AE930DD4E07D}">
  <dimension ref="A1:F16"/>
  <sheetViews>
    <sheetView showGridLines="0" zoomScale="160" zoomScaleNormal="160" workbookViewId="0"/>
  </sheetViews>
  <sheetFormatPr defaultRowHeight="14.55" x14ac:dyDescent="0.3"/>
  <cols>
    <col min="1" max="1" width="26.5546875" bestFit="1" customWidth="1"/>
    <col min="2" max="2" width="9.109375" bestFit="1" customWidth="1"/>
    <col min="4" max="4" width="9.109375" bestFit="1" customWidth="1"/>
    <col min="5" max="5" width="10.44140625" bestFit="1" customWidth="1"/>
    <col min="6" max="6" width="8.6640625" bestFit="1" customWidth="1"/>
  </cols>
  <sheetData>
    <row r="1" spans="1:6" ht="31.5" x14ac:dyDescent="0.3">
      <c r="A1" s="33" t="s">
        <v>79</v>
      </c>
      <c r="B1" s="29"/>
      <c r="C1" s="29"/>
      <c r="D1" s="29"/>
      <c r="E1" s="33" t="s">
        <v>80</v>
      </c>
      <c r="F1" s="33" t="s">
        <v>81</v>
      </c>
    </row>
    <row r="2" spans="1:6" ht="15.75" x14ac:dyDescent="0.3">
      <c r="A2" s="19"/>
      <c r="B2" s="30">
        <v>2018</v>
      </c>
      <c r="C2" s="31"/>
      <c r="D2" s="30">
        <v>2019</v>
      </c>
      <c r="E2" s="30"/>
      <c r="F2" s="37"/>
    </row>
    <row r="3" spans="1:6" ht="15.75" x14ac:dyDescent="0.3">
      <c r="A3" s="32" t="s">
        <v>65</v>
      </c>
      <c r="B3" s="18"/>
      <c r="C3" s="18"/>
      <c r="D3" s="18"/>
      <c r="E3" s="18"/>
      <c r="F3" s="37"/>
    </row>
    <row r="4" spans="1:6" ht="15.75" x14ac:dyDescent="0.3">
      <c r="A4" s="19" t="s">
        <v>67</v>
      </c>
      <c r="B4" s="21">
        <f>52998</f>
        <v>52998</v>
      </c>
      <c r="C4" s="17"/>
      <c r="D4" s="21">
        <v>53874</v>
      </c>
      <c r="E4" s="21" t="str">
        <f t="shared" ref="E4:E7" si="0">IF($F4 &gt; 0,"Source","Use")</f>
        <v>Use</v>
      </c>
      <c r="F4" s="37">
        <f>B4-D4</f>
        <v>-876</v>
      </c>
    </row>
    <row r="5" spans="1:6" ht="15.75" x14ac:dyDescent="0.3">
      <c r="A5" s="19" t="s">
        <v>68</v>
      </c>
      <c r="B5" s="21">
        <v>110170</v>
      </c>
      <c r="C5" s="17"/>
      <c r="D5" s="21">
        <v>108273</v>
      </c>
      <c r="E5" s="21" t="str">
        <f t="shared" si="0"/>
        <v>Source</v>
      </c>
      <c r="F5" s="37">
        <f>B5-D5</f>
        <v>1897</v>
      </c>
    </row>
    <row r="6" spans="1:6" ht="15.75" x14ac:dyDescent="0.3">
      <c r="A6" s="19" t="s">
        <v>69</v>
      </c>
      <c r="B6" s="21">
        <v>91960</v>
      </c>
      <c r="C6" s="17"/>
      <c r="D6" s="21">
        <v>98688</v>
      </c>
      <c r="E6" s="21" t="str">
        <f t="shared" si="0"/>
        <v>Use</v>
      </c>
      <c r="F6" s="37">
        <f>B6-D6</f>
        <v>-6728</v>
      </c>
    </row>
    <row r="7" spans="1:6" ht="15.75" x14ac:dyDescent="0.3">
      <c r="A7" s="19" t="s">
        <v>70</v>
      </c>
      <c r="B7" s="21">
        <f>248951</f>
        <v>248951</v>
      </c>
      <c r="C7" s="17"/>
      <c r="D7" s="21">
        <v>263995</v>
      </c>
      <c r="E7" s="21" t="str">
        <f t="shared" si="0"/>
        <v>Use</v>
      </c>
      <c r="F7" s="37">
        <f>B7-D7</f>
        <v>-15044</v>
      </c>
    </row>
    <row r="8" spans="1:6" ht="31.5" x14ac:dyDescent="0.3">
      <c r="A8" s="19" t="s">
        <v>71</v>
      </c>
      <c r="B8" s="21">
        <v>-94913</v>
      </c>
      <c r="C8" s="17"/>
      <c r="D8" s="21">
        <v>-94134</v>
      </c>
      <c r="E8" s="21"/>
      <c r="F8" s="37"/>
    </row>
    <row r="9" spans="1:6" ht="15.75" x14ac:dyDescent="0.3">
      <c r="A9" s="32" t="s">
        <v>72</v>
      </c>
      <c r="B9" s="34">
        <v>409166</v>
      </c>
      <c r="C9" s="35"/>
      <c r="D9" s="34">
        <v>430696</v>
      </c>
      <c r="E9" s="21"/>
      <c r="F9" s="37"/>
    </row>
    <row r="10" spans="1:6" ht="15.75" x14ac:dyDescent="0.3">
      <c r="A10" s="32" t="s">
        <v>66</v>
      </c>
      <c r="B10" s="20"/>
      <c r="C10" s="17"/>
      <c r="D10" s="20"/>
      <c r="E10" s="20"/>
      <c r="F10" s="37"/>
    </row>
    <row r="11" spans="1:6" ht="15.75" x14ac:dyDescent="0.3">
      <c r="A11" s="19" t="s">
        <v>73</v>
      </c>
      <c r="B11" s="21">
        <v>79774</v>
      </c>
      <c r="C11" s="17"/>
      <c r="D11" s="21">
        <v>60980</v>
      </c>
      <c r="E11" s="21" t="str">
        <f t="shared" ref="E11:E15" si="1">IF($F11 &gt; 0,"Source","Use")</f>
        <v>Use</v>
      </c>
      <c r="F11" s="37">
        <f>D11-B11</f>
        <v>-18794</v>
      </c>
    </row>
    <row r="12" spans="1:6" ht="15.75" x14ac:dyDescent="0.3">
      <c r="A12" s="19" t="s">
        <v>74</v>
      </c>
      <c r="B12" s="21">
        <v>12078</v>
      </c>
      <c r="C12" s="17"/>
      <c r="D12" s="21">
        <v>15334</v>
      </c>
      <c r="E12" s="21" t="str">
        <f t="shared" si="1"/>
        <v>Source</v>
      </c>
      <c r="F12" s="37">
        <f>D12-B12</f>
        <v>3256</v>
      </c>
    </row>
    <row r="13" spans="1:6" ht="15.75" x14ac:dyDescent="0.3">
      <c r="A13" s="19" t="s">
        <v>75</v>
      </c>
      <c r="B13" s="21">
        <v>54450</v>
      </c>
      <c r="C13" s="17"/>
      <c r="D13" s="21">
        <v>50000</v>
      </c>
      <c r="E13" s="21" t="str">
        <f t="shared" si="1"/>
        <v>Use</v>
      </c>
      <c r="F13" s="37">
        <f>D13-B13</f>
        <v>-4450</v>
      </c>
    </row>
    <row r="14" spans="1:6" ht="15.75" x14ac:dyDescent="0.3">
      <c r="A14" s="19" t="s">
        <v>76</v>
      </c>
      <c r="B14" s="21">
        <v>27500</v>
      </c>
      <c r="C14" s="17"/>
      <c r="D14" s="21">
        <v>34000</v>
      </c>
      <c r="E14" s="21" t="str">
        <f t="shared" si="1"/>
        <v>Source</v>
      </c>
      <c r="F14" s="37">
        <f>D14-B14</f>
        <v>6500</v>
      </c>
    </row>
    <row r="15" spans="1:6" ht="15.75" x14ac:dyDescent="0.3">
      <c r="A15" s="19" t="s">
        <v>77</v>
      </c>
      <c r="B15" s="21">
        <v>235364</v>
      </c>
      <c r="C15" s="17"/>
      <c r="D15" s="21">
        <v>270382</v>
      </c>
      <c r="E15" s="21" t="str">
        <f t="shared" si="1"/>
        <v>Source</v>
      </c>
      <c r="F15" s="37">
        <f>D15-B15</f>
        <v>35018</v>
      </c>
    </row>
    <row r="16" spans="1:6" ht="15.75" x14ac:dyDescent="0.3">
      <c r="A16" s="32" t="s">
        <v>78</v>
      </c>
      <c r="B16" s="34">
        <v>409166</v>
      </c>
      <c r="C16" s="35"/>
      <c r="D16" s="34">
        <v>430696</v>
      </c>
      <c r="E16" s="36"/>
      <c r="F16" s="3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BBC7-E37E-41E5-A7AD-3D20C5ABC9EA}">
  <dimension ref="A1:F14"/>
  <sheetViews>
    <sheetView showGridLines="0" zoomScale="160" zoomScaleNormal="160" workbookViewId="0">
      <selection activeCell="B4" sqref="B4"/>
    </sheetView>
  </sheetViews>
  <sheetFormatPr defaultRowHeight="14.55" x14ac:dyDescent="0.3"/>
  <cols>
    <col min="1" max="1" width="28.33203125" bestFit="1" customWidth="1"/>
    <col min="2" max="2" width="13.5546875" bestFit="1" customWidth="1"/>
    <col min="3" max="3" width="13.6640625" bestFit="1" customWidth="1"/>
    <col min="4" max="5" width="13.5546875" bestFit="1" customWidth="1"/>
    <col min="6" max="6" width="4.6640625" bestFit="1" customWidth="1"/>
  </cols>
  <sheetData>
    <row r="1" spans="1:6" ht="15.75" x14ac:dyDescent="0.3">
      <c r="A1" s="54">
        <v>165000000</v>
      </c>
      <c r="F1" s="79">
        <v>0.1</v>
      </c>
    </row>
    <row r="2" spans="1:6" ht="15.75" x14ac:dyDescent="0.3">
      <c r="A2" s="54">
        <v>84000000</v>
      </c>
      <c r="F2" s="79">
        <v>0.5</v>
      </c>
    </row>
    <row r="3" spans="1:6" ht="15.75" x14ac:dyDescent="0.3">
      <c r="F3" s="79">
        <v>0.45</v>
      </c>
    </row>
    <row r="4" spans="1:6" ht="15.75" x14ac:dyDescent="0.3">
      <c r="A4" s="40" t="s">
        <v>82</v>
      </c>
      <c r="B4" s="89">
        <f>A2/(1-F2)</f>
        <v>168000000</v>
      </c>
      <c r="C4" s="42"/>
      <c r="D4" s="42"/>
      <c r="E4" s="42"/>
    </row>
    <row r="5" spans="1:6" ht="15.75" x14ac:dyDescent="0.3">
      <c r="A5" s="42"/>
      <c r="B5" s="42"/>
      <c r="C5" s="42"/>
      <c r="D5" s="42"/>
      <c r="E5" s="42"/>
    </row>
    <row r="6" spans="1:6" ht="15.75" x14ac:dyDescent="0.3">
      <c r="A6" s="22"/>
      <c r="B6" s="52" t="s">
        <v>83</v>
      </c>
      <c r="C6" s="52" t="s">
        <v>84</v>
      </c>
      <c r="D6" s="52" t="s">
        <v>85</v>
      </c>
      <c r="E6" s="53" t="s">
        <v>85</v>
      </c>
    </row>
    <row r="7" spans="1:6" ht="15.75" x14ac:dyDescent="0.3">
      <c r="A7" s="47" t="s">
        <v>86</v>
      </c>
      <c r="B7" s="54">
        <f>A1</f>
        <v>165000000</v>
      </c>
      <c r="C7" s="54">
        <f>FV($F$1,1,,-B$7)</f>
        <v>181500000</v>
      </c>
      <c r="D7" s="54">
        <f>FV($F$1,1,,-C$7)</f>
        <v>199650000.00000003</v>
      </c>
      <c r="E7" s="54">
        <f>FV($F$1,1,,-D$7)</f>
        <v>219615000.00000006</v>
      </c>
    </row>
    <row r="8" spans="1:6" ht="15.75" x14ac:dyDescent="0.3">
      <c r="A8" s="47" t="s">
        <v>87</v>
      </c>
      <c r="B8" s="55">
        <v>0</v>
      </c>
      <c r="C8" s="56">
        <v>-12000000</v>
      </c>
      <c r="D8" s="56">
        <v>-6000000</v>
      </c>
      <c r="E8" s="26">
        <v>18000000</v>
      </c>
    </row>
    <row r="9" spans="1:6" ht="15.75" x14ac:dyDescent="0.3">
      <c r="A9" s="47" t="s">
        <v>88</v>
      </c>
      <c r="B9" s="57">
        <f>SUM(B$7:B$8)</f>
        <v>165000000</v>
      </c>
      <c r="C9" s="57">
        <f t="shared" ref="C9:E9" si="0">SUM(C$7:C$8)</f>
        <v>169500000</v>
      </c>
      <c r="D9" s="57">
        <f t="shared" si="0"/>
        <v>193650000.00000003</v>
      </c>
      <c r="E9" s="57">
        <f t="shared" si="0"/>
        <v>237615000.00000006</v>
      </c>
    </row>
    <row r="10" spans="1:6" ht="15.75" x14ac:dyDescent="0.3">
      <c r="A10" s="42"/>
      <c r="B10" s="42"/>
      <c r="C10" s="42"/>
      <c r="D10" s="42"/>
      <c r="E10" s="42"/>
    </row>
    <row r="11" spans="1:6" ht="15.75" x14ac:dyDescent="0.3">
      <c r="A11" s="22"/>
      <c r="B11" s="52" t="s">
        <v>83</v>
      </c>
      <c r="C11" s="52" t="s">
        <v>84</v>
      </c>
      <c r="D11" s="52" t="s">
        <v>85</v>
      </c>
      <c r="E11" s="53" t="s">
        <v>85</v>
      </c>
    </row>
    <row r="12" spans="1:6" ht="15.75" x14ac:dyDescent="0.3">
      <c r="A12" s="47" t="s">
        <v>89</v>
      </c>
      <c r="B12" s="54">
        <f>B$9*$F$2</f>
        <v>82500000</v>
      </c>
      <c r="C12" s="54">
        <f t="shared" ref="C12:E12" si="1">C$9*$F$2</f>
        <v>84750000</v>
      </c>
      <c r="D12" s="54">
        <f t="shared" si="1"/>
        <v>96825000.000000015</v>
      </c>
      <c r="E12" s="54">
        <f t="shared" si="1"/>
        <v>118807500.00000003</v>
      </c>
    </row>
    <row r="13" spans="1:6" ht="31.5" x14ac:dyDescent="0.3">
      <c r="A13" s="47" t="s">
        <v>91</v>
      </c>
      <c r="B13" s="55">
        <f>B$4*$F$3</f>
        <v>75600000</v>
      </c>
      <c r="C13" s="56">
        <f>B$9*$F$3</f>
        <v>74250000</v>
      </c>
      <c r="D13" s="56">
        <f t="shared" ref="D13:E13" si="2">C$9*$F$3</f>
        <v>76275000</v>
      </c>
      <c r="E13" s="56">
        <f t="shared" si="2"/>
        <v>87142500.000000015</v>
      </c>
    </row>
    <row r="14" spans="1:6" ht="15.75" x14ac:dyDescent="0.3">
      <c r="A14" s="47" t="s">
        <v>90</v>
      </c>
      <c r="B14" s="57">
        <f>SUM(B$12:B$13)</f>
        <v>158100000</v>
      </c>
      <c r="C14" s="57">
        <f t="shared" ref="C14:E14" si="3">SUM(C$12:C$13)</f>
        <v>159000000</v>
      </c>
      <c r="D14" s="57">
        <f t="shared" si="3"/>
        <v>173100000</v>
      </c>
      <c r="E14" s="57">
        <f t="shared" si="3"/>
        <v>205950000.00000006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C233-3FAB-4CEE-9ADD-A40966F9CE82}">
  <dimension ref="A1:K121"/>
  <sheetViews>
    <sheetView showGridLines="0" topLeftCell="A10" zoomScale="160" zoomScaleNormal="160" workbookViewId="0">
      <selection activeCell="A21" sqref="A21"/>
    </sheetView>
  </sheetViews>
  <sheetFormatPr defaultRowHeight="14.55" x14ac:dyDescent="0.3"/>
  <cols>
    <col min="2" max="2" width="31.88671875" customWidth="1"/>
    <col min="3" max="5" width="8" bestFit="1" customWidth="1"/>
    <col min="6" max="6" width="8" customWidth="1"/>
    <col min="9" max="9" width="4.5546875" bestFit="1" customWidth="1"/>
    <col min="10" max="10" width="5.5546875" bestFit="1" customWidth="1"/>
  </cols>
  <sheetData>
    <row r="1" spans="1:11" ht="15.75" x14ac:dyDescent="0.3">
      <c r="A1" s="79">
        <v>0.45</v>
      </c>
      <c r="C1" s="86" t="s">
        <v>131</v>
      </c>
      <c r="D1" s="87"/>
      <c r="E1" s="87"/>
      <c r="F1" s="87"/>
      <c r="G1" s="87"/>
      <c r="H1" s="87"/>
      <c r="I1" s="88"/>
      <c r="J1" s="101">
        <v>120</v>
      </c>
      <c r="K1" s="42" t="s">
        <v>132</v>
      </c>
    </row>
    <row r="2" spans="1:11" ht="15.75" x14ac:dyDescent="0.3">
      <c r="A2" s="79">
        <v>0.3</v>
      </c>
      <c r="C2" s="86" t="s">
        <v>133</v>
      </c>
      <c r="D2" s="87"/>
      <c r="E2" s="87"/>
      <c r="F2" s="87"/>
      <c r="G2" s="87"/>
      <c r="H2" s="88"/>
      <c r="I2" s="101">
        <v>34</v>
      </c>
      <c r="J2" s="42" t="s">
        <v>132</v>
      </c>
      <c r="K2" s="42"/>
    </row>
    <row r="3" spans="1:11" ht="15.75" x14ac:dyDescent="0.3">
      <c r="A3" s="79">
        <v>0.03</v>
      </c>
      <c r="C3" s="102" t="s">
        <v>134</v>
      </c>
      <c r="D3" s="103"/>
      <c r="E3" s="104"/>
      <c r="F3" s="105">
        <v>6</v>
      </c>
      <c r="G3" s="42" t="s">
        <v>132</v>
      </c>
      <c r="H3" s="42"/>
      <c r="I3" s="41"/>
      <c r="J3" s="42"/>
      <c r="K3" s="42"/>
    </row>
    <row r="4" spans="1:11" ht="15.75" x14ac:dyDescent="0.3">
      <c r="A4" s="79">
        <v>0.02</v>
      </c>
      <c r="C4" s="86" t="s">
        <v>135</v>
      </c>
      <c r="D4" s="87"/>
      <c r="E4" s="87"/>
      <c r="F4" s="106"/>
      <c r="G4" s="87"/>
      <c r="H4" s="88"/>
      <c r="I4" s="101">
        <v>40</v>
      </c>
      <c r="J4" s="42" t="s">
        <v>132</v>
      </c>
      <c r="K4" s="42"/>
    </row>
    <row r="5" spans="1:11" ht="15.75" x14ac:dyDescent="0.3">
      <c r="C5" s="86" t="s">
        <v>136</v>
      </c>
      <c r="D5" s="87"/>
      <c r="E5" s="87"/>
      <c r="F5" s="106"/>
      <c r="G5" s="88"/>
      <c r="H5" s="101">
        <v>32</v>
      </c>
      <c r="I5" s="41" t="s">
        <v>132</v>
      </c>
      <c r="J5" s="42"/>
      <c r="K5" s="42"/>
    </row>
    <row r="7" spans="1:11" ht="15.75" x14ac:dyDescent="0.3">
      <c r="A7" s="15" t="s">
        <v>10</v>
      </c>
      <c r="B7" s="40" t="s">
        <v>82</v>
      </c>
      <c r="C7" s="89">
        <f>$I$2/(1-$H$10)</f>
        <v>68</v>
      </c>
    </row>
    <row r="9" spans="1:11" ht="15.75" x14ac:dyDescent="0.3">
      <c r="B9" s="22"/>
      <c r="C9" s="58" t="s">
        <v>7</v>
      </c>
      <c r="D9" s="58" t="s">
        <v>8</v>
      </c>
      <c r="E9" s="58" t="s">
        <v>9</v>
      </c>
      <c r="F9" s="58" t="s">
        <v>6</v>
      </c>
    </row>
    <row r="10" spans="1:11" ht="15.75" x14ac:dyDescent="0.3">
      <c r="B10" s="23" t="s">
        <v>2</v>
      </c>
      <c r="C10" s="59">
        <f>$I$2</f>
        <v>34</v>
      </c>
      <c r="D10" s="59">
        <f>C$13</f>
        <v>52.5</v>
      </c>
      <c r="E10" s="59">
        <f>D$13</f>
        <v>45</v>
      </c>
      <c r="F10" s="59">
        <f>E$13</f>
        <v>61</v>
      </c>
      <c r="H10" s="83">
        <f>(90-45)/90</f>
        <v>0.5</v>
      </c>
      <c r="I10" s="83"/>
      <c r="J10" s="83">
        <f>(90-36)/90</f>
        <v>0.6</v>
      </c>
      <c r="K10" s="83">
        <f>(90-(90-36))/90</f>
        <v>0.4</v>
      </c>
    </row>
    <row r="11" spans="1:11" ht="15.75" x14ac:dyDescent="0.3">
      <c r="B11" s="23" t="s">
        <v>3</v>
      </c>
      <c r="C11" s="59">
        <v>105</v>
      </c>
      <c r="D11" s="59">
        <v>90</v>
      </c>
      <c r="E11" s="59">
        <v>122</v>
      </c>
      <c r="F11" s="59">
        <v>140</v>
      </c>
    </row>
    <row r="12" spans="1:11" ht="15.75" x14ac:dyDescent="0.3">
      <c r="B12" s="24" t="s">
        <v>96</v>
      </c>
      <c r="C12" s="60">
        <f>($C$7*$H$10)+(C$11*$H$10)</f>
        <v>86.5</v>
      </c>
      <c r="D12" s="60">
        <f>(C$11*$H$10)+(D$11*$H$10)</f>
        <v>97.5</v>
      </c>
      <c r="E12" s="60">
        <f t="shared" ref="E12" si="0">(D$11*$H$10)+(E$11*$H$10)</f>
        <v>106</v>
      </c>
      <c r="F12" s="60">
        <f>(E$11*$H$10)+(F$11*$H$10)</f>
        <v>131</v>
      </c>
    </row>
    <row r="13" spans="1:11" ht="15.75" x14ac:dyDescent="0.3">
      <c r="B13" s="23" t="s">
        <v>5</v>
      </c>
      <c r="C13" s="59">
        <f>C$12-C$10</f>
        <v>52.5</v>
      </c>
      <c r="D13" s="59">
        <f>D$12-D$10</f>
        <v>45</v>
      </c>
      <c r="E13" s="59">
        <f>E$12-E$10</f>
        <v>61</v>
      </c>
      <c r="F13" s="59">
        <f>F$12-F$10</f>
        <v>70</v>
      </c>
    </row>
    <row r="14" spans="1:11" ht="15.75" x14ac:dyDescent="0.3">
      <c r="B14" s="24" t="s">
        <v>97</v>
      </c>
      <c r="C14" s="60">
        <f>((C$11*$A$1)*$K$10)+((D$11*$A$1)*$J$10)</f>
        <v>43.2</v>
      </c>
      <c r="D14" s="60">
        <f t="shared" ref="D14:E14" si="1">((D$11*$A$1)*$K$10)+((E$11*$A$1)*$J$10)</f>
        <v>49.14</v>
      </c>
      <c r="E14" s="60">
        <f t="shared" si="1"/>
        <v>59.76</v>
      </c>
      <c r="F14" s="60">
        <f>((F$11*$A$1)*$K$10)+(($J$1*$A$1)*$J$10)</f>
        <v>57.6</v>
      </c>
    </row>
    <row r="15" spans="1:11" ht="15.75" x14ac:dyDescent="0.3">
      <c r="B15" s="23" t="s">
        <v>50</v>
      </c>
      <c r="C15" s="59">
        <f>C$11*$A$2</f>
        <v>31.5</v>
      </c>
      <c r="D15" s="59">
        <f t="shared" ref="D15:F15" si="2">D$11*$A$2</f>
        <v>27</v>
      </c>
      <c r="E15" s="59">
        <f t="shared" si="2"/>
        <v>36.6</v>
      </c>
      <c r="F15" s="59">
        <f t="shared" si="2"/>
        <v>42</v>
      </c>
    </row>
    <row r="16" spans="1:11" ht="15.75" x14ac:dyDescent="0.3">
      <c r="B16" s="23" t="s">
        <v>92</v>
      </c>
      <c r="C16" s="61"/>
      <c r="D16" s="59">
        <f>$I$4</f>
        <v>40</v>
      </c>
      <c r="E16" s="61"/>
      <c r="F16" s="61"/>
    </row>
    <row r="17" spans="2:7" ht="15.75" x14ac:dyDescent="0.3">
      <c r="B17" s="23" t="s">
        <v>93</v>
      </c>
      <c r="C17" s="59">
        <f>$F$3</f>
        <v>6</v>
      </c>
      <c r="D17" s="59">
        <f t="shared" ref="D17:F17" si="3">$F$3</f>
        <v>6</v>
      </c>
      <c r="E17" s="59">
        <f t="shared" si="3"/>
        <v>6</v>
      </c>
      <c r="F17" s="59">
        <f t="shared" si="3"/>
        <v>6</v>
      </c>
    </row>
    <row r="18" spans="2:7" ht="15.75" x14ac:dyDescent="0.3">
      <c r="B18" s="24" t="s">
        <v>63</v>
      </c>
      <c r="C18" s="60">
        <f>_xlfn.AGGREGATE(9,4,C$14:C$17)</f>
        <v>80.7</v>
      </c>
      <c r="D18" s="60">
        <f t="shared" ref="D18:F18" si="4">_xlfn.AGGREGATE(9,4,D$14:D$17)</f>
        <v>122.14</v>
      </c>
      <c r="E18" s="60">
        <f t="shared" si="4"/>
        <v>102.36</v>
      </c>
      <c r="F18" s="60">
        <f t="shared" si="4"/>
        <v>105.6</v>
      </c>
    </row>
    <row r="19" spans="2:7" ht="15.75" x14ac:dyDescent="0.3">
      <c r="B19" s="24" t="s">
        <v>94</v>
      </c>
      <c r="C19" s="59">
        <f>C$12</f>
        <v>86.5</v>
      </c>
      <c r="D19" s="59">
        <f t="shared" ref="D19:F19" si="5">D$12</f>
        <v>97.5</v>
      </c>
      <c r="E19" s="59">
        <f t="shared" si="5"/>
        <v>106</v>
      </c>
      <c r="F19" s="59">
        <f t="shared" si="5"/>
        <v>131</v>
      </c>
    </row>
    <row r="20" spans="2:7" ht="15.75" x14ac:dyDescent="0.3">
      <c r="B20" s="24" t="s">
        <v>63</v>
      </c>
      <c r="C20" s="60">
        <f>C$18</f>
        <v>80.7</v>
      </c>
      <c r="D20" s="60">
        <f t="shared" ref="D20:F20" si="6">D$18</f>
        <v>122.14</v>
      </c>
      <c r="E20" s="60">
        <f t="shared" si="6"/>
        <v>102.36</v>
      </c>
      <c r="F20" s="60">
        <f t="shared" si="6"/>
        <v>105.6</v>
      </c>
    </row>
    <row r="21" spans="2:7" ht="15.75" x14ac:dyDescent="0.3">
      <c r="B21" s="24" t="s">
        <v>95</v>
      </c>
      <c r="C21" s="60">
        <f>C$19-C$20</f>
        <v>5.7999999999999972</v>
      </c>
      <c r="D21" s="60">
        <f t="shared" ref="D21:F21" si="7">D$19-D$20</f>
        <v>-24.64</v>
      </c>
      <c r="E21" s="60">
        <f t="shared" si="7"/>
        <v>3.6400000000000006</v>
      </c>
      <c r="F21" s="60">
        <f t="shared" si="7"/>
        <v>25.400000000000006</v>
      </c>
    </row>
    <row r="24" spans="2:7" ht="15.75" x14ac:dyDescent="0.3">
      <c r="B24" s="107" t="s">
        <v>98</v>
      </c>
      <c r="C24" s="107"/>
      <c r="D24" s="107"/>
      <c r="E24" s="107"/>
      <c r="F24" s="107"/>
      <c r="G24" s="107"/>
    </row>
    <row r="25" spans="2:7" ht="15.75" x14ac:dyDescent="0.3">
      <c r="B25" s="22"/>
      <c r="C25" s="58" t="s">
        <v>7</v>
      </c>
      <c r="D25" s="58" t="s">
        <v>8</v>
      </c>
      <c r="E25" s="58" t="s">
        <v>9</v>
      </c>
      <c r="F25" s="58" t="s">
        <v>6</v>
      </c>
      <c r="G25" s="22"/>
    </row>
    <row r="26" spans="2:7" ht="15.75" x14ac:dyDescent="0.3">
      <c r="B26" s="23" t="s">
        <v>54</v>
      </c>
      <c r="C26" s="59">
        <f>$H$5</f>
        <v>32</v>
      </c>
      <c r="D26" s="59">
        <f>C$26+C$27</f>
        <v>37.799999999999997</v>
      </c>
      <c r="E26" s="59">
        <f>D$26+D$27</f>
        <v>13.159999999999997</v>
      </c>
      <c r="F26" s="59">
        <f>E$26+E$27</f>
        <v>16.799999999999997</v>
      </c>
      <c r="G26" s="22"/>
    </row>
    <row r="27" spans="2:7" ht="15.75" x14ac:dyDescent="0.3">
      <c r="B27" s="23" t="s">
        <v>95</v>
      </c>
      <c r="C27" s="59">
        <f>C$21</f>
        <v>5.7999999999999972</v>
      </c>
      <c r="D27" s="59">
        <f>D$21</f>
        <v>-24.64</v>
      </c>
      <c r="E27" s="59">
        <f t="shared" ref="E27:F27" si="8">E$21</f>
        <v>3.6400000000000006</v>
      </c>
      <c r="F27" s="59">
        <f t="shared" si="8"/>
        <v>25.400000000000006</v>
      </c>
      <c r="G27" s="22"/>
    </row>
    <row r="28" spans="2:7" ht="15.75" x14ac:dyDescent="0.3">
      <c r="B28" s="23" t="s">
        <v>64</v>
      </c>
      <c r="C28" s="59">
        <f>SUM(C$26:C$27)</f>
        <v>37.799999999999997</v>
      </c>
      <c r="D28" s="59">
        <f t="shared" ref="D28:F28" si="9">SUM(D$26:D$27)</f>
        <v>13.159999999999997</v>
      </c>
      <c r="E28" s="59">
        <f t="shared" si="9"/>
        <v>16.799999999999997</v>
      </c>
      <c r="F28" s="59">
        <f t="shared" si="9"/>
        <v>42.2</v>
      </c>
      <c r="G28" s="22"/>
    </row>
    <row r="29" spans="2:7" ht="15.75" x14ac:dyDescent="0.3">
      <c r="B29" s="23" t="s">
        <v>99</v>
      </c>
      <c r="C29" s="62">
        <v>-15</v>
      </c>
      <c r="D29" s="62">
        <v>-15</v>
      </c>
      <c r="E29" s="62">
        <v>-15</v>
      </c>
      <c r="F29" s="62">
        <v>-15</v>
      </c>
      <c r="G29" s="22"/>
    </row>
    <row r="30" spans="2:7" ht="15.75" x14ac:dyDescent="0.3">
      <c r="B30" s="23" t="s">
        <v>100</v>
      </c>
      <c r="C30" s="60">
        <f t="shared" ref="C30:F30" si="10">SUM(C$28:C$29)</f>
        <v>22.799999999999997</v>
      </c>
      <c r="D30" s="60">
        <f t="shared" si="10"/>
        <v>-1.8400000000000034</v>
      </c>
      <c r="E30" s="60">
        <f t="shared" si="10"/>
        <v>1.7999999999999972</v>
      </c>
      <c r="F30" s="60">
        <f t="shared" si="10"/>
        <v>27.200000000000003</v>
      </c>
      <c r="G30" s="38"/>
    </row>
    <row r="34" spans="1:7" ht="15.75" x14ac:dyDescent="0.3">
      <c r="A34" s="39" t="s">
        <v>11</v>
      </c>
      <c r="B34" s="107" t="s">
        <v>101</v>
      </c>
      <c r="C34" s="107"/>
      <c r="D34" s="107"/>
      <c r="E34" s="107"/>
      <c r="F34" s="107"/>
      <c r="G34" s="107"/>
    </row>
    <row r="35" spans="1:7" ht="15.75" x14ac:dyDescent="0.3">
      <c r="A35" s="42"/>
      <c r="B35" s="42"/>
      <c r="C35" s="22"/>
      <c r="D35" s="22"/>
      <c r="E35" s="22"/>
      <c r="F35" s="22"/>
      <c r="G35" s="22"/>
    </row>
    <row r="36" spans="1:7" ht="15.75" x14ac:dyDescent="0.3">
      <c r="A36" s="42"/>
      <c r="B36" s="22"/>
      <c r="C36" s="63" t="s">
        <v>7</v>
      </c>
      <c r="D36" s="63" t="s">
        <v>8</v>
      </c>
      <c r="E36" s="63" t="s">
        <v>9</v>
      </c>
      <c r="F36" s="63" t="s">
        <v>6</v>
      </c>
      <c r="G36" s="22"/>
    </row>
    <row r="37" spans="1:7" ht="15.75" x14ac:dyDescent="0.3">
      <c r="A37" s="42"/>
      <c r="B37" s="23" t="s">
        <v>54</v>
      </c>
      <c r="C37" s="59">
        <v>15</v>
      </c>
      <c r="D37" s="59">
        <v>15</v>
      </c>
      <c r="E37" s="59">
        <v>15</v>
      </c>
      <c r="F37" s="59">
        <v>15</v>
      </c>
      <c r="G37" s="22"/>
    </row>
    <row r="38" spans="1:7" ht="15.75" x14ac:dyDescent="0.3">
      <c r="A38" s="42"/>
      <c r="B38" s="23" t="s">
        <v>95</v>
      </c>
      <c r="C38" s="59">
        <f>C$27</f>
        <v>5.7999999999999972</v>
      </c>
      <c r="D38" s="59">
        <f t="shared" ref="D38:F38" si="11">D$27</f>
        <v>-24.64</v>
      </c>
      <c r="E38" s="59">
        <f t="shared" si="11"/>
        <v>3.6400000000000006</v>
      </c>
      <c r="F38" s="59">
        <f t="shared" si="11"/>
        <v>25.400000000000006</v>
      </c>
      <c r="G38" s="22"/>
    </row>
    <row r="39" spans="1:7" ht="15.75" x14ac:dyDescent="0.3">
      <c r="A39" s="42"/>
      <c r="B39" s="24" t="s">
        <v>102</v>
      </c>
      <c r="C39" s="62">
        <f>-C$38-C$40</f>
        <v>-6.139999999999997</v>
      </c>
      <c r="D39" s="59">
        <v>0</v>
      </c>
      <c r="E39" s="62">
        <f>-E38-E44-E43</f>
        <v>-2.5716839999999985</v>
      </c>
      <c r="F39" s="93">
        <f>-F38-F40</f>
        <v>-25.451433680000005</v>
      </c>
      <c r="G39" s="22"/>
    </row>
    <row r="40" spans="1:7" ht="15.75" x14ac:dyDescent="0.3">
      <c r="A40" s="42"/>
      <c r="B40" s="24" t="s">
        <v>103</v>
      </c>
      <c r="C40" s="59">
        <f>C$48*$A$4</f>
        <v>0.34</v>
      </c>
      <c r="D40" s="59">
        <f>D$48*$A$4</f>
        <v>0.46279999999999993</v>
      </c>
      <c r="E40" s="59">
        <v>0</v>
      </c>
      <c r="F40" s="62">
        <f>F48*$A$4</f>
        <v>5.1433679999999975E-2</v>
      </c>
      <c r="G40" s="22"/>
    </row>
    <row r="41" spans="1:7" ht="15.75" x14ac:dyDescent="0.3">
      <c r="A41" s="42"/>
      <c r="B41" s="23" t="s">
        <v>104</v>
      </c>
      <c r="C41" s="59">
        <v>0</v>
      </c>
      <c r="D41" s="59">
        <f>D48</f>
        <v>23.139999999999997</v>
      </c>
      <c r="E41" s="59">
        <v>0</v>
      </c>
      <c r="F41" s="59">
        <v>0</v>
      </c>
      <c r="G41" s="22"/>
    </row>
    <row r="42" spans="1:7" ht="15.75" x14ac:dyDescent="0.3">
      <c r="A42" s="42"/>
      <c r="B42" s="23" t="s">
        <v>105</v>
      </c>
      <c r="C42" s="59">
        <v>0</v>
      </c>
      <c r="D42" s="59">
        <f>-D38-(D41+D40)</f>
        <v>1.0372000000000021</v>
      </c>
      <c r="E42" s="59">
        <v>0</v>
      </c>
      <c r="F42" s="59">
        <v>0</v>
      </c>
      <c r="G42" s="22"/>
    </row>
    <row r="43" spans="1:7" ht="15.75" x14ac:dyDescent="0.3">
      <c r="A43" s="42"/>
      <c r="B43" s="23" t="s">
        <v>106</v>
      </c>
      <c r="C43" s="59">
        <v>0</v>
      </c>
      <c r="D43" s="59">
        <v>0</v>
      </c>
      <c r="E43" s="62">
        <f>-D42*$A$3</f>
        <v>-3.1116000000000064E-2</v>
      </c>
      <c r="F43" s="59">
        <v>0</v>
      </c>
      <c r="G43" s="22"/>
    </row>
    <row r="44" spans="1:7" ht="18" customHeight="1" x14ac:dyDescent="0.3">
      <c r="A44" s="42"/>
      <c r="B44" s="23" t="s">
        <v>111</v>
      </c>
      <c r="C44" s="59">
        <v>0</v>
      </c>
      <c r="D44" s="59">
        <v>0</v>
      </c>
      <c r="E44" s="62">
        <f>-D42</f>
        <v>-1.0372000000000021</v>
      </c>
      <c r="F44" s="59">
        <v>0</v>
      </c>
      <c r="G44" s="22"/>
    </row>
    <row r="45" spans="1:7" ht="15.75" x14ac:dyDescent="0.3">
      <c r="A45" s="42"/>
      <c r="B45" s="24" t="s">
        <v>64</v>
      </c>
      <c r="C45" s="64">
        <f>SUM(C$37:C$44)</f>
        <v>15</v>
      </c>
      <c r="D45" s="64">
        <f t="shared" ref="D45:F45" si="12">SUM(D$37:D$44)</f>
        <v>14.999999999999998</v>
      </c>
      <c r="E45" s="64">
        <f t="shared" si="12"/>
        <v>15</v>
      </c>
      <c r="F45" s="64">
        <f t="shared" si="12"/>
        <v>15.000000000000002</v>
      </c>
      <c r="G45" s="22"/>
    </row>
    <row r="46" spans="1:7" ht="16.5" customHeight="1" x14ac:dyDescent="0.3">
      <c r="A46" s="42"/>
      <c r="B46" s="23" t="s">
        <v>112</v>
      </c>
      <c r="C46" s="65">
        <v>-15</v>
      </c>
      <c r="D46" s="65">
        <v>-15</v>
      </c>
      <c r="E46" s="65">
        <v>-15</v>
      </c>
      <c r="F46" s="65">
        <v>-15</v>
      </c>
      <c r="G46" s="22"/>
    </row>
    <row r="47" spans="1:7" ht="15.75" x14ac:dyDescent="0.3">
      <c r="A47" s="42"/>
      <c r="B47" s="23" t="s">
        <v>100</v>
      </c>
      <c r="C47" s="59">
        <f>SUM(C$45:C$46)</f>
        <v>0</v>
      </c>
      <c r="D47" s="59">
        <f t="shared" ref="D47:F47" si="13">SUM(D$45:D$46)</f>
        <v>0</v>
      </c>
      <c r="E47" s="59">
        <f t="shared" si="13"/>
        <v>0</v>
      </c>
      <c r="F47" s="59">
        <f t="shared" si="13"/>
        <v>0</v>
      </c>
      <c r="G47" s="22"/>
    </row>
    <row r="48" spans="1:7" ht="15.75" x14ac:dyDescent="0.3">
      <c r="A48" s="42"/>
      <c r="B48" s="24" t="s">
        <v>107</v>
      </c>
      <c r="C48" s="59">
        <f>C$30-C$38</f>
        <v>17</v>
      </c>
      <c r="D48" s="59">
        <f>C$49</f>
        <v>23.139999999999997</v>
      </c>
      <c r="E48" s="59">
        <f>D49</f>
        <v>0</v>
      </c>
      <c r="F48" s="59">
        <f>E49</f>
        <v>2.5716839999999985</v>
      </c>
      <c r="G48" s="22"/>
    </row>
    <row r="49" spans="1:7" ht="15.75" x14ac:dyDescent="0.3">
      <c r="A49" s="42"/>
      <c r="B49" s="24" t="s">
        <v>108</v>
      </c>
      <c r="C49" s="59">
        <f>C$48+-C$39</f>
        <v>23.139999999999997</v>
      </c>
      <c r="D49" s="59">
        <v>0</v>
      </c>
      <c r="E49" s="59">
        <f>-E39</f>
        <v>2.5716839999999985</v>
      </c>
      <c r="F49" s="59">
        <f>-F39+F48</f>
        <v>28.023117680000002</v>
      </c>
      <c r="G49" s="22"/>
    </row>
    <row r="50" spans="1:7" ht="15.75" x14ac:dyDescent="0.3">
      <c r="A50" s="42"/>
      <c r="B50" s="23" t="s">
        <v>109</v>
      </c>
      <c r="C50" s="59">
        <v>0</v>
      </c>
      <c r="D50" s="59">
        <v>0</v>
      </c>
      <c r="E50" s="59">
        <f>-E44</f>
        <v>1.0372000000000021</v>
      </c>
      <c r="F50" s="59">
        <v>0</v>
      </c>
      <c r="G50" s="22"/>
    </row>
    <row r="51" spans="1:7" ht="15.75" x14ac:dyDescent="0.3">
      <c r="A51" s="42"/>
      <c r="B51" s="23" t="s">
        <v>110</v>
      </c>
      <c r="C51" s="59">
        <v>0</v>
      </c>
      <c r="D51" s="59">
        <f>D42</f>
        <v>1.0372000000000021</v>
      </c>
      <c r="E51" s="59">
        <v>0</v>
      </c>
      <c r="F51" s="59">
        <v>0</v>
      </c>
      <c r="G51" s="22"/>
    </row>
    <row r="54" spans="1:7" ht="15.75" x14ac:dyDescent="0.3">
      <c r="B54" s="66" t="s">
        <v>113</v>
      </c>
      <c r="C54" s="93">
        <f>C40+D40+E43+F40</f>
        <v>0.82311767999999985</v>
      </c>
    </row>
    <row r="56" spans="1:7" ht="15.75" customHeight="1" x14ac:dyDescent="0.3">
      <c r="A56" s="15" t="s">
        <v>10</v>
      </c>
    </row>
    <row r="57" spans="1:7" ht="15.6" customHeight="1" x14ac:dyDescent="0.3">
      <c r="B57" s="107" t="s">
        <v>98</v>
      </c>
      <c r="C57" s="107"/>
      <c r="D57" s="107"/>
      <c r="E57" s="107"/>
      <c r="F57" s="107"/>
      <c r="G57" s="107"/>
    </row>
    <row r="58" spans="1:7" ht="15.75" x14ac:dyDescent="0.3">
      <c r="B58" s="22"/>
      <c r="C58" s="58" t="s">
        <v>7</v>
      </c>
      <c r="D58" s="58" t="s">
        <v>8</v>
      </c>
      <c r="E58" s="58" t="s">
        <v>9</v>
      </c>
      <c r="F58" s="58" t="s">
        <v>6</v>
      </c>
      <c r="G58" s="22"/>
    </row>
    <row r="59" spans="1:7" ht="15.75" x14ac:dyDescent="0.3">
      <c r="B59" s="23" t="s">
        <v>54</v>
      </c>
      <c r="C59" s="59">
        <f>$H$5</f>
        <v>32</v>
      </c>
      <c r="D59" s="59">
        <f>C$26+C$27</f>
        <v>37.799999999999997</v>
      </c>
      <c r="E59" s="59">
        <f>D$26+D$27</f>
        <v>13.159999999999997</v>
      </c>
      <c r="F59" s="59">
        <f>E$26+E$27</f>
        <v>16.799999999999997</v>
      </c>
      <c r="G59" s="22"/>
    </row>
    <row r="60" spans="1:7" ht="15.75" x14ac:dyDescent="0.3">
      <c r="B60" s="23" t="s">
        <v>95</v>
      </c>
      <c r="C60" s="59">
        <f>C$21</f>
        <v>5.7999999999999972</v>
      </c>
      <c r="D60" s="59">
        <f>D$21</f>
        <v>-24.64</v>
      </c>
      <c r="E60" s="59">
        <f t="shared" ref="E60:F60" si="14">E$21</f>
        <v>3.6400000000000006</v>
      </c>
      <c r="F60" s="59">
        <f t="shared" si="14"/>
        <v>25.400000000000006</v>
      </c>
      <c r="G60" s="22"/>
    </row>
    <row r="61" spans="1:7" ht="15.75" x14ac:dyDescent="0.3">
      <c r="B61" s="23" t="s">
        <v>64</v>
      </c>
      <c r="C61" s="59">
        <f>SUM(C$26:C$27)</f>
        <v>37.799999999999997</v>
      </c>
      <c r="D61" s="59">
        <f t="shared" ref="D61:F61" si="15">SUM(D$26:D$27)</f>
        <v>13.159999999999997</v>
      </c>
      <c r="E61" s="59">
        <f t="shared" si="15"/>
        <v>16.799999999999997</v>
      </c>
      <c r="F61" s="59">
        <f t="shared" si="15"/>
        <v>42.2</v>
      </c>
      <c r="G61" s="22"/>
    </row>
    <row r="62" spans="1:7" ht="15.75" x14ac:dyDescent="0.3">
      <c r="B62" s="23" t="s">
        <v>99</v>
      </c>
      <c r="C62" s="62">
        <v>-20</v>
      </c>
      <c r="D62" s="62">
        <v>-20</v>
      </c>
      <c r="E62" s="62">
        <v>-20</v>
      </c>
      <c r="F62" s="62">
        <v>-20</v>
      </c>
      <c r="G62" s="22"/>
    </row>
    <row r="63" spans="1:7" ht="15.75" x14ac:dyDescent="0.3">
      <c r="B63" s="23" t="s">
        <v>100</v>
      </c>
      <c r="C63" s="60">
        <f>SUM(C$61:C$62)</f>
        <v>17.799999999999997</v>
      </c>
      <c r="D63" s="60">
        <f t="shared" ref="D63:F63" si="16">SUM(D$61:D$62)</f>
        <v>-6.8400000000000034</v>
      </c>
      <c r="E63" s="60">
        <f t="shared" si="16"/>
        <v>-3.2000000000000028</v>
      </c>
      <c r="F63" s="60">
        <f t="shared" si="16"/>
        <v>22.200000000000003</v>
      </c>
      <c r="G63" s="38"/>
    </row>
    <row r="67" spans="1:7" ht="15.6" customHeight="1" x14ac:dyDescent="0.3">
      <c r="A67" s="39"/>
      <c r="B67" s="107" t="s">
        <v>101</v>
      </c>
      <c r="C67" s="107"/>
      <c r="D67" s="107"/>
      <c r="E67" s="107"/>
      <c r="F67" s="107"/>
      <c r="G67" s="107"/>
    </row>
    <row r="68" spans="1:7" ht="15.75" x14ac:dyDescent="0.3">
      <c r="A68" s="42"/>
      <c r="B68" s="42"/>
      <c r="C68" s="22"/>
      <c r="D68" s="22"/>
      <c r="E68" s="22"/>
      <c r="F68" s="22"/>
      <c r="G68" s="22"/>
    </row>
    <row r="69" spans="1:7" ht="15.75" x14ac:dyDescent="0.3">
      <c r="A69" s="42"/>
      <c r="B69" s="22"/>
      <c r="C69" s="63" t="s">
        <v>7</v>
      </c>
      <c r="D69" s="63" t="s">
        <v>8</v>
      </c>
      <c r="E69" s="63" t="s">
        <v>9</v>
      </c>
      <c r="F69" s="63" t="s">
        <v>6</v>
      </c>
      <c r="G69" s="22"/>
    </row>
    <row r="70" spans="1:7" ht="15.75" x14ac:dyDescent="0.3">
      <c r="A70" s="42"/>
      <c r="B70" s="67" t="s">
        <v>54</v>
      </c>
      <c r="C70" s="59">
        <v>20</v>
      </c>
      <c r="D70" s="59">
        <v>20</v>
      </c>
      <c r="E70" s="59">
        <v>20</v>
      </c>
      <c r="F70" s="59">
        <v>20</v>
      </c>
      <c r="G70" s="22"/>
    </row>
    <row r="71" spans="1:7" ht="15.75" x14ac:dyDescent="0.3">
      <c r="A71" s="42"/>
      <c r="B71" s="67" t="s">
        <v>95</v>
      </c>
      <c r="C71" s="59">
        <f>C$27</f>
        <v>5.7999999999999972</v>
      </c>
      <c r="D71" s="59">
        <f t="shared" ref="D71:F71" si="17">D$27</f>
        <v>-24.64</v>
      </c>
      <c r="E71" s="59">
        <f t="shared" si="17"/>
        <v>3.6400000000000006</v>
      </c>
      <c r="F71" s="59">
        <f t="shared" si="17"/>
        <v>25.400000000000006</v>
      </c>
      <c r="G71" s="22"/>
    </row>
    <row r="72" spans="1:7" ht="15.75" x14ac:dyDescent="0.3">
      <c r="A72" s="42"/>
      <c r="B72" s="68" t="s">
        <v>102</v>
      </c>
      <c r="C72" s="62">
        <f>-C71-C73</f>
        <v>-6.0399999999999974</v>
      </c>
      <c r="D72" s="59">
        <v>0</v>
      </c>
      <c r="E72" s="62">
        <v>0</v>
      </c>
      <c r="F72" s="93">
        <f>-F71-F77-F76</f>
        <v>-22.530032720000005</v>
      </c>
      <c r="G72" s="22"/>
    </row>
    <row r="73" spans="1:7" ht="15.75" x14ac:dyDescent="0.3">
      <c r="A73" s="42"/>
      <c r="B73" s="68" t="s">
        <v>103</v>
      </c>
      <c r="C73" s="59">
        <f>C81*$A$4</f>
        <v>0.24</v>
      </c>
      <c r="D73" s="59">
        <f>D81*$A$4</f>
        <v>0.36080000000000001</v>
      </c>
      <c r="E73" s="59">
        <v>0</v>
      </c>
      <c r="F73" s="62">
        <f>F81*0.02</f>
        <v>0</v>
      </c>
      <c r="G73" s="22"/>
    </row>
    <row r="74" spans="1:7" ht="15.75" x14ac:dyDescent="0.3">
      <c r="A74" s="42"/>
      <c r="B74" s="67" t="s">
        <v>104</v>
      </c>
      <c r="C74" s="59">
        <v>0</v>
      </c>
      <c r="D74" s="59">
        <f>D81</f>
        <v>18.04</v>
      </c>
      <c r="E74" s="59">
        <v>0</v>
      </c>
      <c r="F74" s="59">
        <v>0</v>
      </c>
      <c r="G74" s="22"/>
    </row>
    <row r="75" spans="1:7" ht="15.75" x14ac:dyDescent="0.3">
      <c r="A75" s="42"/>
      <c r="B75" s="67" t="s">
        <v>105</v>
      </c>
      <c r="C75" s="59">
        <v>0</v>
      </c>
      <c r="D75" s="59">
        <f>-D71-(D74+D73)</f>
        <v>6.2392000000000003</v>
      </c>
      <c r="E75" s="59">
        <v>0</v>
      </c>
      <c r="F75" s="59">
        <v>0</v>
      </c>
      <c r="G75" s="22"/>
    </row>
    <row r="76" spans="1:7" ht="15.75" x14ac:dyDescent="0.3">
      <c r="A76" s="42"/>
      <c r="B76" s="67" t="s">
        <v>106</v>
      </c>
      <c r="C76" s="59">
        <v>0</v>
      </c>
      <c r="D76" s="59">
        <v>0</v>
      </c>
      <c r="E76" s="62">
        <f>-D75*$A$3</f>
        <v>-0.18717600000000001</v>
      </c>
      <c r="F76" s="59">
        <f>-E84*$A$3</f>
        <v>-8.359127999999999E-2</v>
      </c>
      <c r="G76" s="22"/>
    </row>
    <row r="77" spans="1:7" ht="15.6" customHeight="1" x14ac:dyDescent="0.3">
      <c r="A77" s="42"/>
      <c r="B77" s="67" t="s">
        <v>111</v>
      </c>
      <c r="C77" s="59">
        <v>0</v>
      </c>
      <c r="D77" s="59">
        <v>0</v>
      </c>
      <c r="E77" s="62">
        <f>-E71-E76</f>
        <v>-3.4528240000000006</v>
      </c>
      <c r="F77" s="59">
        <f>-E84</f>
        <v>-2.7863759999999997</v>
      </c>
      <c r="G77" s="22"/>
    </row>
    <row r="78" spans="1:7" ht="15.75" x14ac:dyDescent="0.3">
      <c r="A78" s="42"/>
      <c r="B78" s="68" t="s">
        <v>64</v>
      </c>
      <c r="C78" s="64">
        <f>SUM(C70:C77)</f>
        <v>19.999999999999996</v>
      </c>
      <c r="D78" s="64">
        <f t="shared" ref="D78:F78" si="18">SUM(D70:D77)</f>
        <v>20</v>
      </c>
      <c r="E78" s="64">
        <f t="shared" si="18"/>
        <v>20</v>
      </c>
      <c r="F78" s="64">
        <f t="shared" si="18"/>
        <v>20</v>
      </c>
      <c r="G78" s="22"/>
    </row>
    <row r="79" spans="1:7" ht="31.5" x14ac:dyDescent="0.3">
      <c r="A79" s="42"/>
      <c r="B79" s="67" t="s">
        <v>112</v>
      </c>
      <c r="C79" s="65">
        <v>-20</v>
      </c>
      <c r="D79" s="65">
        <v>-20</v>
      </c>
      <c r="E79" s="65">
        <v>-20</v>
      </c>
      <c r="F79" s="65">
        <v>-20</v>
      </c>
      <c r="G79" s="22"/>
    </row>
    <row r="80" spans="1:7" ht="15.75" x14ac:dyDescent="0.3">
      <c r="A80" s="42"/>
      <c r="B80" s="67" t="s">
        <v>100</v>
      </c>
      <c r="C80" s="59">
        <f>SUM(C78:C79)</f>
        <v>0</v>
      </c>
      <c r="D80" s="59">
        <f t="shared" ref="D80:F80" si="19">SUM(D78:D79)</f>
        <v>0</v>
      </c>
      <c r="E80" s="59">
        <f t="shared" si="19"/>
        <v>0</v>
      </c>
      <c r="F80" s="59">
        <f t="shared" si="19"/>
        <v>0</v>
      </c>
      <c r="G80" s="22"/>
    </row>
    <row r="81" spans="1:7" ht="15.75" x14ac:dyDescent="0.3">
      <c r="A81" s="42"/>
      <c r="B81" s="68" t="s">
        <v>107</v>
      </c>
      <c r="C81" s="59">
        <f>C63-C71</f>
        <v>12</v>
      </c>
      <c r="D81" s="59">
        <f>C82</f>
        <v>18.04</v>
      </c>
      <c r="E81" s="59">
        <f>D82</f>
        <v>0</v>
      </c>
      <c r="F81" s="59">
        <f>E82</f>
        <v>0</v>
      </c>
      <c r="G81" s="22"/>
    </row>
    <row r="82" spans="1:7" ht="15.75" x14ac:dyDescent="0.3">
      <c r="A82" s="42"/>
      <c r="B82" s="68" t="s">
        <v>108</v>
      </c>
      <c r="C82" s="59">
        <f>C81+-C72</f>
        <v>18.04</v>
      </c>
      <c r="D82" s="59">
        <v>0</v>
      </c>
      <c r="E82" s="59">
        <f>-E72</f>
        <v>0</v>
      </c>
      <c r="F82" s="59">
        <f>-F72+F81</f>
        <v>22.530032720000005</v>
      </c>
      <c r="G82" s="22"/>
    </row>
    <row r="83" spans="1:7" ht="15.75" x14ac:dyDescent="0.3">
      <c r="A83" s="42"/>
      <c r="B83" s="67" t="s">
        <v>109</v>
      </c>
      <c r="C83" s="59">
        <v>0</v>
      </c>
      <c r="D83" s="59">
        <v>0</v>
      </c>
      <c r="E83" s="59">
        <f>D75</f>
        <v>6.2392000000000003</v>
      </c>
      <c r="F83" s="59">
        <f>-F77</f>
        <v>2.7863759999999997</v>
      </c>
      <c r="G83" s="22"/>
    </row>
    <row r="84" spans="1:7" ht="15.75" x14ac:dyDescent="0.3">
      <c r="A84" s="42"/>
      <c r="B84" s="67" t="s">
        <v>110</v>
      </c>
      <c r="C84" s="59">
        <v>0</v>
      </c>
      <c r="D84" s="59">
        <f>D75</f>
        <v>6.2392000000000003</v>
      </c>
      <c r="E84" s="59">
        <f>E83+E77</f>
        <v>2.7863759999999997</v>
      </c>
      <c r="F84" s="59">
        <v>0</v>
      </c>
      <c r="G84" s="22"/>
    </row>
    <row r="87" spans="1:7" ht="15.75" x14ac:dyDescent="0.3">
      <c r="B87" s="66" t="s">
        <v>113</v>
      </c>
      <c r="C87" s="93">
        <f>C73+D73+E76+F76</f>
        <v>0.33003272</v>
      </c>
    </row>
    <row r="90" spans="1:7" ht="15.75" x14ac:dyDescent="0.3">
      <c r="A90" s="15" t="s">
        <v>11</v>
      </c>
    </row>
    <row r="91" spans="1:7" ht="15.6" customHeight="1" x14ac:dyDescent="0.3">
      <c r="B91" s="107" t="s">
        <v>98</v>
      </c>
      <c r="C91" s="107"/>
      <c r="D91" s="107"/>
      <c r="E91" s="107"/>
      <c r="F91" s="107"/>
      <c r="G91" s="107"/>
    </row>
    <row r="92" spans="1:7" ht="15.75" x14ac:dyDescent="0.3">
      <c r="B92" s="22"/>
      <c r="C92" s="58" t="s">
        <v>7</v>
      </c>
      <c r="D92" s="58" t="s">
        <v>8</v>
      </c>
      <c r="E92" s="58" t="s">
        <v>9</v>
      </c>
      <c r="F92" s="58" t="s">
        <v>6</v>
      </c>
      <c r="G92" s="22"/>
    </row>
    <row r="93" spans="1:7" ht="15.75" x14ac:dyDescent="0.3">
      <c r="B93" s="67" t="s">
        <v>54</v>
      </c>
      <c r="C93" s="59">
        <f>$H$5</f>
        <v>32</v>
      </c>
      <c r="D93" s="59">
        <f>C$26+C$27</f>
        <v>37.799999999999997</v>
      </c>
      <c r="E93" s="59">
        <f>D$26+D$27</f>
        <v>13.159999999999997</v>
      </c>
      <c r="F93" s="59">
        <f>E$26+E$27</f>
        <v>16.799999999999997</v>
      </c>
      <c r="G93" s="22"/>
    </row>
    <row r="94" spans="1:7" ht="15.75" x14ac:dyDescent="0.3">
      <c r="B94" s="67" t="s">
        <v>95</v>
      </c>
      <c r="C94" s="59">
        <f>C$21</f>
        <v>5.7999999999999972</v>
      </c>
      <c r="D94" s="59">
        <f>D$21</f>
        <v>-24.64</v>
      </c>
      <c r="E94" s="59">
        <f t="shared" ref="E94:F94" si="20">E$21</f>
        <v>3.6400000000000006</v>
      </c>
      <c r="F94" s="59">
        <f t="shared" si="20"/>
        <v>25.400000000000006</v>
      </c>
      <c r="G94" s="22"/>
    </row>
    <row r="95" spans="1:7" ht="15.75" x14ac:dyDescent="0.3">
      <c r="B95" s="67" t="s">
        <v>64</v>
      </c>
      <c r="C95" s="59">
        <f>SUM(C$26:C$27)</f>
        <v>37.799999999999997</v>
      </c>
      <c r="D95" s="59">
        <f t="shared" ref="D95:F95" si="21">SUM(D$26:D$27)</f>
        <v>13.159999999999997</v>
      </c>
      <c r="E95" s="59">
        <f t="shared" si="21"/>
        <v>16.799999999999997</v>
      </c>
      <c r="F95" s="59">
        <f t="shared" si="21"/>
        <v>42.2</v>
      </c>
      <c r="G95" s="22"/>
    </row>
    <row r="96" spans="1:7" ht="15.75" x14ac:dyDescent="0.3">
      <c r="B96" s="67" t="s">
        <v>99</v>
      </c>
      <c r="C96" s="62">
        <v>-10</v>
      </c>
      <c r="D96" s="62">
        <v>-10</v>
      </c>
      <c r="E96" s="62">
        <v>-10</v>
      </c>
      <c r="F96" s="62">
        <v>-10</v>
      </c>
      <c r="G96" s="22"/>
    </row>
    <row r="97" spans="1:7" ht="15.75" x14ac:dyDescent="0.3">
      <c r="B97" s="67" t="s">
        <v>100</v>
      </c>
      <c r="C97" s="60">
        <f>SUM(C95:C96)</f>
        <v>27.799999999999997</v>
      </c>
      <c r="D97" s="60">
        <f t="shared" ref="D97:F97" si="22">SUM(D95:D96)</f>
        <v>3.1599999999999966</v>
      </c>
      <c r="E97" s="60">
        <f t="shared" si="22"/>
        <v>6.7999999999999972</v>
      </c>
      <c r="F97" s="60">
        <f t="shared" si="22"/>
        <v>32.200000000000003</v>
      </c>
      <c r="G97" s="38"/>
    </row>
    <row r="101" spans="1:7" ht="15.6" customHeight="1" x14ac:dyDescent="0.3">
      <c r="A101" s="39"/>
      <c r="B101" s="107" t="s">
        <v>101</v>
      </c>
      <c r="C101" s="107"/>
      <c r="D101" s="107"/>
      <c r="E101" s="107"/>
      <c r="F101" s="107"/>
      <c r="G101" s="107"/>
    </row>
    <row r="102" spans="1:7" ht="15.75" x14ac:dyDescent="0.3">
      <c r="A102" s="42"/>
      <c r="B102" s="42"/>
      <c r="C102" s="22"/>
      <c r="D102" s="22"/>
      <c r="E102" s="22"/>
      <c r="F102" s="22"/>
      <c r="G102" s="22"/>
    </row>
    <row r="103" spans="1:7" ht="15.75" x14ac:dyDescent="0.3">
      <c r="A103" s="42"/>
      <c r="B103" s="22"/>
      <c r="C103" s="63" t="s">
        <v>7</v>
      </c>
      <c r="D103" s="63" t="s">
        <v>8</v>
      </c>
      <c r="E103" s="63" t="s">
        <v>9</v>
      </c>
      <c r="F103" s="63" t="s">
        <v>6</v>
      </c>
      <c r="G103" s="22"/>
    </row>
    <row r="104" spans="1:7" ht="15.75" x14ac:dyDescent="0.3">
      <c r="A104" s="42"/>
      <c r="B104" s="23" t="s">
        <v>54</v>
      </c>
      <c r="C104" s="59">
        <v>10</v>
      </c>
      <c r="D104" s="59">
        <v>10</v>
      </c>
      <c r="E104" s="59">
        <v>10</v>
      </c>
      <c r="F104" s="59">
        <v>10</v>
      </c>
      <c r="G104" s="22"/>
    </row>
    <row r="105" spans="1:7" ht="15.75" x14ac:dyDescent="0.3">
      <c r="A105" s="42"/>
      <c r="B105" s="23" t="s">
        <v>95</v>
      </c>
      <c r="C105" s="59">
        <f>C$27</f>
        <v>5.7999999999999972</v>
      </c>
      <c r="D105" s="59">
        <f t="shared" ref="D105:F105" si="23">D$27</f>
        <v>-24.64</v>
      </c>
      <c r="E105" s="59">
        <f t="shared" si="23"/>
        <v>3.6400000000000006</v>
      </c>
      <c r="F105" s="59">
        <f t="shared" si="23"/>
        <v>25.400000000000006</v>
      </c>
      <c r="G105" s="22"/>
    </row>
    <row r="106" spans="1:7" ht="15.75" x14ac:dyDescent="0.3">
      <c r="A106" s="42"/>
      <c r="B106" s="24" t="s">
        <v>102</v>
      </c>
      <c r="C106" s="62">
        <f>-C105-C107</f>
        <v>-6.2399999999999975</v>
      </c>
      <c r="D106" s="59">
        <v>0</v>
      </c>
      <c r="E106" s="62">
        <f>-E116--E115</f>
        <v>-3.7232960000000004</v>
      </c>
      <c r="F106" s="93">
        <f>-F116--F115</f>
        <v>-25.557761920000008</v>
      </c>
      <c r="G106" s="22"/>
    </row>
    <row r="107" spans="1:7" ht="15.75" x14ac:dyDescent="0.3">
      <c r="A107" s="42"/>
      <c r="B107" s="24" t="s">
        <v>103</v>
      </c>
      <c r="C107" s="59">
        <f>C115*$A$4</f>
        <v>0.44</v>
      </c>
      <c r="D107" s="59">
        <f>D115*$A$4</f>
        <v>0.56479999999999997</v>
      </c>
      <c r="E107" s="59">
        <f>E115*$A$4</f>
        <v>8.3295999999999995E-2</v>
      </c>
      <c r="F107" s="62">
        <f>F115*$A$4</f>
        <v>0.15776192</v>
      </c>
      <c r="G107" s="22"/>
    </row>
    <row r="108" spans="1:7" ht="15.75" x14ac:dyDescent="0.3">
      <c r="A108" s="42"/>
      <c r="B108" s="23" t="s">
        <v>104</v>
      </c>
      <c r="C108" s="59">
        <v>0</v>
      </c>
      <c r="D108" s="59">
        <f>D115-D116</f>
        <v>24.075199999999999</v>
      </c>
      <c r="E108" s="59">
        <v>0</v>
      </c>
      <c r="F108" s="59">
        <v>0</v>
      </c>
      <c r="G108" s="22"/>
    </row>
    <row r="109" spans="1:7" ht="15.75" x14ac:dyDescent="0.3">
      <c r="A109" s="42"/>
      <c r="B109" s="23" t="s">
        <v>105</v>
      </c>
      <c r="C109" s="59">
        <v>0</v>
      </c>
      <c r="D109" s="59">
        <v>0</v>
      </c>
      <c r="E109" s="59">
        <v>0</v>
      </c>
      <c r="F109" s="59">
        <v>0</v>
      </c>
      <c r="G109" s="22"/>
    </row>
    <row r="110" spans="1:7" ht="15.75" x14ac:dyDescent="0.3">
      <c r="A110" s="42"/>
      <c r="B110" s="23" t="s">
        <v>106</v>
      </c>
      <c r="C110" s="59">
        <v>0</v>
      </c>
      <c r="D110" s="59">
        <v>0</v>
      </c>
      <c r="E110" s="62">
        <v>0</v>
      </c>
      <c r="F110" s="59">
        <f>-E118*0.03</f>
        <v>0</v>
      </c>
      <c r="G110" s="22"/>
    </row>
    <row r="111" spans="1:7" ht="17.100000000000001" customHeight="1" x14ac:dyDescent="0.3">
      <c r="A111" s="42"/>
      <c r="B111" s="23" t="s">
        <v>111</v>
      </c>
      <c r="C111" s="59">
        <v>0</v>
      </c>
      <c r="D111" s="59">
        <v>0</v>
      </c>
      <c r="E111" s="62">
        <v>0</v>
      </c>
      <c r="F111" s="59">
        <f>-E118</f>
        <v>0</v>
      </c>
      <c r="G111" s="22"/>
    </row>
    <row r="112" spans="1:7" ht="15.75" x14ac:dyDescent="0.3">
      <c r="A112" s="42"/>
      <c r="B112" s="24" t="s">
        <v>64</v>
      </c>
      <c r="C112" s="64">
        <f>SUM(C104:C111)</f>
        <v>9.9999999999999982</v>
      </c>
      <c r="D112" s="64">
        <f t="shared" ref="D112:F112" si="24">SUM(D104:D111)</f>
        <v>9.9999999999999982</v>
      </c>
      <c r="E112" s="64">
        <f t="shared" si="24"/>
        <v>10</v>
      </c>
      <c r="F112" s="64">
        <f t="shared" si="24"/>
        <v>9.9999999999999982</v>
      </c>
      <c r="G112" s="22"/>
    </row>
    <row r="113" spans="1:7" ht="31.5" x14ac:dyDescent="0.3">
      <c r="A113" s="42"/>
      <c r="B113" s="23" t="s">
        <v>112</v>
      </c>
      <c r="C113" s="65">
        <v>-10</v>
      </c>
      <c r="D113" s="65">
        <v>-10</v>
      </c>
      <c r="E113" s="65">
        <v>-10</v>
      </c>
      <c r="F113" s="65">
        <v>-10</v>
      </c>
      <c r="G113" s="22"/>
    </row>
    <row r="114" spans="1:7" ht="15.75" x14ac:dyDescent="0.3">
      <c r="A114" s="42"/>
      <c r="B114" s="23" t="s">
        <v>100</v>
      </c>
      <c r="C114" s="59">
        <f>SUM(C112:C113)</f>
        <v>0</v>
      </c>
      <c r="D114" s="59">
        <f t="shared" ref="D114:F114" si="25">SUM(D112:D113)</f>
        <v>0</v>
      </c>
      <c r="E114" s="59">
        <f t="shared" si="25"/>
        <v>0</v>
      </c>
      <c r="F114" s="59">
        <f t="shared" si="25"/>
        <v>0</v>
      </c>
      <c r="G114" s="22"/>
    </row>
    <row r="115" spans="1:7" ht="15.75" x14ac:dyDescent="0.3">
      <c r="A115" s="42"/>
      <c r="B115" s="24" t="s">
        <v>107</v>
      </c>
      <c r="C115" s="59">
        <f>C97-C105</f>
        <v>22</v>
      </c>
      <c r="D115" s="59">
        <f>C116</f>
        <v>28.24</v>
      </c>
      <c r="E115" s="59">
        <f>D116</f>
        <v>4.1647999999999996</v>
      </c>
      <c r="F115" s="59">
        <f>E116</f>
        <v>7.888096</v>
      </c>
      <c r="G115" s="22"/>
    </row>
    <row r="116" spans="1:7" ht="15.75" x14ac:dyDescent="0.3">
      <c r="A116" s="42"/>
      <c r="B116" s="24" t="s">
        <v>108</v>
      </c>
      <c r="C116" s="59">
        <f>C115+-C106</f>
        <v>28.24</v>
      </c>
      <c r="D116" s="59">
        <f>(D115+D107)+D105</f>
        <v>4.1647999999999996</v>
      </c>
      <c r="E116" s="59">
        <f>(E115+E107)+E105</f>
        <v>7.888096</v>
      </c>
      <c r="F116" s="59">
        <f>(F115+F107)+F105</f>
        <v>33.445857920000009</v>
      </c>
      <c r="G116" s="22"/>
    </row>
    <row r="117" spans="1:7" ht="15.75" x14ac:dyDescent="0.3">
      <c r="A117" s="42"/>
      <c r="B117" s="23" t="s">
        <v>109</v>
      </c>
      <c r="C117" s="59">
        <v>0</v>
      </c>
      <c r="D117" s="59">
        <v>0</v>
      </c>
      <c r="E117" s="59">
        <f>D109</f>
        <v>0</v>
      </c>
      <c r="F117" s="59">
        <f>-F111</f>
        <v>0</v>
      </c>
      <c r="G117" s="22"/>
    </row>
    <row r="118" spans="1:7" ht="15.75" x14ac:dyDescent="0.3">
      <c r="A118" s="42"/>
      <c r="B118" s="23" t="s">
        <v>110</v>
      </c>
      <c r="C118" s="59">
        <v>0</v>
      </c>
      <c r="D118" s="59">
        <f>D109</f>
        <v>0</v>
      </c>
      <c r="E118" s="59">
        <f>E117+E111</f>
        <v>0</v>
      </c>
      <c r="F118" s="59">
        <v>0</v>
      </c>
      <c r="G118" s="22"/>
    </row>
    <row r="121" spans="1:7" ht="15.75" x14ac:dyDescent="0.3">
      <c r="B121" s="66" t="s">
        <v>113</v>
      </c>
      <c r="C121" s="93">
        <f>SUM(C107:F107)</f>
        <v>1.24585792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C981-A16F-444F-A22F-BF908791459C}">
  <dimension ref="A1:J225"/>
  <sheetViews>
    <sheetView showGridLines="0" tabSelected="1" topLeftCell="A206" zoomScale="145" zoomScaleNormal="145" workbookViewId="0">
      <selection activeCell="D213" sqref="D213"/>
    </sheetView>
  </sheetViews>
  <sheetFormatPr defaultRowHeight="14.55" x14ac:dyDescent="0.3"/>
  <cols>
    <col min="1" max="1" width="35.6640625" customWidth="1"/>
    <col min="2" max="2" width="13.44140625" bestFit="1" customWidth="1"/>
    <col min="3" max="3" width="13.88671875" bestFit="1" customWidth="1"/>
    <col min="4" max="4" width="13.6640625" bestFit="1" customWidth="1"/>
    <col min="5" max="5" width="14.33203125" bestFit="1" customWidth="1"/>
    <col min="6" max="6" width="13.5546875" bestFit="1" customWidth="1"/>
    <col min="7" max="7" width="13.33203125" bestFit="1" customWidth="1"/>
    <col min="8" max="8" width="4.44140625" bestFit="1" customWidth="1"/>
    <col min="9" max="9" width="7.21875" bestFit="1" customWidth="1"/>
    <col min="10" max="10" width="12" customWidth="1"/>
  </cols>
  <sheetData>
    <row r="1" spans="1:10" ht="15.75" x14ac:dyDescent="0.3">
      <c r="A1" s="40" t="s">
        <v>162</v>
      </c>
      <c r="B1" s="101">
        <v>210000</v>
      </c>
      <c r="C1" s="42"/>
      <c r="D1" s="42"/>
      <c r="I1" s="79">
        <v>0.1</v>
      </c>
      <c r="J1" s="42" t="s">
        <v>142</v>
      </c>
    </row>
    <row r="2" spans="1:10" ht="15.75" x14ac:dyDescent="0.3">
      <c r="A2" s="86" t="s">
        <v>137</v>
      </c>
      <c r="B2" s="88"/>
      <c r="C2" s="101">
        <v>390000</v>
      </c>
      <c r="I2" s="124">
        <v>1.2E-2</v>
      </c>
      <c r="J2" s="42" t="s">
        <v>146</v>
      </c>
    </row>
    <row r="3" spans="1:10" ht="15.75" x14ac:dyDescent="0.3">
      <c r="A3" s="40" t="s">
        <v>138</v>
      </c>
      <c r="B3" s="101">
        <v>135000</v>
      </c>
      <c r="D3" s="42"/>
      <c r="I3" s="124">
        <v>5.0000000000000001E-3</v>
      </c>
      <c r="J3" s="42" t="s">
        <v>147</v>
      </c>
    </row>
    <row r="4" spans="1:10" ht="15.75" x14ac:dyDescent="0.3">
      <c r="A4" s="84" t="s">
        <v>160</v>
      </c>
      <c r="B4" s="123">
        <v>0.08</v>
      </c>
      <c r="C4" s="42" t="s">
        <v>140</v>
      </c>
      <c r="D4" s="42"/>
      <c r="F4" s="109"/>
      <c r="I4" s="79">
        <v>0.11</v>
      </c>
    </row>
    <row r="5" spans="1:10" ht="15.75" x14ac:dyDescent="0.3">
      <c r="A5" s="86" t="s">
        <v>157</v>
      </c>
      <c r="B5" s="87"/>
      <c r="C5" s="88"/>
      <c r="D5" s="122">
        <v>0.08</v>
      </c>
      <c r="I5" s="141">
        <v>0.05</v>
      </c>
    </row>
    <row r="6" spans="1:10" ht="15.75" x14ac:dyDescent="0.3">
      <c r="A6" s="40" t="s">
        <v>141</v>
      </c>
      <c r="B6" s="14">
        <v>57</v>
      </c>
      <c r="C6" s="42" t="s">
        <v>24</v>
      </c>
      <c r="G6" s="116"/>
      <c r="I6" s="142">
        <v>0.2035660321208401</v>
      </c>
      <c r="J6" s="42" t="s">
        <v>172</v>
      </c>
    </row>
    <row r="7" spans="1:10" ht="15.75" x14ac:dyDescent="0.3">
      <c r="A7" s="40" t="s">
        <v>158</v>
      </c>
      <c r="B7" s="101">
        <v>675000</v>
      </c>
      <c r="C7" s="42"/>
      <c r="D7" s="42"/>
      <c r="G7" s="116"/>
    </row>
    <row r="8" spans="1:10" ht="15.75" x14ac:dyDescent="0.3">
      <c r="A8" s="40" t="s">
        <v>159</v>
      </c>
      <c r="B8" s="122">
        <v>0.5</v>
      </c>
      <c r="C8" s="41" t="s">
        <v>143</v>
      </c>
      <c r="D8" s="42"/>
      <c r="G8" s="116"/>
      <c r="H8" s="14">
        <v>53</v>
      </c>
      <c r="I8" s="42" t="s">
        <v>24</v>
      </c>
    </row>
    <row r="9" spans="1:10" ht="15.75" x14ac:dyDescent="0.3">
      <c r="A9" s="40" t="s">
        <v>161</v>
      </c>
      <c r="B9" s="122">
        <v>0.25</v>
      </c>
      <c r="C9" s="42" t="s">
        <v>144</v>
      </c>
      <c r="D9" s="42"/>
    </row>
    <row r="10" spans="1:10" ht="15.75" x14ac:dyDescent="0.3">
      <c r="A10" s="40" t="s">
        <v>163</v>
      </c>
      <c r="B10" s="101">
        <v>185000</v>
      </c>
      <c r="C10" s="42" t="s">
        <v>145</v>
      </c>
    </row>
    <row r="11" spans="1:10" ht="15.75" x14ac:dyDescent="0.3">
      <c r="A11" s="126"/>
      <c r="B11" s="127"/>
      <c r="D11" s="116"/>
    </row>
    <row r="12" spans="1:10" ht="15.75" x14ac:dyDescent="0.3">
      <c r="A12" s="110"/>
      <c r="B12" s="113" t="s">
        <v>7</v>
      </c>
      <c r="C12" s="111" t="s">
        <v>8</v>
      </c>
      <c r="D12" s="111" t="s">
        <v>9</v>
      </c>
      <c r="E12" s="111" t="s">
        <v>6</v>
      </c>
    </row>
    <row r="13" spans="1:10" ht="15.75" x14ac:dyDescent="0.3">
      <c r="A13" s="112" t="s">
        <v>139</v>
      </c>
      <c r="B13" s="114">
        <v>1102000</v>
      </c>
      <c r="C13" s="115">
        <v>1141000</v>
      </c>
      <c r="D13" s="115">
        <v>1125000</v>
      </c>
      <c r="E13" s="115">
        <v>1063000</v>
      </c>
    </row>
    <row r="14" spans="1:10" ht="15.75" x14ac:dyDescent="0.3">
      <c r="A14" s="112" t="s">
        <v>164</v>
      </c>
      <c r="B14" s="114">
        <f>B$13*(1+$B$4)</f>
        <v>1190160</v>
      </c>
      <c r="C14" s="114">
        <f>C$13*(1+$B$4)</f>
        <v>1232280</v>
      </c>
      <c r="D14" s="114">
        <f>D$13*(1+$B$4)</f>
        <v>1215000</v>
      </c>
      <c r="E14" s="114">
        <f>E$13*(1+$B$4)</f>
        <v>1148040</v>
      </c>
    </row>
    <row r="15" spans="1:10" ht="15.75" x14ac:dyDescent="0.3">
      <c r="A15" s="112" t="s">
        <v>165</v>
      </c>
      <c r="B15" s="114">
        <f>$B$14*(1+$D$5)</f>
        <v>1285372.8</v>
      </c>
      <c r="C15" s="115"/>
      <c r="D15" s="115"/>
      <c r="E15" s="115"/>
    </row>
    <row r="17" spans="1:8" ht="15.75" x14ac:dyDescent="0.3">
      <c r="A17" s="128" t="s">
        <v>148</v>
      </c>
      <c r="B17" s="128"/>
      <c r="C17" s="128"/>
      <c r="D17" s="128"/>
      <c r="E17" s="128"/>
      <c r="F17" s="121"/>
    </row>
    <row r="18" spans="1:8" ht="15.75" x14ac:dyDescent="0.3">
      <c r="A18" s="22"/>
      <c r="B18" s="129" t="s">
        <v>7</v>
      </c>
      <c r="C18" s="129" t="s">
        <v>8</v>
      </c>
      <c r="D18" s="129" t="s">
        <v>9</v>
      </c>
      <c r="E18" s="129" t="s">
        <v>6</v>
      </c>
      <c r="F18" s="117"/>
      <c r="H18" s="125">
        <f>(90-$B$6)/90</f>
        <v>0.36666666666666664</v>
      </c>
    </row>
    <row r="19" spans="1:8" ht="15.75" x14ac:dyDescent="0.3">
      <c r="A19" s="130" t="s">
        <v>149</v>
      </c>
      <c r="B19" s="134">
        <f>$B$7*(1-$I$1)</f>
        <v>607500</v>
      </c>
      <c r="C19" s="134">
        <f>B$14-B$20</f>
        <v>753768</v>
      </c>
      <c r="D19" s="134">
        <f>C$14-C$20</f>
        <v>780444</v>
      </c>
      <c r="E19" s="134">
        <f>D$14-D$20</f>
        <v>769500</v>
      </c>
      <c r="F19" s="118"/>
      <c r="H19" s="125">
        <f>(90-(90-$B$6))/90</f>
        <v>0.6333333333333333</v>
      </c>
    </row>
    <row r="20" spans="1:8" ht="15.75" x14ac:dyDescent="0.3">
      <c r="A20" s="130" t="s">
        <v>150</v>
      </c>
      <c r="B20" s="148">
        <f>B$14*$H$18</f>
        <v>436391.99999999994</v>
      </c>
      <c r="C20" s="148">
        <f>C$14*$H$18</f>
        <v>451835.99999999994</v>
      </c>
      <c r="D20" s="148">
        <f>D$14*$H$18</f>
        <v>445499.99999999994</v>
      </c>
      <c r="E20" s="148">
        <f>E$14*$H$18</f>
        <v>420947.99999999994</v>
      </c>
      <c r="F20" s="119"/>
    </row>
    <row r="21" spans="1:8" ht="15.75" x14ac:dyDescent="0.3">
      <c r="A21" s="130" t="s">
        <v>151</v>
      </c>
      <c r="B21" s="149">
        <f>-($B$8*B$14)*($H$8/90)</f>
        <v>-350436</v>
      </c>
      <c r="C21" s="149">
        <f>-($B$8*C$14)*($H$8/90)</f>
        <v>-362838</v>
      </c>
      <c r="D21" s="149">
        <f>-($B$8*D$14)*($H$8/90)</f>
        <v>-357750</v>
      </c>
      <c r="E21" s="149">
        <f>-($B$8*E$14)*($H$8/90)</f>
        <v>-338034</v>
      </c>
      <c r="F21" s="117"/>
    </row>
    <row r="22" spans="1:8" ht="15.75" x14ac:dyDescent="0.3">
      <c r="A22" s="130" t="s">
        <v>152</v>
      </c>
      <c r="B22" s="149">
        <f>-($B$8*C$14)*(90-$H$8)/90</f>
        <v>-253302</v>
      </c>
      <c r="C22" s="149">
        <f>-($B$8*D$14)*(90-$H$8)/90</f>
        <v>-249750</v>
      </c>
      <c r="D22" s="149">
        <f>-($B$8*E$14)*(90-$H$8)/90</f>
        <v>-235986</v>
      </c>
      <c r="E22" s="149">
        <f>-($B$8*$B$15)*(90-$H$8)/90</f>
        <v>-264215.52</v>
      </c>
      <c r="F22" s="117"/>
      <c r="G22" s="108"/>
    </row>
    <row r="23" spans="1:8" ht="15.75" x14ac:dyDescent="0.3">
      <c r="A23" s="130" t="s">
        <v>153</v>
      </c>
      <c r="B23" s="150">
        <f>-(B$14*$B$9)</f>
        <v>-297540</v>
      </c>
      <c r="C23" s="150">
        <f>-(C$14*$B$9)</f>
        <v>-308070</v>
      </c>
      <c r="D23" s="150">
        <f>-(D$14*$B$9)</f>
        <v>-303750</v>
      </c>
      <c r="E23" s="150">
        <f>-(E$14*$B$9)</f>
        <v>-287010</v>
      </c>
      <c r="F23" s="118"/>
      <c r="G23" s="108"/>
    </row>
    <row r="24" spans="1:8" ht="15.75" x14ac:dyDescent="0.3">
      <c r="A24" s="130" t="s">
        <v>154</v>
      </c>
      <c r="B24" s="150">
        <f t="shared" ref="B24:E24" si="0">-$B$10</f>
        <v>-185000</v>
      </c>
      <c r="C24" s="150">
        <f t="shared" si="0"/>
        <v>-185000</v>
      </c>
      <c r="D24" s="150">
        <f t="shared" si="0"/>
        <v>-185000</v>
      </c>
      <c r="E24" s="150">
        <f t="shared" si="0"/>
        <v>-185000</v>
      </c>
      <c r="F24" s="117"/>
    </row>
    <row r="25" spans="1:8" ht="14.25" customHeight="1" x14ac:dyDescent="0.3">
      <c r="A25" s="131" t="s">
        <v>156</v>
      </c>
      <c r="B25" s="132"/>
      <c r="C25" s="132"/>
      <c r="D25" s="133">
        <f>-$C$2</f>
        <v>-390000</v>
      </c>
      <c r="E25" s="132"/>
      <c r="F25" s="120"/>
    </row>
    <row r="26" spans="1:8" ht="15.75" x14ac:dyDescent="0.3">
      <c r="A26" s="42" t="s">
        <v>155</v>
      </c>
      <c r="B26" s="145">
        <f t="shared" ref="B26:E26" si="1">_xlfn.AGGREGATE(9,4,B$19:B$25)</f>
        <v>-42386</v>
      </c>
      <c r="C26" s="145">
        <f t="shared" si="1"/>
        <v>99946</v>
      </c>
      <c r="D26" s="145">
        <f t="shared" si="1"/>
        <v>-246542</v>
      </c>
      <c r="E26" s="145">
        <f t="shared" si="1"/>
        <v>116188.47999999998</v>
      </c>
    </row>
    <row r="27" spans="1:8" x14ac:dyDescent="0.3">
      <c r="B27" s="108"/>
    </row>
    <row r="28" spans="1:8" ht="15.75" x14ac:dyDescent="0.3">
      <c r="A28" s="128" t="s">
        <v>119</v>
      </c>
      <c r="B28" s="128"/>
      <c r="C28" s="128"/>
      <c r="D28" s="128"/>
      <c r="E28" s="128"/>
      <c r="F28" s="128"/>
    </row>
    <row r="29" spans="1:8" ht="15.75" x14ac:dyDescent="0.3">
      <c r="A29" s="38"/>
      <c r="B29" s="129" t="s">
        <v>7</v>
      </c>
      <c r="C29" s="129" t="s">
        <v>8</v>
      </c>
      <c r="D29" s="129" t="s">
        <v>9</v>
      </c>
      <c r="E29" s="129" t="s">
        <v>6</v>
      </c>
      <c r="F29" s="118"/>
    </row>
    <row r="30" spans="1:8" ht="15.75" x14ac:dyDescent="0.3">
      <c r="A30" s="130" t="s">
        <v>54</v>
      </c>
      <c r="B30" s="134">
        <f>$B$1</f>
        <v>210000</v>
      </c>
      <c r="C30" s="134">
        <f>B$32</f>
        <v>167614</v>
      </c>
      <c r="D30" s="134">
        <f>C$32</f>
        <v>267560</v>
      </c>
      <c r="E30" s="134">
        <f>D$32</f>
        <v>21018</v>
      </c>
      <c r="F30" s="118"/>
    </row>
    <row r="31" spans="1:8" ht="15.75" x14ac:dyDescent="0.3">
      <c r="A31" s="42" t="s">
        <v>95</v>
      </c>
      <c r="B31" s="135">
        <f>B$26</f>
        <v>-42386</v>
      </c>
      <c r="C31" s="135">
        <f t="shared" ref="C31:E31" si="2">C$26</f>
        <v>99946</v>
      </c>
      <c r="D31" s="135">
        <f t="shared" si="2"/>
        <v>-246542</v>
      </c>
      <c r="E31" s="135">
        <f t="shared" si="2"/>
        <v>116188.47999999998</v>
      </c>
    </row>
    <row r="32" spans="1:8" ht="15.75" x14ac:dyDescent="0.3">
      <c r="A32" s="42" t="s">
        <v>64</v>
      </c>
      <c r="B32" s="136">
        <f>SUM(B$30:B$31)</f>
        <v>167614</v>
      </c>
      <c r="C32" s="136">
        <f>SUM(C$30:C$31)</f>
        <v>267560</v>
      </c>
      <c r="D32" s="136">
        <f>SUM(D$30:D$31)</f>
        <v>21018</v>
      </c>
      <c r="E32" s="136">
        <f>SUM(E$30:E$31)</f>
        <v>137206.47999999998</v>
      </c>
    </row>
    <row r="33" spans="1:5" ht="15.75" x14ac:dyDescent="0.3">
      <c r="A33" s="42" t="s">
        <v>99</v>
      </c>
      <c r="B33" s="137">
        <f t="shared" ref="B33:E33" si="3">$B$3</f>
        <v>135000</v>
      </c>
      <c r="C33" s="137">
        <f t="shared" si="3"/>
        <v>135000</v>
      </c>
      <c r="D33" s="137">
        <f t="shared" si="3"/>
        <v>135000</v>
      </c>
      <c r="E33" s="137">
        <f t="shared" si="3"/>
        <v>135000</v>
      </c>
    </row>
    <row r="34" spans="1:5" ht="15.75" x14ac:dyDescent="0.3">
      <c r="A34" s="42" t="s">
        <v>166</v>
      </c>
      <c r="B34" s="136">
        <f t="shared" ref="B34:E34" si="4">B$32-B$33</f>
        <v>32614</v>
      </c>
      <c r="C34" s="136">
        <f t="shared" si="4"/>
        <v>132560</v>
      </c>
      <c r="D34" s="136">
        <f t="shared" si="4"/>
        <v>-113982</v>
      </c>
      <c r="E34" s="136">
        <f t="shared" si="4"/>
        <v>2206.4799999999814</v>
      </c>
    </row>
    <row r="37" spans="1:5" ht="15.75" x14ac:dyDescent="0.3">
      <c r="A37" s="128" t="s">
        <v>167</v>
      </c>
      <c r="B37" s="128"/>
      <c r="C37" s="128"/>
      <c r="D37" s="128"/>
      <c r="E37" s="128"/>
    </row>
    <row r="38" spans="1:5" ht="15.75" x14ac:dyDescent="0.3">
      <c r="A38" s="128"/>
      <c r="B38" s="129" t="s">
        <v>7</v>
      </c>
      <c r="C38" s="129" t="s">
        <v>8</v>
      </c>
      <c r="D38" s="129" t="s">
        <v>9</v>
      </c>
      <c r="E38" s="129" t="s">
        <v>6</v>
      </c>
    </row>
    <row r="39" spans="1:5" ht="15.75" x14ac:dyDescent="0.3">
      <c r="A39" s="130" t="s">
        <v>168</v>
      </c>
      <c r="B39" s="143">
        <f t="shared" ref="B39:E39" si="5">$B$3</f>
        <v>135000</v>
      </c>
      <c r="C39" s="143">
        <f t="shared" si="5"/>
        <v>135000</v>
      </c>
      <c r="D39" s="143">
        <f t="shared" si="5"/>
        <v>135000</v>
      </c>
      <c r="E39" s="143">
        <f t="shared" si="5"/>
        <v>135000</v>
      </c>
    </row>
    <row r="40" spans="1:5" ht="15.75" x14ac:dyDescent="0.3">
      <c r="A40" s="130" t="s">
        <v>95</v>
      </c>
      <c r="B40" s="140">
        <f t="shared" ref="B40:E40" si="6">B$31</f>
        <v>-42386</v>
      </c>
      <c r="C40" s="143">
        <f t="shared" si="6"/>
        <v>99946</v>
      </c>
      <c r="D40" s="140">
        <f t="shared" si="6"/>
        <v>-246542</v>
      </c>
      <c r="E40" s="143">
        <f t="shared" si="6"/>
        <v>116188.47999999998</v>
      </c>
    </row>
    <row r="41" spans="1:5" ht="15.75" x14ac:dyDescent="0.3">
      <c r="A41" s="130" t="s">
        <v>102</v>
      </c>
      <c r="B41" s="143">
        <v>0</v>
      </c>
      <c r="C41" s="140">
        <f>-$C$40-$C$42</f>
        <v>-100321</v>
      </c>
      <c r="D41" s="143">
        <v>0</v>
      </c>
      <c r="E41" s="140">
        <f>-$E$40-$E$46-$E$45</f>
        <v>-44999.952259999976</v>
      </c>
    </row>
    <row r="42" spans="1:5" ht="15.75" x14ac:dyDescent="0.3">
      <c r="A42" s="130" t="s">
        <v>103</v>
      </c>
      <c r="B42" s="143">
        <f>$B$50*$I$3</f>
        <v>375</v>
      </c>
      <c r="C42" s="143">
        <f>$C$50*$I$3</f>
        <v>375</v>
      </c>
      <c r="D42" s="143">
        <f>$D$50*$I$3</f>
        <v>876.60500000000002</v>
      </c>
      <c r="E42" s="143"/>
    </row>
    <row r="43" spans="1:5" ht="15.75" x14ac:dyDescent="0.3">
      <c r="A43" s="130" t="s">
        <v>104</v>
      </c>
      <c r="B43" s="143">
        <f>-$B$40-$B$42</f>
        <v>42011</v>
      </c>
      <c r="C43" s="143"/>
      <c r="D43" s="143">
        <f>$D$50</f>
        <v>175321</v>
      </c>
      <c r="E43" s="143"/>
    </row>
    <row r="44" spans="1:5" ht="15.75" x14ac:dyDescent="0.3">
      <c r="A44" s="130" t="s">
        <v>105</v>
      </c>
      <c r="B44" s="143"/>
      <c r="C44" s="143"/>
      <c r="D44" s="143">
        <f>-$D$40-$D$43-$D$42</f>
        <v>70344.395000000004</v>
      </c>
      <c r="E44" s="143"/>
    </row>
    <row r="45" spans="1:5" ht="15.75" x14ac:dyDescent="0.3">
      <c r="A45" s="130" t="s">
        <v>106</v>
      </c>
      <c r="B45" s="143"/>
      <c r="C45" s="143"/>
      <c r="D45" s="143">
        <v>0</v>
      </c>
      <c r="E45" s="140">
        <f>-$D$44*$I$2</f>
        <v>-844.13274000000001</v>
      </c>
    </row>
    <row r="46" spans="1:5" ht="15.75" x14ac:dyDescent="0.3">
      <c r="A46" s="132" t="s">
        <v>169</v>
      </c>
      <c r="B46" s="139"/>
      <c r="C46" s="139"/>
      <c r="D46" s="139">
        <v>0</v>
      </c>
      <c r="E46" s="139">
        <f>-$D$44</f>
        <v>-70344.395000000004</v>
      </c>
    </row>
    <row r="47" spans="1:5" ht="15.75" x14ac:dyDescent="0.3">
      <c r="A47" s="130" t="s">
        <v>64</v>
      </c>
      <c r="B47" s="143">
        <f t="shared" ref="B47:E47" si="7">_xlfn.AGGREGATE(9,4,B$39:B$46)</f>
        <v>135000</v>
      </c>
      <c r="C47" s="143">
        <f t="shared" si="7"/>
        <v>135000</v>
      </c>
      <c r="D47" s="143">
        <f t="shared" si="7"/>
        <v>135000</v>
      </c>
      <c r="E47" s="143">
        <f t="shared" si="7"/>
        <v>135000</v>
      </c>
    </row>
    <row r="48" spans="1:5" ht="15.75" x14ac:dyDescent="0.3">
      <c r="A48" s="131" t="s">
        <v>170</v>
      </c>
      <c r="B48" s="140">
        <f t="shared" ref="B48:E48" si="8">-B$47</f>
        <v>-135000</v>
      </c>
      <c r="C48" s="140">
        <f t="shared" si="8"/>
        <v>-135000</v>
      </c>
      <c r="D48" s="140">
        <f t="shared" si="8"/>
        <v>-135000</v>
      </c>
      <c r="E48" s="140">
        <f t="shared" si="8"/>
        <v>-135000</v>
      </c>
    </row>
    <row r="49" spans="1:5" ht="15.75" x14ac:dyDescent="0.3">
      <c r="A49" s="130" t="s">
        <v>166</v>
      </c>
      <c r="B49" s="143">
        <f>SUM(B$47:B$48)</f>
        <v>0</v>
      </c>
      <c r="C49" s="143">
        <f t="shared" ref="C49:E49" si="9">SUM(C$47:C$48)</f>
        <v>0</v>
      </c>
      <c r="D49" s="143">
        <f t="shared" si="9"/>
        <v>0</v>
      </c>
      <c r="E49" s="143">
        <f t="shared" si="9"/>
        <v>0</v>
      </c>
    </row>
    <row r="50" spans="1:5" ht="15.75" x14ac:dyDescent="0.3">
      <c r="A50" s="130" t="s">
        <v>107</v>
      </c>
      <c r="B50" s="143">
        <f>$B$34-$B$40</f>
        <v>75000</v>
      </c>
      <c r="C50" s="143">
        <f>B$51</f>
        <v>75000</v>
      </c>
      <c r="D50" s="143">
        <f>C$51</f>
        <v>175321</v>
      </c>
      <c r="E50" s="143">
        <f>D$51</f>
        <v>0</v>
      </c>
    </row>
    <row r="51" spans="1:5" ht="15.75" x14ac:dyDescent="0.3">
      <c r="A51" s="130" t="s">
        <v>108</v>
      </c>
      <c r="B51" s="143">
        <f>$B$50</f>
        <v>75000</v>
      </c>
      <c r="C51" s="143">
        <f>-$C$41+$C$50</f>
        <v>175321</v>
      </c>
      <c r="D51" s="143">
        <v>0</v>
      </c>
      <c r="E51" s="143">
        <f>-$E$41</f>
        <v>44999.952259999976</v>
      </c>
    </row>
    <row r="52" spans="1:5" ht="15.75" x14ac:dyDescent="0.3">
      <c r="A52" s="130" t="s">
        <v>109</v>
      </c>
      <c r="B52" s="143">
        <v>0</v>
      </c>
      <c r="C52" s="143">
        <v>0</v>
      </c>
      <c r="D52" s="143">
        <v>0</v>
      </c>
      <c r="E52" s="143">
        <f>-$E$46</f>
        <v>70344.395000000004</v>
      </c>
    </row>
    <row r="53" spans="1:5" ht="15.75" x14ac:dyDescent="0.3">
      <c r="A53" s="130" t="s">
        <v>110</v>
      </c>
      <c r="B53" s="143">
        <v>0</v>
      </c>
      <c r="C53" s="143">
        <v>0</v>
      </c>
      <c r="D53" s="143">
        <f>$D$44</f>
        <v>70344.395000000004</v>
      </c>
      <c r="E53" s="143">
        <v>0</v>
      </c>
    </row>
    <row r="56" spans="1:5" ht="15.75" x14ac:dyDescent="0.3">
      <c r="A56" s="130" t="s">
        <v>171</v>
      </c>
      <c r="B56" s="138">
        <f>$B$42+$C$42+$D$42+$E$45</f>
        <v>782.47226000000001</v>
      </c>
    </row>
    <row r="59" spans="1:5" ht="15.75" x14ac:dyDescent="0.3">
      <c r="A59" s="128" t="s">
        <v>119</v>
      </c>
      <c r="B59" s="128"/>
      <c r="C59" s="128"/>
      <c r="D59" s="128"/>
      <c r="E59" s="128"/>
    </row>
    <row r="60" spans="1:5" ht="15.75" x14ac:dyDescent="0.3">
      <c r="A60" s="38"/>
      <c r="B60" s="129" t="s">
        <v>7</v>
      </c>
      <c r="C60" s="129" t="s">
        <v>8</v>
      </c>
      <c r="D60" s="129" t="s">
        <v>9</v>
      </c>
      <c r="E60" s="129" t="s">
        <v>6</v>
      </c>
    </row>
    <row r="61" spans="1:5" ht="15.75" x14ac:dyDescent="0.3">
      <c r="A61" s="130" t="s">
        <v>54</v>
      </c>
      <c r="B61" s="134">
        <f>$B$1</f>
        <v>210000</v>
      </c>
      <c r="C61" s="134">
        <f>B$32</f>
        <v>167614</v>
      </c>
      <c r="D61" s="134">
        <f>C$32</f>
        <v>267560</v>
      </c>
      <c r="E61" s="134">
        <f>D$32</f>
        <v>21018</v>
      </c>
    </row>
    <row r="62" spans="1:5" ht="15.75" x14ac:dyDescent="0.3">
      <c r="A62" s="42" t="s">
        <v>95</v>
      </c>
      <c r="B62" s="135">
        <f>B$26</f>
        <v>-42386</v>
      </c>
      <c r="C62" s="135">
        <f t="shared" ref="C62:E62" si="10">C$26</f>
        <v>99946</v>
      </c>
      <c r="D62" s="135">
        <f t="shared" si="10"/>
        <v>-246542</v>
      </c>
      <c r="E62" s="135">
        <f t="shared" si="10"/>
        <v>116188.47999999998</v>
      </c>
    </row>
    <row r="63" spans="1:5" ht="15.75" x14ac:dyDescent="0.3">
      <c r="A63" s="42" t="s">
        <v>64</v>
      </c>
      <c r="B63" s="136">
        <f>SUM(B$30:B$31)</f>
        <v>167614</v>
      </c>
      <c r="C63" s="136">
        <f>SUM(C$30:C$31)</f>
        <v>267560</v>
      </c>
      <c r="D63" s="136">
        <f>SUM(D$30:D$31)</f>
        <v>21018</v>
      </c>
      <c r="E63" s="136">
        <f>SUM(E$30:E$31)</f>
        <v>137206.47999999998</v>
      </c>
    </row>
    <row r="64" spans="1:5" ht="15.75" x14ac:dyDescent="0.3">
      <c r="A64" s="42" t="s">
        <v>99</v>
      </c>
      <c r="B64" s="137">
        <v>90000</v>
      </c>
      <c r="C64" s="137">
        <v>90000</v>
      </c>
      <c r="D64" s="137">
        <v>90000</v>
      </c>
      <c r="E64" s="137">
        <v>90000</v>
      </c>
    </row>
    <row r="65" spans="1:5" ht="15.75" x14ac:dyDescent="0.3">
      <c r="A65" s="42" t="s">
        <v>166</v>
      </c>
      <c r="B65" s="136">
        <f>B$63-B$64</f>
        <v>77614</v>
      </c>
      <c r="C65" s="136">
        <f t="shared" ref="C65:E65" si="11">C$63-C$64</f>
        <v>177560</v>
      </c>
      <c r="D65" s="136">
        <f t="shared" si="11"/>
        <v>-68982</v>
      </c>
      <c r="E65" s="136">
        <f t="shared" si="11"/>
        <v>47206.479999999981</v>
      </c>
    </row>
    <row r="68" spans="1:5" ht="15.75" x14ac:dyDescent="0.3">
      <c r="A68" s="128" t="s">
        <v>167</v>
      </c>
      <c r="B68" s="128"/>
      <c r="C68" s="128"/>
      <c r="D68" s="128"/>
      <c r="E68" s="128"/>
    </row>
    <row r="69" spans="1:5" ht="15.75" x14ac:dyDescent="0.3">
      <c r="A69" s="128"/>
      <c r="B69" s="129" t="s">
        <v>7</v>
      </c>
      <c r="C69" s="129" t="s">
        <v>8</v>
      </c>
      <c r="D69" s="129" t="s">
        <v>9</v>
      </c>
      <c r="E69" s="129" t="s">
        <v>6</v>
      </c>
    </row>
    <row r="70" spans="1:5" ht="15.75" x14ac:dyDescent="0.3">
      <c r="A70" s="130" t="s">
        <v>168</v>
      </c>
      <c r="B70" s="143">
        <f t="shared" ref="B70:E70" si="12">B$64</f>
        <v>90000</v>
      </c>
      <c r="C70" s="143">
        <f t="shared" si="12"/>
        <v>90000</v>
      </c>
      <c r="D70" s="143">
        <f t="shared" si="12"/>
        <v>90000</v>
      </c>
      <c r="E70" s="143">
        <f t="shared" si="12"/>
        <v>90000</v>
      </c>
    </row>
    <row r="71" spans="1:5" ht="15.75" x14ac:dyDescent="0.3">
      <c r="A71" s="130" t="s">
        <v>95</v>
      </c>
      <c r="B71" s="140">
        <f t="shared" ref="B71:E71" si="13">B$31</f>
        <v>-42386</v>
      </c>
      <c r="C71" s="143">
        <f t="shared" si="13"/>
        <v>99946</v>
      </c>
      <c r="D71" s="140">
        <f t="shared" si="13"/>
        <v>-246542</v>
      </c>
      <c r="E71" s="143">
        <f t="shared" si="13"/>
        <v>116188.47999999998</v>
      </c>
    </row>
    <row r="72" spans="1:5" ht="15.75" x14ac:dyDescent="0.3">
      <c r="A72" s="130" t="s">
        <v>102</v>
      </c>
      <c r="B72" s="143">
        <v>0</v>
      </c>
      <c r="C72" s="140">
        <f>-$C$71+-$C$73</f>
        <v>-100546</v>
      </c>
      <c r="D72" s="143">
        <v>0</v>
      </c>
      <c r="E72" s="140">
        <f>-$E$71-$E$77-$E$76</f>
        <v>-90996.490759999971</v>
      </c>
    </row>
    <row r="73" spans="1:5" ht="15.75" x14ac:dyDescent="0.3">
      <c r="A73" s="130" t="s">
        <v>103</v>
      </c>
      <c r="B73" s="143">
        <f>$B$81*$I$3</f>
        <v>600</v>
      </c>
      <c r="C73" s="143">
        <f>$C$81*$I$3</f>
        <v>600</v>
      </c>
      <c r="D73" s="143">
        <f>$D$81*$I$3</f>
        <v>1102.73</v>
      </c>
      <c r="E73" s="143">
        <v>0</v>
      </c>
    </row>
    <row r="74" spans="1:5" ht="15.75" x14ac:dyDescent="0.3">
      <c r="A74" s="130" t="s">
        <v>104</v>
      </c>
      <c r="B74" s="143">
        <f>-$B$71-$B$73</f>
        <v>41786</v>
      </c>
      <c r="C74" s="143">
        <v>0</v>
      </c>
      <c r="D74" s="143">
        <f>$D$81</f>
        <v>220546</v>
      </c>
      <c r="E74" s="143">
        <v>0</v>
      </c>
    </row>
    <row r="75" spans="1:5" ht="15.75" x14ac:dyDescent="0.3">
      <c r="A75" s="130" t="s">
        <v>105</v>
      </c>
      <c r="B75" s="143">
        <v>0</v>
      </c>
      <c r="C75" s="143">
        <v>0</v>
      </c>
      <c r="D75" s="143">
        <f>-$D$71-$D$74-$D$73</f>
        <v>24893.27</v>
      </c>
      <c r="E75" s="143">
        <v>0</v>
      </c>
    </row>
    <row r="76" spans="1:5" ht="15.75" x14ac:dyDescent="0.3">
      <c r="A76" s="130" t="s">
        <v>106</v>
      </c>
      <c r="B76" s="143">
        <v>0</v>
      </c>
      <c r="C76" s="143">
        <v>0</v>
      </c>
      <c r="D76" s="143">
        <v>0</v>
      </c>
      <c r="E76" s="140">
        <f>-$D$75*$I$2</f>
        <v>-298.71924000000001</v>
      </c>
    </row>
    <row r="77" spans="1:5" ht="15.75" x14ac:dyDescent="0.3">
      <c r="A77" s="132" t="s">
        <v>169</v>
      </c>
      <c r="B77" s="139">
        <v>0</v>
      </c>
      <c r="C77" s="139">
        <v>0</v>
      </c>
      <c r="D77" s="139">
        <v>0</v>
      </c>
      <c r="E77" s="139">
        <f>-$D$75</f>
        <v>-24893.27</v>
      </c>
    </row>
    <row r="78" spans="1:5" ht="15.75" x14ac:dyDescent="0.3">
      <c r="A78" s="130" t="s">
        <v>64</v>
      </c>
      <c r="B78" s="143">
        <f t="shared" ref="B78:E78" si="14">_xlfn.AGGREGATE(9,4,B$70:B$77)</f>
        <v>90000</v>
      </c>
      <c r="C78" s="143">
        <f t="shared" si="14"/>
        <v>90000</v>
      </c>
      <c r="D78" s="143">
        <f t="shared" si="14"/>
        <v>90000.000000000015</v>
      </c>
      <c r="E78" s="143">
        <f t="shared" si="14"/>
        <v>90000</v>
      </c>
    </row>
    <row r="79" spans="1:5" ht="15.75" x14ac:dyDescent="0.3">
      <c r="A79" s="131" t="s">
        <v>170</v>
      </c>
      <c r="B79" s="140">
        <f t="shared" ref="B79:E79" si="15">-B$78</f>
        <v>-90000</v>
      </c>
      <c r="C79" s="140">
        <f t="shared" si="15"/>
        <v>-90000</v>
      </c>
      <c r="D79" s="140">
        <f t="shared" si="15"/>
        <v>-90000.000000000015</v>
      </c>
      <c r="E79" s="140">
        <f t="shared" si="15"/>
        <v>-90000</v>
      </c>
    </row>
    <row r="80" spans="1:5" ht="15.75" x14ac:dyDescent="0.3">
      <c r="A80" s="130" t="s">
        <v>166</v>
      </c>
      <c r="B80" s="143">
        <f t="shared" ref="B80:E80" si="16">B$78+B$79</f>
        <v>0</v>
      </c>
      <c r="C80" s="143">
        <f t="shared" si="16"/>
        <v>0</v>
      </c>
      <c r="D80" s="143">
        <f t="shared" si="16"/>
        <v>0</v>
      </c>
      <c r="E80" s="143">
        <f t="shared" si="16"/>
        <v>0</v>
      </c>
    </row>
    <row r="81" spans="1:5" ht="15.75" x14ac:dyDescent="0.3">
      <c r="A81" s="130" t="s">
        <v>107</v>
      </c>
      <c r="B81" s="143">
        <f>B$65-B$71</f>
        <v>120000</v>
      </c>
      <c r="C81" s="143">
        <f>B$82</f>
        <v>120000</v>
      </c>
      <c r="D81" s="143">
        <f>C$82</f>
        <v>220546</v>
      </c>
      <c r="E81" s="143">
        <f>D$82</f>
        <v>0</v>
      </c>
    </row>
    <row r="82" spans="1:5" ht="15.75" x14ac:dyDescent="0.3">
      <c r="A82" s="130" t="s">
        <v>108</v>
      </c>
      <c r="B82" s="143">
        <f>$B$81</f>
        <v>120000</v>
      </c>
      <c r="C82" s="143">
        <f>C81+-$C$72</f>
        <v>220546</v>
      </c>
      <c r="D82" s="143">
        <v>0</v>
      </c>
      <c r="E82" s="143">
        <f>-$E$72</f>
        <v>90996.490759999971</v>
      </c>
    </row>
    <row r="83" spans="1:5" ht="15.75" x14ac:dyDescent="0.3">
      <c r="A83" s="130" t="s">
        <v>109</v>
      </c>
      <c r="B83" s="143">
        <v>0</v>
      </c>
      <c r="C83" s="143">
        <v>0</v>
      </c>
      <c r="D83" s="143">
        <v>0</v>
      </c>
      <c r="E83" s="143">
        <f>-$E$77</f>
        <v>24893.27</v>
      </c>
    </row>
    <row r="84" spans="1:5" ht="15.75" x14ac:dyDescent="0.3">
      <c r="A84" s="130" t="s">
        <v>110</v>
      </c>
      <c r="B84" s="143">
        <v>0</v>
      </c>
      <c r="C84" s="143">
        <v>0</v>
      </c>
      <c r="D84" s="143">
        <f>$D$75</f>
        <v>24893.27</v>
      </c>
      <c r="E84" s="143">
        <v>0</v>
      </c>
    </row>
    <row r="87" spans="1:5" ht="15.75" x14ac:dyDescent="0.3">
      <c r="A87" s="130" t="s">
        <v>171</v>
      </c>
      <c r="B87" s="138">
        <f>$B$73+$C$73+$D$73+$E$76</f>
        <v>2004.0107600000001</v>
      </c>
    </row>
    <row r="89" spans="1:5" ht="15.75" x14ac:dyDescent="0.3">
      <c r="A89" s="110"/>
      <c r="B89" s="113" t="s">
        <v>7</v>
      </c>
      <c r="C89" s="111" t="s">
        <v>8</v>
      </c>
      <c r="D89" s="111" t="s">
        <v>9</v>
      </c>
      <c r="E89" s="111" t="s">
        <v>6</v>
      </c>
    </row>
    <row r="90" spans="1:5" ht="15.75" x14ac:dyDescent="0.3">
      <c r="A90" s="112" t="s">
        <v>139</v>
      </c>
      <c r="B90" s="114">
        <v>1102000</v>
      </c>
      <c r="C90" s="115">
        <v>1141000</v>
      </c>
      <c r="D90" s="115">
        <v>1125000</v>
      </c>
      <c r="E90" s="115">
        <v>1063000</v>
      </c>
    </row>
    <row r="91" spans="1:5" ht="15.75" x14ac:dyDescent="0.3">
      <c r="A91" s="112" t="s">
        <v>164</v>
      </c>
      <c r="B91" s="114">
        <f t="shared" ref="B91:E91" si="17">B$90*(1+$I$4)</f>
        <v>1223220</v>
      </c>
      <c r="C91" s="114">
        <f t="shared" si="17"/>
        <v>1266510</v>
      </c>
      <c r="D91" s="114">
        <f t="shared" si="17"/>
        <v>1248750</v>
      </c>
      <c r="E91" s="114">
        <f t="shared" si="17"/>
        <v>1179930</v>
      </c>
    </row>
    <row r="92" spans="1:5" ht="15.75" x14ac:dyDescent="0.3">
      <c r="A92" s="112" t="s">
        <v>165</v>
      </c>
      <c r="B92" s="114">
        <f>$B$91*(1+$I$4)</f>
        <v>1357774.2000000002</v>
      </c>
      <c r="C92" s="115"/>
      <c r="D92" s="115"/>
      <c r="E92" s="115"/>
    </row>
    <row r="94" spans="1:5" ht="15.75" x14ac:dyDescent="0.3">
      <c r="A94" s="128" t="s">
        <v>148</v>
      </c>
      <c r="B94" s="128"/>
      <c r="C94" s="128"/>
      <c r="D94" s="128"/>
      <c r="E94" s="128"/>
    </row>
    <row r="95" spans="1:5" ht="15.75" x14ac:dyDescent="0.3">
      <c r="A95" s="22"/>
      <c r="B95" s="129" t="s">
        <v>7</v>
      </c>
      <c r="C95" s="129" t="s">
        <v>8</v>
      </c>
      <c r="D95" s="129" t="s">
        <v>9</v>
      </c>
      <c r="E95" s="129" t="s">
        <v>6</v>
      </c>
    </row>
    <row r="96" spans="1:5" ht="15.75" x14ac:dyDescent="0.3">
      <c r="A96" s="130" t="s">
        <v>149</v>
      </c>
      <c r="B96" s="134">
        <f>$B$7*(1-$I$1)</f>
        <v>607500</v>
      </c>
      <c r="C96" s="134">
        <f>B$91-B$97</f>
        <v>774706</v>
      </c>
      <c r="D96" s="134">
        <f t="shared" ref="D96:E96" si="18">C$91-C$97</f>
        <v>802123</v>
      </c>
      <c r="E96" s="134">
        <f t="shared" si="18"/>
        <v>790875</v>
      </c>
    </row>
    <row r="97" spans="1:5" ht="15.75" x14ac:dyDescent="0.3">
      <c r="A97" s="130" t="s">
        <v>150</v>
      </c>
      <c r="B97" s="148">
        <f t="shared" ref="B97:E97" si="19">B$91*$H$18</f>
        <v>448513.99999999994</v>
      </c>
      <c r="C97" s="148">
        <f t="shared" si="19"/>
        <v>464386.99999999994</v>
      </c>
      <c r="D97" s="148">
        <f t="shared" si="19"/>
        <v>457874.99999999994</v>
      </c>
      <c r="E97" s="148">
        <f t="shared" si="19"/>
        <v>432640.99999999994</v>
      </c>
    </row>
    <row r="98" spans="1:5" ht="15.15" customHeight="1" x14ac:dyDescent="0.3">
      <c r="A98" s="130" t="s">
        <v>151</v>
      </c>
      <c r="B98" s="149">
        <f>-($B$8*B$91)*($H$8/90)</f>
        <v>-360170.33333333337</v>
      </c>
      <c r="C98" s="149">
        <f t="shared" ref="C98:E98" si="20">-($B$8*C$91)*($H$8/90)</f>
        <v>-372916.83333333337</v>
      </c>
      <c r="D98" s="149">
        <f t="shared" si="20"/>
        <v>-367687.5</v>
      </c>
      <c r="E98" s="149">
        <f t="shared" si="20"/>
        <v>-347423.83333333337</v>
      </c>
    </row>
    <row r="99" spans="1:5" ht="15.75" x14ac:dyDescent="0.3">
      <c r="A99" s="130" t="s">
        <v>152</v>
      </c>
      <c r="B99" s="149">
        <f>-($B$8*C$91)*(90-$H$8)/90</f>
        <v>-260338.16666666666</v>
      </c>
      <c r="C99" s="149">
        <f t="shared" ref="C99:E99" si="21">-($B$8*D$91)*(90-$H$8)/90</f>
        <v>-256687.5</v>
      </c>
      <c r="D99" s="149">
        <f t="shared" si="21"/>
        <v>-242541.16666666666</v>
      </c>
      <c r="E99" s="149">
        <f>-($B$8*B$92)*(90-$H$8)/90</f>
        <v>-279098.03000000003</v>
      </c>
    </row>
    <row r="100" spans="1:5" ht="15.75" x14ac:dyDescent="0.3">
      <c r="A100" s="130" t="s">
        <v>153</v>
      </c>
      <c r="B100" s="140">
        <f>-(B$91*$B$9)</f>
        <v>-305805</v>
      </c>
      <c r="C100" s="140">
        <f t="shared" ref="C100:E100" si="22">-(C$91*$B$9)</f>
        <v>-316627.5</v>
      </c>
      <c r="D100" s="140">
        <f t="shared" si="22"/>
        <v>-312187.5</v>
      </c>
      <c r="E100" s="140">
        <f t="shared" si="22"/>
        <v>-294982.5</v>
      </c>
    </row>
    <row r="101" spans="1:5" ht="15.75" x14ac:dyDescent="0.3">
      <c r="A101" s="130" t="s">
        <v>154</v>
      </c>
      <c r="B101" s="150">
        <f t="shared" ref="B101:E101" si="23">-$B$10</f>
        <v>-185000</v>
      </c>
      <c r="C101" s="150">
        <f t="shared" si="23"/>
        <v>-185000</v>
      </c>
      <c r="D101" s="150">
        <f t="shared" si="23"/>
        <v>-185000</v>
      </c>
      <c r="E101" s="150">
        <f t="shared" si="23"/>
        <v>-185000</v>
      </c>
    </row>
    <row r="102" spans="1:5" ht="15.75" x14ac:dyDescent="0.3">
      <c r="A102" s="131" t="s">
        <v>156</v>
      </c>
      <c r="B102" s="132"/>
      <c r="C102" s="132"/>
      <c r="D102" s="133">
        <f>-$C$2</f>
        <v>-390000</v>
      </c>
      <c r="E102" s="132"/>
    </row>
    <row r="103" spans="1:5" ht="15.75" x14ac:dyDescent="0.3">
      <c r="A103" s="42" t="s">
        <v>155</v>
      </c>
      <c r="B103" s="145">
        <f t="shared" ref="B103:E103" si="24">_xlfn.AGGREGATE(9,5,B$96:B$102)</f>
        <v>-55299.5</v>
      </c>
      <c r="C103" s="145">
        <f t="shared" si="24"/>
        <v>107861.16666666663</v>
      </c>
      <c r="D103" s="145">
        <f t="shared" si="24"/>
        <v>-237418.16666666663</v>
      </c>
      <c r="E103" s="145">
        <f t="shared" si="24"/>
        <v>117011.6366666666</v>
      </c>
    </row>
    <row r="104" spans="1:5" x14ac:dyDescent="0.3">
      <c r="B104" s="108"/>
    </row>
    <row r="105" spans="1:5" ht="15.75" x14ac:dyDescent="0.3">
      <c r="A105" s="128" t="s">
        <v>119</v>
      </c>
      <c r="B105" s="128"/>
      <c r="C105" s="128"/>
      <c r="D105" s="128"/>
      <c r="E105" s="128"/>
    </row>
    <row r="106" spans="1:5" ht="15.75" x14ac:dyDescent="0.3">
      <c r="A106" s="38"/>
      <c r="B106" s="129" t="s">
        <v>7</v>
      </c>
      <c r="C106" s="129" t="s">
        <v>8</v>
      </c>
      <c r="D106" s="129" t="s">
        <v>9</v>
      </c>
      <c r="E106" s="129" t="s">
        <v>6</v>
      </c>
    </row>
    <row r="107" spans="1:5" ht="15.75" x14ac:dyDescent="0.3">
      <c r="A107" s="130" t="s">
        <v>54</v>
      </c>
      <c r="B107" s="134">
        <f>$B$1</f>
        <v>210000</v>
      </c>
      <c r="C107" s="134">
        <f>B$107+B$108</f>
        <v>154700.5</v>
      </c>
      <c r="D107" s="134">
        <f t="shared" ref="D107:E107" si="25">C$107+C$108</f>
        <v>262561.66666666663</v>
      </c>
      <c r="E107" s="134">
        <f t="shared" si="25"/>
        <v>25143.5</v>
      </c>
    </row>
    <row r="108" spans="1:5" ht="15.75" x14ac:dyDescent="0.3">
      <c r="A108" s="42" t="s">
        <v>95</v>
      </c>
      <c r="B108" s="135">
        <f t="shared" ref="B108:E108" si="26">B$103</f>
        <v>-55299.5</v>
      </c>
      <c r="C108" s="135">
        <f t="shared" si="26"/>
        <v>107861.16666666663</v>
      </c>
      <c r="D108" s="135">
        <f t="shared" si="26"/>
        <v>-237418.16666666663</v>
      </c>
      <c r="E108" s="135">
        <f t="shared" si="26"/>
        <v>117011.6366666666</v>
      </c>
    </row>
    <row r="109" spans="1:5" ht="15.75" x14ac:dyDescent="0.3">
      <c r="A109" s="42" t="s">
        <v>64</v>
      </c>
      <c r="B109" s="136">
        <f t="shared" ref="B109:E109" si="27">SUM(B$107:B$108)</f>
        <v>154700.5</v>
      </c>
      <c r="C109" s="136">
        <f t="shared" si="27"/>
        <v>262561.66666666663</v>
      </c>
      <c r="D109" s="136">
        <f t="shared" si="27"/>
        <v>25143.5</v>
      </c>
      <c r="E109" s="136">
        <f t="shared" si="27"/>
        <v>142155.1366666666</v>
      </c>
    </row>
    <row r="110" spans="1:5" ht="15.75" x14ac:dyDescent="0.3">
      <c r="A110" s="42" t="s">
        <v>99</v>
      </c>
      <c r="B110" s="137">
        <f t="shared" ref="B110:E110" si="28">$B$3</f>
        <v>135000</v>
      </c>
      <c r="C110" s="137">
        <f t="shared" si="28"/>
        <v>135000</v>
      </c>
      <c r="D110" s="137">
        <f t="shared" si="28"/>
        <v>135000</v>
      </c>
      <c r="E110" s="137">
        <f t="shared" si="28"/>
        <v>135000</v>
      </c>
    </row>
    <row r="111" spans="1:5" ht="15.75" x14ac:dyDescent="0.3">
      <c r="A111" s="42" t="s">
        <v>166</v>
      </c>
      <c r="B111" s="136">
        <f t="shared" ref="B111:E111" si="29">B$109-B$110</f>
        <v>19700.5</v>
      </c>
      <c r="C111" s="136">
        <f t="shared" si="29"/>
        <v>127561.66666666663</v>
      </c>
      <c r="D111" s="136">
        <f t="shared" si="29"/>
        <v>-109856.5</v>
      </c>
      <c r="E111" s="136">
        <f t="shared" si="29"/>
        <v>7155.1366666665999</v>
      </c>
    </row>
    <row r="114" spans="1:5" ht="15.75" x14ac:dyDescent="0.3">
      <c r="A114" s="128" t="s">
        <v>167</v>
      </c>
      <c r="B114" s="128"/>
      <c r="C114" s="128"/>
      <c r="D114" s="128"/>
      <c r="E114" s="128"/>
    </row>
    <row r="115" spans="1:5" ht="15.75" x14ac:dyDescent="0.3">
      <c r="A115" s="128"/>
      <c r="B115" s="129" t="s">
        <v>7</v>
      </c>
      <c r="C115" s="129" t="s">
        <v>8</v>
      </c>
      <c r="D115" s="129" t="s">
        <v>9</v>
      </c>
      <c r="E115" s="129" t="s">
        <v>6</v>
      </c>
    </row>
    <row r="116" spans="1:5" ht="15.75" x14ac:dyDescent="0.3">
      <c r="A116" s="130" t="s">
        <v>168</v>
      </c>
      <c r="B116" s="143">
        <f t="shared" ref="B116:E116" si="30">$B$3</f>
        <v>135000</v>
      </c>
      <c r="C116" s="143">
        <f t="shared" si="30"/>
        <v>135000</v>
      </c>
      <c r="D116" s="143">
        <f t="shared" si="30"/>
        <v>135000</v>
      </c>
      <c r="E116" s="143">
        <f t="shared" si="30"/>
        <v>135000</v>
      </c>
    </row>
    <row r="117" spans="1:5" ht="15.75" x14ac:dyDescent="0.3">
      <c r="A117" s="130" t="s">
        <v>95</v>
      </c>
      <c r="B117" s="140">
        <f t="shared" ref="B117:E117" si="31">B$108</f>
        <v>-55299.5</v>
      </c>
      <c r="C117" s="143">
        <f t="shared" si="31"/>
        <v>107861.16666666663</v>
      </c>
      <c r="D117" s="140">
        <f t="shared" si="31"/>
        <v>-237418.16666666663</v>
      </c>
      <c r="E117" s="143">
        <f t="shared" si="31"/>
        <v>117011.6366666666</v>
      </c>
    </row>
    <row r="118" spans="1:5" ht="15.75" x14ac:dyDescent="0.3">
      <c r="A118" s="130" t="s">
        <v>102</v>
      </c>
      <c r="B118" s="143">
        <v>0</v>
      </c>
      <c r="C118" s="140">
        <f>-$C$117-$C$119</f>
        <v>-108236.16666666663</v>
      </c>
      <c r="D118" s="143">
        <v>0</v>
      </c>
      <c r="E118" s="140">
        <f>-$E$117-$E$123-$E$122</f>
        <v>-63106.627669999929</v>
      </c>
    </row>
    <row r="119" spans="1:5" ht="15.75" x14ac:dyDescent="0.3">
      <c r="A119" s="130" t="s">
        <v>103</v>
      </c>
      <c r="B119" s="143">
        <f>$B$127*$I$3</f>
        <v>375</v>
      </c>
      <c r="C119" s="143">
        <f>$C$127*$I$3</f>
        <v>375</v>
      </c>
      <c r="D119" s="143">
        <f>$D$127*$I$3</f>
        <v>916.18083333333311</v>
      </c>
      <c r="E119" s="143"/>
    </row>
    <row r="120" spans="1:5" ht="15.75" x14ac:dyDescent="0.3">
      <c r="A120" s="130" t="s">
        <v>104</v>
      </c>
      <c r="B120" s="143">
        <f>-$B$117-$B$119</f>
        <v>54924.5</v>
      </c>
      <c r="C120" s="143">
        <v>0</v>
      </c>
      <c r="D120" s="143">
        <f>$D$127</f>
        <v>183236.16666666663</v>
      </c>
      <c r="E120" s="143"/>
    </row>
    <row r="121" spans="1:5" ht="15.75" x14ac:dyDescent="0.3">
      <c r="A121" s="130" t="s">
        <v>105</v>
      </c>
      <c r="B121" s="143">
        <v>0</v>
      </c>
      <c r="C121" s="143">
        <v>0</v>
      </c>
      <c r="D121" s="143">
        <f>-$D$117-$D$120-$D$119</f>
        <v>53265.819166666668</v>
      </c>
      <c r="E121" s="143"/>
    </row>
    <row r="122" spans="1:5" ht="15.75" x14ac:dyDescent="0.3">
      <c r="A122" s="130" t="s">
        <v>106</v>
      </c>
      <c r="B122" s="139">
        <v>0</v>
      </c>
      <c r="C122" s="143">
        <v>0</v>
      </c>
      <c r="D122" s="143">
        <v>0</v>
      </c>
      <c r="E122" s="140">
        <f>-$D$121*$I$2</f>
        <v>-639.18983000000003</v>
      </c>
    </row>
    <row r="123" spans="1:5" ht="15.75" x14ac:dyDescent="0.3">
      <c r="A123" s="132" t="s">
        <v>169</v>
      </c>
      <c r="B123" s="139">
        <v>0</v>
      </c>
      <c r="C123" s="139">
        <v>0</v>
      </c>
      <c r="D123" s="139">
        <v>0</v>
      </c>
      <c r="E123" s="139">
        <f>-$D$121</f>
        <v>-53265.819166666668</v>
      </c>
    </row>
    <row r="124" spans="1:5" ht="15.75" x14ac:dyDescent="0.3">
      <c r="A124" s="130" t="s">
        <v>64</v>
      </c>
      <c r="B124" s="143">
        <f t="shared" ref="B124:E124" si="32">_xlfn.AGGREGATE(9,4,B$116:B$123)</f>
        <v>135000</v>
      </c>
      <c r="C124" s="143">
        <f t="shared" si="32"/>
        <v>135000</v>
      </c>
      <c r="D124" s="143">
        <f t="shared" si="32"/>
        <v>135000</v>
      </c>
      <c r="E124" s="143">
        <f t="shared" si="32"/>
        <v>135000</v>
      </c>
    </row>
    <row r="125" spans="1:5" ht="15.75" x14ac:dyDescent="0.3">
      <c r="A125" s="131" t="s">
        <v>170</v>
      </c>
      <c r="B125" s="140">
        <f t="shared" ref="B125:E125" si="33">-B$124</f>
        <v>-135000</v>
      </c>
      <c r="C125" s="140">
        <f t="shared" si="33"/>
        <v>-135000</v>
      </c>
      <c r="D125" s="140">
        <f t="shared" si="33"/>
        <v>-135000</v>
      </c>
      <c r="E125" s="140">
        <f t="shared" si="33"/>
        <v>-135000</v>
      </c>
    </row>
    <row r="126" spans="1:5" ht="15.75" x14ac:dyDescent="0.3">
      <c r="A126" s="130" t="s">
        <v>166</v>
      </c>
      <c r="B126" s="143">
        <f t="shared" ref="B126:E126" si="34">SUM(B$124:B$125)</f>
        <v>0</v>
      </c>
      <c r="C126" s="143">
        <f t="shared" si="34"/>
        <v>0</v>
      </c>
      <c r="D126" s="143">
        <f t="shared" si="34"/>
        <v>0</v>
      </c>
      <c r="E126" s="143">
        <f t="shared" si="34"/>
        <v>0</v>
      </c>
    </row>
    <row r="127" spans="1:5" ht="15.75" x14ac:dyDescent="0.3">
      <c r="A127" s="130" t="s">
        <v>107</v>
      </c>
      <c r="B127" s="143">
        <f>$B$111-$B$117</f>
        <v>75000</v>
      </c>
      <c r="C127" s="143">
        <f>B$128</f>
        <v>75000</v>
      </c>
      <c r="D127" s="143">
        <f>C$128</f>
        <v>183236.16666666663</v>
      </c>
      <c r="E127" s="143">
        <f>D$128</f>
        <v>0</v>
      </c>
    </row>
    <row r="128" spans="1:5" ht="15.75" x14ac:dyDescent="0.3">
      <c r="A128" s="130" t="s">
        <v>108</v>
      </c>
      <c r="B128" s="143">
        <f>$B$127</f>
        <v>75000</v>
      </c>
      <c r="C128" s="143">
        <f>-$C$118+$C$127</f>
        <v>183236.16666666663</v>
      </c>
      <c r="D128" s="143">
        <v>0</v>
      </c>
      <c r="E128" s="143">
        <f>-$E$118</f>
        <v>63106.627669999929</v>
      </c>
    </row>
    <row r="129" spans="1:5" ht="15.75" x14ac:dyDescent="0.3">
      <c r="A129" s="130" t="s">
        <v>109</v>
      </c>
      <c r="B129" s="143">
        <v>0</v>
      </c>
      <c r="C129" s="143">
        <v>0</v>
      </c>
      <c r="D129" s="143">
        <v>0</v>
      </c>
      <c r="E129" s="143">
        <f>-$E$123</f>
        <v>53265.819166666668</v>
      </c>
    </row>
    <row r="130" spans="1:5" ht="15.75" x14ac:dyDescent="0.3">
      <c r="A130" s="130" t="s">
        <v>110</v>
      </c>
      <c r="B130" s="143">
        <v>0</v>
      </c>
      <c r="C130" s="143">
        <v>0</v>
      </c>
      <c r="D130" s="143">
        <f>D121</f>
        <v>53265.819166666668</v>
      </c>
      <c r="E130" s="151">
        <v>0</v>
      </c>
    </row>
    <row r="133" spans="1:5" ht="15.75" x14ac:dyDescent="0.3">
      <c r="A133" s="130" t="s">
        <v>171</v>
      </c>
      <c r="B133" s="138">
        <f>$B$119+$C$119+$D$119+$E$122</f>
        <v>1026.9910033333331</v>
      </c>
    </row>
    <row r="135" spans="1:5" ht="15.75" x14ac:dyDescent="0.3">
      <c r="A135" s="110"/>
      <c r="B135" s="113" t="s">
        <v>7</v>
      </c>
      <c r="C135" s="111" t="s">
        <v>8</v>
      </c>
      <c r="D135" s="111" t="s">
        <v>9</v>
      </c>
      <c r="E135" s="111" t="s">
        <v>6</v>
      </c>
    </row>
    <row r="136" spans="1:5" ht="15.75" x14ac:dyDescent="0.3">
      <c r="A136" s="112" t="s">
        <v>139</v>
      </c>
      <c r="B136" s="114">
        <v>1102000</v>
      </c>
      <c r="C136" s="115">
        <v>1141000</v>
      </c>
      <c r="D136" s="115">
        <v>1125000</v>
      </c>
      <c r="E136" s="115">
        <v>1063000</v>
      </c>
    </row>
    <row r="137" spans="1:5" ht="15.75" x14ac:dyDescent="0.3">
      <c r="A137" s="112" t="s">
        <v>164</v>
      </c>
      <c r="B137" s="114">
        <f t="shared" ref="B137:E137" si="35">B$90*(1+$I$5)</f>
        <v>1157100</v>
      </c>
      <c r="C137" s="114">
        <f t="shared" si="35"/>
        <v>1198050</v>
      </c>
      <c r="D137" s="114">
        <f t="shared" si="35"/>
        <v>1181250</v>
      </c>
      <c r="E137" s="114">
        <f t="shared" si="35"/>
        <v>1116150</v>
      </c>
    </row>
    <row r="138" spans="1:5" ht="15.75" x14ac:dyDescent="0.3">
      <c r="A138" s="112" t="s">
        <v>165</v>
      </c>
      <c r="B138" s="114">
        <f>$B$137*(1+$I$5)</f>
        <v>1214955</v>
      </c>
      <c r="C138" s="115"/>
      <c r="D138" s="115"/>
      <c r="E138" s="115"/>
    </row>
    <row r="140" spans="1:5" ht="15.75" x14ac:dyDescent="0.3">
      <c r="A140" s="128" t="s">
        <v>148</v>
      </c>
      <c r="B140" s="128"/>
      <c r="C140" s="128"/>
      <c r="D140" s="128"/>
      <c r="E140" s="128"/>
    </row>
    <row r="141" spans="1:5" ht="15.75" x14ac:dyDescent="0.3">
      <c r="A141" s="22"/>
      <c r="B141" s="129" t="s">
        <v>7</v>
      </c>
      <c r="C141" s="129" t="s">
        <v>8</v>
      </c>
      <c r="D141" s="129" t="s">
        <v>9</v>
      </c>
      <c r="E141" s="129" t="s">
        <v>6</v>
      </c>
    </row>
    <row r="142" spans="1:5" ht="15.75" x14ac:dyDescent="0.3">
      <c r="A142" s="130" t="s">
        <v>149</v>
      </c>
      <c r="B142" s="134">
        <f>$B$7*(1-$I$1)</f>
        <v>607500</v>
      </c>
      <c r="C142" s="134">
        <f>B$137-B$143</f>
        <v>732830</v>
      </c>
      <c r="D142" s="134">
        <f>C$137-C$143</f>
        <v>758765</v>
      </c>
      <c r="E142" s="134">
        <f>D$137-D$143</f>
        <v>748125</v>
      </c>
    </row>
    <row r="143" spans="1:5" ht="15.75" x14ac:dyDescent="0.3">
      <c r="A143" s="130" t="s">
        <v>150</v>
      </c>
      <c r="B143" s="148">
        <f t="shared" ref="B143:E143" si="36">B$137*$H$18</f>
        <v>424269.99999999994</v>
      </c>
      <c r="C143" s="148">
        <f t="shared" si="36"/>
        <v>439284.99999999994</v>
      </c>
      <c r="D143" s="148">
        <f t="shared" si="36"/>
        <v>433124.99999999994</v>
      </c>
      <c r="E143" s="148">
        <f t="shared" si="36"/>
        <v>409255</v>
      </c>
    </row>
    <row r="144" spans="1:5" ht="14.55" customHeight="1" x14ac:dyDescent="0.3">
      <c r="A144" s="130" t="s">
        <v>151</v>
      </c>
      <c r="B144" s="149">
        <f t="shared" ref="B144:E144" si="37">-($B$8*B$137)*($H$8/90)</f>
        <v>-340701.66666666669</v>
      </c>
      <c r="C144" s="149">
        <f t="shared" si="37"/>
        <v>-352759.16666666669</v>
      </c>
      <c r="D144" s="149">
        <f t="shared" si="37"/>
        <v>-347812.5</v>
      </c>
      <c r="E144" s="149">
        <f t="shared" si="37"/>
        <v>-328644.16666666669</v>
      </c>
    </row>
    <row r="145" spans="1:5" ht="15.75" x14ac:dyDescent="0.3">
      <c r="A145" s="130" t="s">
        <v>152</v>
      </c>
      <c r="B145" s="149">
        <f t="shared" ref="B145:D145" si="38">-($B$8*C$137)*(90-$H$8)/90</f>
        <v>-246265.83333333334</v>
      </c>
      <c r="C145" s="149">
        <f t="shared" si="38"/>
        <v>-242812.5</v>
      </c>
      <c r="D145" s="149">
        <f t="shared" si="38"/>
        <v>-229430.83333333334</v>
      </c>
      <c r="E145" s="149">
        <f>-($B$8*B$138)*(90-$H$8)/90</f>
        <v>-249740.75</v>
      </c>
    </row>
    <row r="146" spans="1:5" ht="15.75" x14ac:dyDescent="0.3">
      <c r="A146" s="130" t="s">
        <v>153</v>
      </c>
      <c r="B146" s="140">
        <f t="shared" ref="B146:E146" si="39">-(B$137*$B$9)</f>
        <v>-289275</v>
      </c>
      <c r="C146" s="140">
        <f t="shared" si="39"/>
        <v>-299512.5</v>
      </c>
      <c r="D146" s="140">
        <f t="shared" si="39"/>
        <v>-295312.5</v>
      </c>
      <c r="E146" s="140">
        <f t="shared" si="39"/>
        <v>-279037.5</v>
      </c>
    </row>
    <row r="147" spans="1:5" ht="15.75" x14ac:dyDescent="0.3">
      <c r="A147" s="130" t="s">
        <v>154</v>
      </c>
      <c r="B147" s="150">
        <f t="shared" ref="B147:E147" si="40">-$B$10</f>
        <v>-185000</v>
      </c>
      <c r="C147" s="150">
        <f t="shared" si="40"/>
        <v>-185000</v>
      </c>
      <c r="D147" s="150">
        <f t="shared" si="40"/>
        <v>-185000</v>
      </c>
      <c r="E147" s="150">
        <f t="shared" si="40"/>
        <v>-185000</v>
      </c>
    </row>
    <row r="148" spans="1:5" ht="15.75" x14ac:dyDescent="0.3">
      <c r="A148" s="131" t="s">
        <v>156</v>
      </c>
      <c r="B148" s="132"/>
      <c r="C148" s="132"/>
      <c r="D148" s="133">
        <f>-$C$2</f>
        <v>-390000</v>
      </c>
      <c r="E148" s="132"/>
    </row>
    <row r="149" spans="1:5" ht="15.75" x14ac:dyDescent="0.3">
      <c r="A149" s="42" t="s">
        <v>155</v>
      </c>
      <c r="B149" s="145">
        <f t="shared" ref="B149:E149" si="41">_xlfn.AGGREGATE(9,4,B$142:B$148)</f>
        <v>-29472.500000000116</v>
      </c>
      <c r="C149" s="145">
        <f t="shared" si="41"/>
        <v>92030.833333333256</v>
      </c>
      <c r="D149" s="145">
        <f t="shared" si="41"/>
        <v>-255665.83333333337</v>
      </c>
      <c r="E149" s="145">
        <f t="shared" si="41"/>
        <v>114957.58333333326</v>
      </c>
    </row>
    <row r="150" spans="1:5" x14ac:dyDescent="0.3">
      <c r="B150" s="108"/>
    </row>
    <row r="151" spans="1:5" ht="15.75" x14ac:dyDescent="0.3">
      <c r="A151" s="128" t="s">
        <v>119</v>
      </c>
      <c r="B151" s="128"/>
      <c r="C151" s="128"/>
      <c r="D151" s="128"/>
      <c r="E151" s="128"/>
    </row>
    <row r="152" spans="1:5" ht="15.75" x14ac:dyDescent="0.3">
      <c r="A152" s="38"/>
      <c r="B152" s="129" t="s">
        <v>7</v>
      </c>
      <c r="C152" s="129" t="s">
        <v>8</v>
      </c>
      <c r="D152" s="129" t="s">
        <v>9</v>
      </c>
      <c r="E152" s="129" t="s">
        <v>6</v>
      </c>
    </row>
    <row r="153" spans="1:5" ht="15.75" x14ac:dyDescent="0.3">
      <c r="A153" s="130" t="s">
        <v>54</v>
      </c>
      <c r="B153" s="134">
        <f>$B$1</f>
        <v>210000</v>
      </c>
      <c r="C153" s="134">
        <f>B$153+B$154</f>
        <v>180527.49999999988</v>
      </c>
      <c r="D153" s="134">
        <f t="shared" ref="D153:E153" si="42">C$153+C$154</f>
        <v>272558.33333333314</v>
      </c>
      <c r="E153" s="134">
        <f t="shared" si="42"/>
        <v>16892.499999999767</v>
      </c>
    </row>
    <row r="154" spans="1:5" ht="15.75" x14ac:dyDescent="0.3">
      <c r="A154" s="42" t="s">
        <v>95</v>
      </c>
      <c r="B154" s="135">
        <f t="shared" ref="B154:E154" si="43">B$149</f>
        <v>-29472.500000000116</v>
      </c>
      <c r="C154" s="135">
        <f t="shared" si="43"/>
        <v>92030.833333333256</v>
      </c>
      <c r="D154" s="135">
        <f t="shared" si="43"/>
        <v>-255665.83333333337</v>
      </c>
      <c r="E154" s="135">
        <f t="shared" si="43"/>
        <v>114957.58333333326</v>
      </c>
    </row>
    <row r="155" spans="1:5" ht="15.75" x14ac:dyDescent="0.3">
      <c r="A155" s="42" t="s">
        <v>64</v>
      </c>
      <c r="B155" s="136">
        <f t="shared" ref="B155:E155" si="44">SUM(B$153:B$154)</f>
        <v>180527.49999999988</v>
      </c>
      <c r="C155" s="136">
        <f t="shared" si="44"/>
        <v>272558.33333333314</v>
      </c>
      <c r="D155" s="136">
        <f t="shared" si="44"/>
        <v>16892.499999999767</v>
      </c>
      <c r="E155" s="136">
        <f t="shared" si="44"/>
        <v>131850.08333333302</v>
      </c>
    </row>
    <row r="156" spans="1:5" ht="15.75" x14ac:dyDescent="0.3">
      <c r="A156" s="42" t="s">
        <v>99</v>
      </c>
      <c r="B156" s="137">
        <f t="shared" ref="B156:E156" si="45">$B$3</f>
        <v>135000</v>
      </c>
      <c r="C156" s="137">
        <f t="shared" si="45"/>
        <v>135000</v>
      </c>
      <c r="D156" s="137">
        <f t="shared" si="45"/>
        <v>135000</v>
      </c>
      <c r="E156" s="137">
        <f t="shared" si="45"/>
        <v>135000</v>
      </c>
    </row>
    <row r="157" spans="1:5" ht="15.75" x14ac:dyDescent="0.3">
      <c r="A157" s="42" t="s">
        <v>166</v>
      </c>
      <c r="B157" s="136">
        <f t="shared" ref="B157:E157" si="46">B$155-B$156</f>
        <v>45527.499999999884</v>
      </c>
      <c r="C157" s="136">
        <f t="shared" si="46"/>
        <v>137558.33333333314</v>
      </c>
      <c r="D157" s="136">
        <f t="shared" si="46"/>
        <v>-118107.50000000023</v>
      </c>
      <c r="E157" s="136">
        <f t="shared" si="46"/>
        <v>-3149.9166666669771</v>
      </c>
    </row>
    <row r="160" spans="1:5" ht="15.75" x14ac:dyDescent="0.3">
      <c r="A160" s="128" t="s">
        <v>167</v>
      </c>
      <c r="B160" s="128"/>
      <c r="C160" s="128"/>
      <c r="D160" s="128"/>
      <c r="E160" s="128"/>
    </row>
    <row r="161" spans="1:5" ht="15.75" x14ac:dyDescent="0.3">
      <c r="A161" s="128"/>
      <c r="B161" s="129" t="s">
        <v>7</v>
      </c>
      <c r="C161" s="129" t="s">
        <v>8</v>
      </c>
      <c r="D161" s="129" t="s">
        <v>9</v>
      </c>
      <c r="E161" s="129" t="s">
        <v>6</v>
      </c>
    </row>
    <row r="162" spans="1:5" ht="15.75" x14ac:dyDescent="0.3">
      <c r="A162" s="130" t="s">
        <v>168</v>
      </c>
      <c r="B162" s="143">
        <f t="shared" ref="B162:E162" si="47">$B$3</f>
        <v>135000</v>
      </c>
      <c r="C162" s="143">
        <f t="shared" si="47"/>
        <v>135000</v>
      </c>
      <c r="D162" s="143">
        <f t="shared" si="47"/>
        <v>135000</v>
      </c>
      <c r="E162" s="143">
        <f t="shared" si="47"/>
        <v>135000</v>
      </c>
    </row>
    <row r="163" spans="1:5" ht="15.75" x14ac:dyDescent="0.3">
      <c r="A163" s="130" t="s">
        <v>95</v>
      </c>
      <c r="B163" s="140">
        <f t="shared" ref="B163:E163" si="48">B$154</f>
        <v>-29472.500000000116</v>
      </c>
      <c r="C163" s="143">
        <f t="shared" si="48"/>
        <v>92030.833333333256</v>
      </c>
      <c r="D163" s="140">
        <f t="shared" si="48"/>
        <v>-255665.83333333337</v>
      </c>
      <c r="E163" s="143">
        <f t="shared" si="48"/>
        <v>114957.58333333326</v>
      </c>
    </row>
    <row r="164" spans="1:5" ht="15.75" x14ac:dyDescent="0.3">
      <c r="A164" s="130" t="s">
        <v>102</v>
      </c>
      <c r="B164" s="143">
        <v>0</v>
      </c>
      <c r="C164" s="140">
        <f>-$C$163+-$C$165</f>
        <v>-92405.833333333256</v>
      </c>
      <c r="D164" s="143">
        <v>0</v>
      </c>
      <c r="E164" s="140">
        <f>-$E$163-$E$169-$E$168</f>
        <v>-26485.536849999797</v>
      </c>
    </row>
    <row r="165" spans="1:5" ht="15.75" x14ac:dyDescent="0.3">
      <c r="A165" s="130" t="s">
        <v>103</v>
      </c>
      <c r="B165" s="143">
        <f>$B$173*$I$3</f>
        <v>375</v>
      </c>
      <c r="C165" s="143">
        <f>$C$173*$I$3</f>
        <v>375</v>
      </c>
      <c r="D165" s="143">
        <f>$D$173*$I$3</f>
        <v>837.02916666666624</v>
      </c>
      <c r="E165" s="143">
        <v>0</v>
      </c>
    </row>
    <row r="166" spans="1:5" ht="15.75" x14ac:dyDescent="0.3">
      <c r="A166" s="130" t="s">
        <v>104</v>
      </c>
      <c r="B166" s="143">
        <f>-$B$163-$B$165</f>
        <v>29097.500000000116</v>
      </c>
      <c r="C166" s="143">
        <v>0</v>
      </c>
      <c r="D166" s="143">
        <f>$D$173</f>
        <v>167405.83333333326</v>
      </c>
      <c r="E166" s="143">
        <v>0</v>
      </c>
    </row>
    <row r="167" spans="1:5" ht="15.75" x14ac:dyDescent="0.3">
      <c r="A167" s="130" t="s">
        <v>105</v>
      </c>
      <c r="B167" s="143">
        <v>0</v>
      </c>
      <c r="C167" s="143">
        <v>0</v>
      </c>
      <c r="D167" s="143">
        <f>-$D$163-$D$166-$D$165</f>
        <v>87422.970833333457</v>
      </c>
      <c r="E167" s="143">
        <v>0</v>
      </c>
    </row>
    <row r="168" spans="1:5" ht="15.75" x14ac:dyDescent="0.3">
      <c r="A168" s="130" t="s">
        <v>106</v>
      </c>
      <c r="B168" s="139">
        <v>0</v>
      </c>
      <c r="C168" s="143">
        <v>0</v>
      </c>
      <c r="D168" s="143">
        <v>0</v>
      </c>
      <c r="E168" s="140">
        <f>-$D$167*$I$2</f>
        <v>-1049.0756500000016</v>
      </c>
    </row>
    <row r="169" spans="1:5" ht="15.75" x14ac:dyDescent="0.3">
      <c r="A169" s="132" t="s">
        <v>169</v>
      </c>
      <c r="B169" s="139">
        <v>0</v>
      </c>
      <c r="C169" s="139">
        <v>0</v>
      </c>
      <c r="D169" s="139">
        <v>0</v>
      </c>
      <c r="E169" s="139">
        <f>-$D$167</f>
        <v>-87422.970833333457</v>
      </c>
    </row>
    <row r="170" spans="1:5" ht="15.75" x14ac:dyDescent="0.3">
      <c r="A170" s="130" t="s">
        <v>64</v>
      </c>
      <c r="B170" s="143">
        <f t="shared" ref="B170:E170" si="49">_xlfn.AGGREGATE(9,4,B$162:B$169)</f>
        <v>135000</v>
      </c>
      <c r="C170" s="143">
        <f t="shared" si="49"/>
        <v>135000</v>
      </c>
      <c r="D170" s="143">
        <f t="shared" si="49"/>
        <v>135000</v>
      </c>
      <c r="E170" s="143">
        <f t="shared" si="49"/>
        <v>135000</v>
      </c>
    </row>
    <row r="171" spans="1:5" ht="15.75" x14ac:dyDescent="0.3">
      <c r="A171" s="131" t="s">
        <v>170</v>
      </c>
      <c r="B171" s="140">
        <f t="shared" ref="B171:E171" si="50">-B$170</f>
        <v>-135000</v>
      </c>
      <c r="C171" s="140">
        <f t="shared" si="50"/>
        <v>-135000</v>
      </c>
      <c r="D171" s="140">
        <f t="shared" si="50"/>
        <v>-135000</v>
      </c>
      <c r="E171" s="140">
        <f t="shared" si="50"/>
        <v>-135000</v>
      </c>
    </row>
    <row r="172" spans="1:5" ht="15.75" x14ac:dyDescent="0.3">
      <c r="A172" s="130" t="s">
        <v>166</v>
      </c>
      <c r="B172" s="143">
        <f t="shared" ref="B172:E172" si="51">SUM(B$170:B$171)</f>
        <v>0</v>
      </c>
      <c r="C172" s="143">
        <f t="shared" si="51"/>
        <v>0</v>
      </c>
      <c r="D172" s="143">
        <f t="shared" si="51"/>
        <v>0</v>
      </c>
      <c r="E172" s="143">
        <f t="shared" si="51"/>
        <v>0</v>
      </c>
    </row>
    <row r="173" spans="1:5" ht="15.75" x14ac:dyDescent="0.3">
      <c r="A173" s="130" t="s">
        <v>107</v>
      </c>
      <c r="B173" s="143">
        <f>$B$157-$B$163</f>
        <v>75000</v>
      </c>
      <c r="C173" s="143">
        <f>B$174</f>
        <v>75000</v>
      </c>
      <c r="D173" s="143">
        <f>C$174</f>
        <v>167405.83333333326</v>
      </c>
      <c r="E173" s="143">
        <f>D$174</f>
        <v>0</v>
      </c>
    </row>
    <row r="174" spans="1:5" ht="15.75" x14ac:dyDescent="0.3">
      <c r="A174" s="130" t="s">
        <v>108</v>
      </c>
      <c r="B174" s="143">
        <f>$B$173</f>
        <v>75000</v>
      </c>
      <c r="C174" s="143">
        <f>-$C$164+$C$173</f>
        <v>167405.83333333326</v>
      </c>
      <c r="D174" s="143">
        <v>0</v>
      </c>
      <c r="E174" s="143">
        <f>-$E$164</f>
        <v>26485.536849999797</v>
      </c>
    </row>
    <row r="175" spans="1:5" ht="15.75" x14ac:dyDescent="0.3">
      <c r="A175" s="130" t="s">
        <v>109</v>
      </c>
      <c r="B175" s="143">
        <v>0</v>
      </c>
      <c r="C175" s="143">
        <v>0</v>
      </c>
      <c r="D175" s="143">
        <v>0</v>
      </c>
      <c r="E175" s="143">
        <f>-$E$169</f>
        <v>87422.970833333457</v>
      </c>
    </row>
    <row r="176" spans="1:5" ht="15.75" x14ac:dyDescent="0.3">
      <c r="A176" s="130" t="s">
        <v>110</v>
      </c>
      <c r="B176" s="143">
        <v>0</v>
      </c>
      <c r="C176" s="143">
        <v>0</v>
      </c>
      <c r="D176" s="143">
        <f>$D$167</f>
        <v>87422.970833333457</v>
      </c>
      <c r="E176" s="143">
        <v>0</v>
      </c>
    </row>
    <row r="179" spans="1:5" ht="15.75" x14ac:dyDescent="0.3">
      <c r="A179" s="130" t="s">
        <v>171</v>
      </c>
      <c r="B179" s="138">
        <f>$B$165+$C$165+$D$165+$E$168</f>
        <v>537.95351666666465</v>
      </c>
    </row>
    <row r="181" spans="1:5" ht="15.75" x14ac:dyDescent="0.3">
      <c r="A181" s="110"/>
      <c r="B181" s="113" t="s">
        <v>7</v>
      </c>
      <c r="C181" s="111" t="s">
        <v>8</v>
      </c>
      <c r="D181" s="111" t="s">
        <v>9</v>
      </c>
      <c r="E181" s="111" t="s">
        <v>6</v>
      </c>
    </row>
    <row r="182" spans="1:5" ht="15.75" x14ac:dyDescent="0.3">
      <c r="A182" s="112" t="s">
        <v>139</v>
      </c>
      <c r="B182" s="114">
        <v>1102000</v>
      </c>
      <c r="C182" s="115">
        <v>1141000</v>
      </c>
      <c r="D182" s="115">
        <v>1125000</v>
      </c>
      <c r="E182" s="115">
        <v>1063000</v>
      </c>
    </row>
    <row r="183" spans="1:5" ht="15.75" x14ac:dyDescent="0.3">
      <c r="A183" s="112" t="s">
        <v>164</v>
      </c>
      <c r="B183" s="114">
        <f t="shared" ref="B183:E183" si="52">B$90*(1+$I$6)</f>
        <v>1326329.7673971658</v>
      </c>
      <c r="C183" s="114">
        <f t="shared" si="52"/>
        <v>1373268.8426498785</v>
      </c>
      <c r="D183" s="114">
        <f t="shared" si="52"/>
        <v>1354011.7861359452</v>
      </c>
      <c r="E183" s="114">
        <f t="shared" si="52"/>
        <v>1279390.6921444531</v>
      </c>
    </row>
    <row r="184" spans="1:5" ht="15.75" x14ac:dyDescent="0.3">
      <c r="A184" s="112" t="s">
        <v>165</v>
      </c>
      <c r="B184" s="114">
        <f>$B$183*(1+$I$6)</f>
        <v>1596325.4554299635</v>
      </c>
      <c r="C184" s="115"/>
      <c r="D184" s="115"/>
      <c r="E184" s="115"/>
    </row>
    <row r="186" spans="1:5" ht="15.75" x14ac:dyDescent="0.3">
      <c r="A186" s="128" t="s">
        <v>148</v>
      </c>
      <c r="B186" s="128"/>
      <c r="C186" s="128"/>
      <c r="D186" s="128"/>
      <c r="E186" s="128"/>
    </row>
    <row r="187" spans="1:5" ht="15.75" x14ac:dyDescent="0.3">
      <c r="A187" s="22"/>
      <c r="B187" s="129" t="s">
        <v>7</v>
      </c>
      <c r="C187" s="129" t="s">
        <v>8</v>
      </c>
      <c r="D187" s="129" t="s">
        <v>9</v>
      </c>
      <c r="E187" s="129" t="s">
        <v>6</v>
      </c>
    </row>
    <row r="188" spans="1:5" ht="15.75" x14ac:dyDescent="0.3">
      <c r="A188" s="130" t="s">
        <v>149</v>
      </c>
      <c r="B188" s="134">
        <f>$B$7*(1-$I$1)</f>
        <v>607500</v>
      </c>
      <c r="C188" s="134">
        <f>B$183-B$189</f>
        <v>840008.85268487176</v>
      </c>
      <c r="D188" s="134">
        <f t="shared" ref="D188:E188" si="53">C$183-C$189</f>
        <v>869736.93367825635</v>
      </c>
      <c r="E188" s="134">
        <f t="shared" si="53"/>
        <v>857540.79788609874</v>
      </c>
    </row>
    <row r="189" spans="1:5" ht="15.75" x14ac:dyDescent="0.3">
      <c r="A189" s="130" t="s">
        <v>150</v>
      </c>
      <c r="B189" s="148">
        <f t="shared" ref="B189:E189" si="54">B$183*$H$18</f>
        <v>486320.91471229406</v>
      </c>
      <c r="C189" s="148">
        <f t="shared" si="54"/>
        <v>503531.90897162206</v>
      </c>
      <c r="D189" s="148">
        <f t="shared" si="54"/>
        <v>496470.98824984656</v>
      </c>
      <c r="E189" s="148">
        <f t="shared" si="54"/>
        <v>469109.92045296606</v>
      </c>
    </row>
    <row r="190" spans="1:5" ht="15.75" x14ac:dyDescent="0.3">
      <c r="A190" s="130" t="s">
        <v>151</v>
      </c>
      <c r="B190" s="149">
        <f t="shared" ref="B190:E190" si="55">-($B$8*B$183)*($H$8/90)</f>
        <v>-390530.43151138769</v>
      </c>
      <c r="C190" s="149">
        <f t="shared" si="55"/>
        <v>-404351.38144690869</v>
      </c>
      <c r="D190" s="149">
        <f t="shared" si="55"/>
        <v>-398681.24814002833</v>
      </c>
      <c r="E190" s="149">
        <f t="shared" si="55"/>
        <v>-376709.48157586675</v>
      </c>
    </row>
    <row r="191" spans="1:5" ht="15.75" x14ac:dyDescent="0.3">
      <c r="A191" s="130" t="s">
        <v>152</v>
      </c>
      <c r="B191" s="149">
        <f t="shared" ref="B191:D191" si="56">-($B$8*C$183)*(90-$H$8)/90</f>
        <v>-282283.0398780306</v>
      </c>
      <c r="C191" s="149">
        <f t="shared" si="56"/>
        <v>-278324.64492794429</v>
      </c>
      <c r="D191" s="149">
        <f t="shared" si="56"/>
        <v>-262985.86449635983</v>
      </c>
      <c r="E191" s="149">
        <f>-($B$8*B$184)*(90-$H$8)/90</f>
        <v>-328133.56583838142</v>
      </c>
    </row>
    <row r="192" spans="1:5" ht="15.75" x14ac:dyDescent="0.3">
      <c r="A192" s="130" t="s">
        <v>153</v>
      </c>
      <c r="B192" s="140">
        <f t="shared" ref="B192:E192" si="57">-(B$183*$B$9)</f>
        <v>-331582.44184929144</v>
      </c>
      <c r="C192" s="140">
        <f t="shared" si="57"/>
        <v>-343317.21066246962</v>
      </c>
      <c r="D192" s="140">
        <f t="shared" si="57"/>
        <v>-338502.94653398631</v>
      </c>
      <c r="E192" s="140">
        <f t="shared" si="57"/>
        <v>-319847.67303611326</v>
      </c>
    </row>
    <row r="193" spans="1:5" ht="15.75" x14ac:dyDescent="0.3">
      <c r="A193" s="130" t="s">
        <v>154</v>
      </c>
      <c r="B193" s="150">
        <f t="shared" ref="B193:E193" si="58">-$B$10</f>
        <v>-185000</v>
      </c>
      <c r="C193" s="150">
        <f t="shared" si="58"/>
        <v>-185000</v>
      </c>
      <c r="D193" s="150">
        <f t="shared" si="58"/>
        <v>-185000</v>
      </c>
      <c r="E193" s="150">
        <f t="shared" si="58"/>
        <v>-185000</v>
      </c>
    </row>
    <row r="194" spans="1:5" ht="15.75" x14ac:dyDescent="0.3">
      <c r="A194" s="131" t="s">
        <v>156</v>
      </c>
      <c r="B194" s="132"/>
      <c r="C194" s="132"/>
      <c r="D194" s="133">
        <f>-$C$2</f>
        <v>-390000</v>
      </c>
      <c r="E194" s="132"/>
    </row>
    <row r="195" spans="1:5" ht="15.75" x14ac:dyDescent="0.3">
      <c r="A195" s="42" t="s">
        <v>155</v>
      </c>
      <c r="B195" s="145">
        <f t="shared" ref="B195:E195" si="59">_xlfn.AGGREGATE(9,4,B$188:B$194)</f>
        <v>-95574.998526415729</v>
      </c>
      <c r="C195" s="145">
        <f t="shared" si="59"/>
        <v>132547.52461917128</v>
      </c>
      <c r="D195" s="145">
        <f t="shared" si="59"/>
        <v>-208962.13724227162</v>
      </c>
      <c r="E195" s="145">
        <f t="shared" si="59"/>
        <v>116959.99788870348</v>
      </c>
    </row>
    <row r="196" spans="1:5" x14ac:dyDescent="0.3">
      <c r="B196" s="108"/>
    </row>
    <row r="197" spans="1:5" ht="15.75" x14ac:dyDescent="0.3">
      <c r="A197" s="128" t="s">
        <v>119</v>
      </c>
      <c r="B197" s="128"/>
      <c r="C197" s="128"/>
      <c r="D197" s="128"/>
      <c r="E197" s="128"/>
    </row>
    <row r="198" spans="1:5" ht="15.75" x14ac:dyDescent="0.3">
      <c r="A198" s="38"/>
      <c r="B198" s="129" t="s">
        <v>7</v>
      </c>
      <c r="C198" s="129" t="s">
        <v>8</v>
      </c>
      <c r="D198" s="129" t="s">
        <v>9</v>
      </c>
      <c r="E198" s="129" t="s">
        <v>6</v>
      </c>
    </row>
    <row r="199" spans="1:5" ht="15.75" x14ac:dyDescent="0.3">
      <c r="A199" s="130" t="s">
        <v>54</v>
      </c>
      <c r="B199" s="134">
        <f>$B$1</f>
        <v>210000</v>
      </c>
      <c r="C199" s="134">
        <f>B$199+B$200</f>
        <v>114425.00147358427</v>
      </c>
      <c r="D199" s="134">
        <f t="shared" ref="D199:E199" si="60">C$199+C$200</f>
        <v>246972.52609275555</v>
      </c>
      <c r="E199" s="134">
        <f t="shared" si="60"/>
        <v>38010.388850483927</v>
      </c>
    </row>
    <row r="200" spans="1:5" ht="15.75" x14ac:dyDescent="0.3">
      <c r="A200" s="42" t="s">
        <v>95</v>
      </c>
      <c r="B200" s="145">
        <f t="shared" ref="B200:E200" si="61">B$195</f>
        <v>-95574.998526415729</v>
      </c>
      <c r="C200" s="145">
        <f t="shared" si="61"/>
        <v>132547.52461917128</v>
      </c>
      <c r="D200" s="145">
        <f t="shared" si="61"/>
        <v>-208962.13724227162</v>
      </c>
      <c r="E200" s="145">
        <f t="shared" si="61"/>
        <v>116959.99788870348</v>
      </c>
    </row>
    <row r="201" spans="1:5" ht="15.75" x14ac:dyDescent="0.3">
      <c r="A201" s="42" t="s">
        <v>64</v>
      </c>
      <c r="B201" s="146">
        <f t="shared" ref="B201:E201" si="62">SUM(B$199:B$200)</f>
        <v>114425.00147358427</v>
      </c>
      <c r="C201" s="146">
        <f t="shared" si="62"/>
        <v>246972.52609275555</v>
      </c>
      <c r="D201" s="146">
        <f t="shared" si="62"/>
        <v>38010.388850483927</v>
      </c>
      <c r="E201" s="146">
        <f t="shared" si="62"/>
        <v>154970.38673918741</v>
      </c>
    </row>
    <row r="202" spans="1:5" ht="15.75" x14ac:dyDescent="0.3">
      <c r="A202" s="42" t="s">
        <v>99</v>
      </c>
      <c r="B202" s="147">
        <f t="shared" ref="B202:E202" si="63">$B$3</f>
        <v>135000</v>
      </c>
      <c r="C202" s="147">
        <f t="shared" si="63"/>
        <v>135000</v>
      </c>
      <c r="D202" s="147">
        <f t="shared" si="63"/>
        <v>135000</v>
      </c>
      <c r="E202" s="147">
        <f t="shared" si="63"/>
        <v>135000</v>
      </c>
    </row>
    <row r="203" spans="1:5" ht="15.75" x14ac:dyDescent="0.3">
      <c r="A203" s="42" t="s">
        <v>166</v>
      </c>
      <c r="B203" s="146">
        <f t="shared" ref="B203:E203" si="64">B$201-B$202</f>
        <v>-20574.998526415729</v>
      </c>
      <c r="C203" s="146">
        <f t="shared" si="64"/>
        <v>111972.52609275555</v>
      </c>
      <c r="D203" s="146">
        <f t="shared" si="64"/>
        <v>-96989.611149516073</v>
      </c>
      <c r="E203" s="146">
        <f t="shared" si="64"/>
        <v>19970.386739187408</v>
      </c>
    </row>
    <row r="206" spans="1:5" ht="15.75" x14ac:dyDescent="0.3">
      <c r="A206" s="128" t="s">
        <v>167</v>
      </c>
      <c r="B206" s="128"/>
      <c r="C206" s="128"/>
      <c r="D206" s="128"/>
      <c r="E206" s="128"/>
    </row>
    <row r="207" spans="1:5" ht="15.75" x14ac:dyDescent="0.3">
      <c r="A207" s="128"/>
      <c r="B207" s="129" t="s">
        <v>7</v>
      </c>
      <c r="C207" s="129" t="s">
        <v>8</v>
      </c>
      <c r="D207" s="129" t="s">
        <v>9</v>
      </c>
      <c r="E207" s="129" t="s">
        <v>6</v>
      </c>
    </row>
    <row r="208" spans="1:5" ht="15.75" x14ac:dyDescent="0.3">
      <c r="A208" s="130" t="s">
        <v>168</v>
      </c>
      <c r="B208" s="143">
        <f t="shared" ref="B208:E208" si="65">$B$3</f>
        <v>135000</v>
      </c>
      <c r="C208" s="143">
        <f t="shared" si="65"/>
        <v>135000</v>
      </c>
      <c r="D208" s="143">
        <f t="shared" si="65"/>
        <v>135000</v>
      </c>
      <c r="E208" s="143">
        <f t="shared" si="65"/>
        <v>135000</v>
      </c>
    </row>
    <row r="209" spans="1:5" ht="15.75" x14ac:dyDescent="0.3">
      <c r="A209" s="130" t="s">
        <v>95</v>
      </c>
      <c r="B209" s="140">
        <f t="shared" ref="B209:E209" si="66">B$200</f>
        <v>-95574.998526415729</v>
      </c>
      <c r="C209" s="143">
        <f t="shared" si="66"/>
        <v>132547.52461917128</v>
      </c>
      <c r="D209" s="140">
        <f t="shared" si="66"/>
        <v>-208962.13724227162</v>
      </c>
      <c r="E209" s="143">
        <f t="shared" si="66"/>
        <v>116959.99788870348</v>
      </c>
    </row>
    <row r="210" spans="1:5" ht="15.75" x14ac:dyDescent="0.3">
      <c r="A210" s="130" t="s">
        <v>102</v>
      </c>
      <c r="B210" s="143">
        <v>0</v>
      </c>
      <c r="C210" s="140">
        <f>-$C$209+-$C$211</f>
        <v>-132922.52461917128</v>
      </c>
      <c r="D210" s="143">
        <v>0</v>
      </c>
      <c r="E210" s="140">
        <f>-$E$209-$E$215-$E$214</f>
        <v>-116959.99788869894</v>
      </c>
    </row>
    <row r="211" spans="1:5" ht="15.75" x14ac:dyDescent="0.3">
      <c r="A211" s="130" t="s">
        <v>103</v>
      </c>
      <c r="B211" s="143">
        <f>$B$219*$I$3</f>
        <v>375</v>
      </c>
      <c r="C211" s="143">
        <f>$C$219*$I$3</f>
        <v>375</v>
      </c>
      <c r="D211" s="143">
        <f>$D$219*$I$3</f>
        <v>1039.6126230958564</v>
      </c>
      <c r="E211" s="143">
        <v>0</v>
      </c>
    </row>
    <row r="212" spans="1:5" ht="15.75" x14ac:dyDescent="0.3">
      <c r="A212" s="130" t="s">
        <v>104</v>
      </c>
      <c r="B212" s="143">
        <f>-$B$209-$B$211</f>
        <v>95199.998526415729</v>
      </c>
      <c r="C212" s="143">
        <v>0</v>
      </c>
      <c r="D212" s="143">
        <f>$D$219</f>
        <v>207922.52461917128</v>
      </c>
      <c r="E212" s="143">
        <v>0</v>
      </c>
    </row>
    <row r="213" spans="1:5" ht="15.75" x14ac:dyDescent="0.3">
      <c r="A213" s="130" t="s">
        <v>105</v>
      </c>
      <c r="B213" s="143">
        <v>0</v>
      </c>
      <c r="C213" s="143">
        <v>0</v>
      </c>
      <c r="D213" s="144">
        <f>-$D$209-$D$212-$D$211</f>
        <v>4.4872194848721847E-9</v>
      </c>
      <c r="E213" s="143">
        <v>0</v>
      </c>
    </row>
    <row r="214" spans="1:5" ht="15.75" x14ac:dyDescent="0.3">
      <c r="A214" s="130" t="s">
        <v>106</v>
      </c>
      <c r="B214" s="139">
        <v>0</v>
      </c>
      <c r="C214" s="143">
        <v>0</v>
      </c>
      <c r="D214" s="143">
        <v>0</v>
      </c>
      <c r="E214" s="143">
        <f>-$D$213*$I$2</f>
        <v>-5.3846633818466215E-11</v>
      </c>
    </row>
    <row r="215" spans="1:5" ht="15.75" x14ac:dyDescent="0.3">
      <c r="A215" s="132" t="s">
        <v>169</v>
      </c>
      <c r="B215" s="139">
        <v>0</v>
      </c>
      <c r="C215" s="139">
        <v>0</v>
      </c>
      <c r="D215" s="139">
        <v>0</v>
      </c>
      <c r="E215" s="139">
        <f>-$D$213</f>
        <v>-4.4872194848721847E-9</v>
      </c>
    </row>
    <row r="216" spans="1:5" ht="15.75" x14ac:dyDescent="0.3">
      <c r="A216" s="130" t="s">
        <v>64</v>
      </c>
      <c r="B216" s="143">
        <f t="shared" ref="B216:E216" si="67">_xlfn.AGGREGATE(9,4,B$208:B$215)</f>
        <v>135000</v>
      </c>
      <c r="C216" s="143">
        <f t="shared" si="67"/>
        <v>135000</v>
      </c>
      <c r="D216" s="143">
        <f t="shared" si="67"/>
        <v>135000</v>
      </c>
      <c r="E216" s="143">
        <f t="shared" si="67"/>
        <v>135000</v>
      </c>
    </row>
    <row r="217" spans="1:5" ht="15.75" x14ac:dyDescent="0.3">
      <c r="A217" s="131" t="s">
        <v>170</v>
      </c>
      <c r="B217" s="140">
        <f t="shared" ref="B217:E217" si="68">-B$216</f>
        <v>-135000</v>
      </c>
      <c r="C217" s="140">
        <f t="shared" si="68"/>
        <v>-135000</v>
      </c>
      <c r="D217" s="140">
        <f t="shared" si="68"/>
        <v>-135000</v>
      </c>
      <c r="E217" s="140">
        <f t="shared" si="68"/>
        <v>-135000</v>
      </c>
    </row>
    <row r="218" spans="1:5" ht="15.75" x14ac:dyDescent="0.3">
      <c r="A218" s="130" t="s">
        <v>166</v>
      </c>
      <c r="B218" s="143">
        <f t="shared" ref="B218:E218" si="69">SUM(B$216:B$217)</f>
        <v>0</v>
      </c>
      <c r="C218" s="143">
        <f t="shared" si="69"/>
        <v>0</v>
      </c>
      <c r="D218" s="143">
        <f t="shared" si="69"/>
        <v>0</v>
      </c>
      <c r="E218" s="143">
        <f t="shared" si="69"/>
        <v>0</v>
      </c>
    </row>
    <row r="219" spans="1:5" ht="15.75" x14ac:dyDescent="0.3">
      <c r="A219" s="130" t="s">
        <v>107</v>
      </c>
      <c r="B219" s="143">
        <f>$B$203-$B$209</f>
        <v>75000</v>
      </c>
      <c r="C219" s="143">
        <f>B$220</f>
        <v>75000</v>
      </c>
      <c r="D219" s="143">
        <f>C$220</f>
        <v>207922.52461917128</v>
      </c>
      <c r="E219" s="143">
        <f>-$E$210</f>
        <v>116959.99788869894</v>
      </c>
    </row>
    <row r="220" spans="1:5" ht="15.75" x14ac:dyDescent="0.3">
      <c r="A220" s="130" t="s">
        <v>108</v>
      </c>
      <c r="B220" s="143">
        <f>$B$219</f>
        <v>75000</v>
      </c>
      <c r="C220" s="143">
        <f>-$C$210+$C$219</f>
        <v>207922.52461917128</v>
      </c>
      <c r="D220" s="143">
        <v>0</v>
      </c>
      <c r="E220" s="143">
        <f>-$E$210</f>
        <v>116959.99788869894</v>
      </c>
    </row>
    <row r="221" spans="1:5" ht="15.75" x14ac:dyDescent="0.3">
      <c r="A221" s="130" t="s">
        <v>109</v>
      </c>
      <c r="B221" s="143">
        <v>0</v>
      </c>
      <c r="C221" s="143">
        <v>0</v>
      </c>
      <c r="D221" s="143">
        <v>0</v>
      </c>
      <c r="E221" s="143">
        <f>-$E$215</f>
        <v>4.4872194848721847E-9</v>
      </c>
    </row>
    <row r="222" spans="1:5" ht="15.75" x14ac:dyDescent="0.3">
      <c r="A222" s="130" t="s">
        <v>110</v>
      </c>
      <c r="B222" s="143">
        <v>0</v>
      </c>
      <c r="C222" s="143">
        <v>0</v>
      </c>
      <c r="D222" s="143">
        <f>$D$213</f>
        <v>4.4872194848721847E-9</v>
      </c>
      <c r="E222" s="143">
        <v>0</v>
      </c>
    </row>
    <row r="225" spans="1:2" ht="15.75" x14ac:dyDescent="0.3">
      <c r="A225" s="130" t="s">
        <v>171</v>
      </c>
      <c r="B225" s="138">
        <f>$B$211+$C$211+$D$211+$E$214</f>
        <v>1789.6126230958025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2.</vt:lpstr>
      <vt:lpstr>5.</vt:lpstr>
      <vt:lpstr>6.</vt:lpstr>
      <vt:lpstr>7.</vt:lpstr>
      <vt:lpstr>8.</vt:lpstr>
      <vt:lpstr>9.</vt:lpstr>
      <vt:lpstr>10.</vt:lpstr>
      <vt:lpstr>11.</vt:lpstr>
      <vt:lpstr>12.</vt:lpstr>
      <vt:lpstr>13. &amp; 14.</vt:lpstr>
      <vt:lpstr>KEAFER MANUFACTURING NWC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BusinessLearn365</cp:lastModifiedBy>
  <dcterms:created xsi:type="dcterms:W3CDTF">2022-04-04T07:19:12Z</dcterms:created>
  <dcterms:modified xsi:type="dcterms:W3CDTF">2023-04-13T08:02:57Z</dcterms:modified>
</cp:coreProperties>
</file>