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inessLearn365\Documents\"/>
    </mc:Choice>
  </mc:AlternateContent>
  <xr:revisionPtr revIDLastSave="0" documentId="13_ncr:1_{68BAE7EA-19A5-438D-AD88-C3276E384236}" xr6:coauthVersionLast="47" xr6:coauthVersionMax="47" xr10:uidLastSave="{00000000-0000-0000-0000-000000000000}"/>
  <bookViews>
    <workbookView xWindow="-109" yWindow="-109" windowWidth="16748" windowHeight="9511" firstSheet="6" activeTab="12" xr2:uid="{9056181E-C4AA-4B6A-8805-C673578F69C9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8. &amp; 9." sheetId="7" r:id="rId7"/>
    <sheet name="10." sheetId="8" r:id="rId8"/>
    <sheet name="12." sheetId="9" r:id="rId9"/>
    <sheet name="13." sheetId="10" r:id="rId10"/>
    <sheet name="14." sheetId="11" r:id="rId11"/>
    <sheet name="15." sheetId="12" r:id="rId12"/>
    <sheet name="THE BIRDIE GOLF-HYBRID GOLF" sheetId="14" r:id="rId13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4" l="1"/>
  <c r="I28" i="14"/>
  <c r="I27" i="14"/>
  <c r="I26" i="14"/>
  <c r="I25" i="14"/>
  <c r="I24" i="14"/>
  <c r="C38" i="14"/>
  <c r="D38" i="14"/>
  <c r="E38" i="14"/>
  <c r="F38" i="14"/>
  <c r="G38" i="14"/>
  <c r="G37" i="14"/>
  <c r="G36" i="14"/>
  <c r="D35" i="14"/>
  <c r="E35" i="14"/>
  <c r="C34" i="14"/>
  <c r="D34" i="14"/>
  <c r="E34" i="14"/>
  <c r="F34" i="14"/>
  <c r="G34" i="14"/>
  <c r="B37" i="14"/>
  <c r="B36" i="14"/>
  <c r="B35" i="14"/>
  <c r="B34" i="14"/>
  <c r="F30" i="14"/>
  <c r="F29" i="14"/>
  <c r="I19" i="14"/>
  <c r="I17" i="14"/>
  <c r="D28" i="14"/>
  <c r="C28" i="14"/>
  <c r="D27" i="14"/>
  <c r="E27" i="14"/>
  <c r="F27" i="14"/>
  <c r="C27" i="14"/>
  <c r="B27" i="14"/>
  <c r="B23" i="14"/>
  <c r="B22" i="14"/>
  <c r="B24" i="14" s="1"/>
  <c r="C8" i="12"/>
  <c r="C7" i="12"/>
  <c r="C9" i="12" s="1"/>
  <c r="C6" i="12"/>
  <c r="B8" i="12"/>
  <c r="B7" i="12"/>
  <c r="B6" i="12"/>
  <c r="B12" i="11"/>
  <c r="B11" i="11"/>
  <c r="E3" i="11"/>
  <c r="E2" i="11"/>
  <c r="B9" i="11"/>
  <c r="B8" i="11"/>
  <c r="C7" i="11"/>
  <c r="B10" i="11" s="1"/>
  <c r="C6" i="11"/>
  <c r="D5" i="11"/>
  <c r="C5" i="11"/>
  <c r="E31" i="14" l="1"/>
  <c r="C31" i="14"/>
  <c r="I18" i="14"/>
  <c r="I20" i="14" s="1"/>
  <c r="F31" i="14"/>
  <c r="D31" i="14"/>
  <c r="B31" i="14"/>
  <c r="C10" i="12"/>
  <c r="C11" i="12" s="1"/>
  <c r="C17" i="12"/>
  <c r="C18" i="12" s="1"/>
  <c r="I22" i="14" l="1"/>
  <c r="I23" i="14" s="1"/>
  <c r="I21" i="14"/>
  <c r="C20" i="12"/>
  <c r="B21" i="12"/>
  <c r="C22" i="12" s="1"/>
  <c r="C19" i="12"/>
  <c r="C12" i="12"/>
  <c r="B15" i="12"/>
  <c r="C16" i="12" s="1"/>
  <c r="C13" i="12"/>
  <c r="C14" i="12" s="1"/>
  <c r="B15" i="10"/>
  <c r="B13" i="10"/>
  <c r="B11" i="10"/>
  <c r="B9" i="10"/>
  <c r="B8" i="10"/>
  <c r="B11" i="9"/>
  <c r="B10" i="9"/>
  <c r="B8" i="9"/>
  <c r="B9" i="9"/>
  <c r="B7" i="9"/>
  <c r="B14" i="8"/>
  <c r="B13" i="8"/>
  <c r="B12" i="8"/>
  <c r="B11" i="8"/>
  <c r="B10" i="8"/>
  <c r="B9" i="8"/>
  <c r="B8" i="8"/>
  <c r="B7" i="8"/>
  <c r="B17" i="7"/>
  <c r="B16" i="7"/>
  <c r="B14" i="7"/>
  <c r="B13" i="7"/>
  <c r="B12" i="7"/>
  <c r="B11" i="7"/>
  <c r="C9" i="7"/>
  <c r="B9" i="7"/>
  <c r="B8" i="7"/>
  <c r="B7" i="7"/>
  <c r="B12" i="6"/>
  <c r="B11" i="6"/>
  <c r="B10" i="6"/>
  <c r="B8" i="6"/>
  <c r="B7" i="6"/>
  <c r="B6" i="6"/>
  <c r="B10" i="5" l="1"/>
  <c r="B9" i="5"/>
  <c r="B7" i="5"/>
  <c r="B6" i="5"/>
  <c r="B5" i="5"/>
  <c r="D15" i="4"/>
  <c r="D14" i="4"/>
  <c r="D16" i="4" s="1"/>
  <c r="D13" i="4"/>
  <c r="B17" i="4"/>
  <c r="B16" i="4"/>
  <c r="B15" i="4"/>
  <c r="B14" i="4"/>
  <c r="B13" i="4"/>
  <c r="G3" i="4"/>
  <c r="D10" i="4"/>
  <c r="B10" i="4"/>
  <c r="D5" i="4"/>
  <c r="B5" i="4"/>
  <c r="D16" i="3"/>
  <c r="B16" i="3"/>
  <c r="D15" i="3"/>
  <c r="D14" i="3"/>
  <c r="D13" i="3"/>
  <c r="B15" i="3"/>
  <c r="B14" i="3"/>
  <c r="B13" i="3"/>
  <c r="G3" i="3"/>
  <c r="G4" i="3"/>
  <c r="F4" i="2"/>
  <c r="F3" i="2"/>
  <c r="F2" i="2"/>
  <c r="C7" i="2"/>
  <c r="B7" i="2"/>
  <c r="B3" i="1"/>
</calcChain>
</file>

<file path=xl/sharedStrings.xml><?xml version="1.0" encoding="utf-8"?>
<sst xmlns="http://schemas.openxmlformats.org/spreadsheetml/2006/main" count="297" uniqueCount="195">
  <si>
    <t>Offered</t>
  </si>
  <si>
    <t>for all of the common stock in Watson Corporation.</t>
  </si>
  <si>
    <t>Watson is worth</t>
  </si>
  <si>
    <t>Minimum economic value</t>
  </si>
  <si>
    <t>Firm X</t>
  </si>
  <si>
    <t>Firm Y</t>
  </si>
  <si>
    <t>Total earnings</t>
  </si>
  <si>
    <t>Shares outstanding</t>
  </si>
  <si>
    <t>Per-share values:</t>
  </si>
  <si>
    <t>Market</t>
  </si>
  <si>
    <t>Book</t>
  </si>
  <si>
    <t>Merger premium</t>
  </si>
  <si>
    <t>per share</t>
  </si>
  <si>
    <t>Purchase price of Y</t>
  </si>
  <si>
    <t>Goodwill</t>
  </si>
  <si>
    <t>Total assets XY</t>
  </si>
  <si>
    <t>Meat Co.</t>
  </si>
  <si>
    <t>The fair market value of Loaf’s</t>
  </si>
  <si>
    <t>Current assets</t>
  </si>
  <si>
    <t>Current liabilities</t>
  </si>
  <si>
    <t>Purchase accounting method</t>
  </si>
  <si>
    <t>Net fixed assets</t>
  </si>
  <si>
    <t>Long-term debt</t>
  </si>
  <si>
    <t>Equity</t>
  </si>
  <si>
    <t>Total</t>
  </si>
  <si>
    <t>Loaf, Inc.</t>
  </si>
  <si>
    <t>Post-merger long-term debt</t>
  </si>
  <si>
    <t>Jurion Co., post-merger</t>
  </si>
  <si>
    <t xml:space="preserve">Total  </t>
  </si>
  <si>
    <t>Silver Enterprises</t>
  </si>
  <si>
    <t>The market value of All Gold Mining’s fixed assets is</t>
  </si>
  <si>
    <t>Other assets</t>
  </si>
  <si>
    <t>All Gold Mining</t>
  </si>
  <si>
    <t>Silver Enterprises, post-merger</t>
  </si>
  <si>
    <t>Total aftertax annual cash flow</t>
  </si>
  <si>
    <t>indefinitely</t>
  </si>
  <si>
    <t>CP_MV</t>
  </si>
  <si>
    <t>Teller</t>
  </si>
  <si>
    <t>Penn</t>
  </si>
  <si>
    <t>Discount Rate for the incremental CFO</t>
  </si>
  <si>
    <t>of its stock</t>
  </si>
  <si>
    <t>Offer_1</t>
  </si>
  <si>
    <t>Offer_2</t>
  </si>
  <si>
    <t xml:space="preserve"> in cash</t>
  </si>
  <si>
    <t>The cash cost is the amount of cash offered</t>
  </si>
  <si>
    <t>The stock offer</t>
  </si>
  <si>
    <t>Equity cost</t>
  </si>
  <si>
    <t>NPV cash</t>
  </si>
  <si>
    <t>NPV stock</t>
  </si>
  <si>
    <t>Price-earnings ratio</t>
  </si>
  <si>
    <t>Earnings</t>
  </si>
  <si>
    <t>Flannery</t>
  </si>
  <si>
    <t>Stultz</t>
  </si>
  <si>
    <t>EPS</t>
  </si>
  <si>
    <t>P</t>
  </si>
  <si>
    <t>P/E</t>
  </si>
  <si>
    <t>V</t>
  </si>
  <si>
    <t>Cost</t>
  </si>
  <si>
    <t>NPV</t>
  </si>
  <si>
    <t>Firm B</t>
  </si>
  <si>
    <t>Firm T</t>
  </si>
  <si>
    <t>Price per share</t>
  </si>
  <si>
    <t>Synergistic benefits</t>
  </si>
  <si>
    <t>1.Cash</t>
  </si>
  <si>
    <t>New shares created</t>
  </si>
  <si>
    <t>new shares</t>
  </si>
  <si>
    <t>Equity offer value</t>
  </si>
  <si>
    <t>Exchange ratio</t>
  </si>
  <si>
    <t>Firm A</t>
  </si>
  <si>
    <t>Exchange of stock</t>
  </si>
  <si>
    <t>Shares offered</t>
  </si>
  <si>
    <t>shares</t>
  </si>
  <si>
    <t>Original PE</t>
  </si>
  <si>
    <t>New price</t>
  </si>
  <si>
    <t>New PE</t>
  </si>
  <si>
    <t>Aftertax cash flow</t>
  </si>
  <si>
    <t>would increase indefinitely</t>
  </si>
  <si>
    <t>MV</t>
  </si>
  <si>
    <t>of Flash-in-the-Pan</t>
  </si>
  <si>
    <t xml:space="preserve">Fly-By-Night Couriers </t>
  </si>
  <si>
    <t>Discount rate</t>
  </si>
  <si>
    <t>1.It would offer</t>
  </si>
  <si>
    <t>2.It would offer</t>
  </si>
  <si>
    <t>Cash</t>
  </si>
  <si>
    <t>Synergy value</t>
  </si>
  <si>
    <t>PVP</t>
  </si>
  <si>
    <t>Value</t>
  </si>
  <si>
    <t>Stock acquisition value</t>
  </si>
  <si>
    <t>NPV of cash offer</t>
  </si>
  <si>
    <t>NPV of stock offer</t>
  </si>
  <si>
    <t>Harrods PLC</t>
  </si>
  <si>
    <t>Selfridge Department Store</t>
  </si>
  <si>
    <t>combined firm</t>
  </si>
  <si>
    <t>Synergy premium</t>
  </si>
  <si>
    <t>Offers</t>
  </si>
  <si>
    <t>shares of its stock in exchange</t>
  </si>
  <si>
    <t>Number of shares after acquisition</t>
  </si>
  <si>
    <t>New stock price</t>
  </si>
  <si>
    <t>alpha</t>
  </si>
  <si>
    <t>New shares issued</t>
  </si>
  <si>
    <t>State</t>
  </si>
  <si>
    <t>Probability</t>
  </si>
  <si>
    <t>Bentley</t>
  </si>
  <si>
    <t>Rolls</t>
  </si>
  <si>
    <t>Boom</t>
  </si>
  <si>
    <t>Recession</t>
  </si>
  <si>
    <t>Par value</t>
  </si>
  <si>
    <t>Debt</t>
  </si>
  <si>
    <t>Combined value</t>
  </si>
  <si>
    <t>Combined equity value</t>
  </si>
  <si>
    <t>Combined debt value</t>
  </si>
  <si>
    <t>Merged value</t>
  </si>
  <si>
    <t>Merged company value</t>
  </si>
  <si>
    <t>Merged equity value</t>
  </si>
  <si>
    <t>Dividends</t>
  </si>
  <si>
    <t>Plant</t>
  </si>
  <si>
    <t>Palmer</t>
  </si>
  <si>
    <t>Constant rate</t>
  </si>
  <si>
    <t>per year</t>
  </si>
  <si>
    <t xml:space="preserve">Growth rate </t>
  </si>
  <si>
    <t>DPS</t>
  </si>
  <si>
    <t>Required return</t>
  </si>
  <si>
    <t>Price</t>
  </si>
  <si>
    <t>New value</t>
  </si>
  <si>
    <t>Gain</t>
  </si>
  <si>
    <t>Offer</t>
  </si>
  <si>
    <t>Cash per share</t>
  </si>
  <si>
    <t>Maximum bid price</t>
  </si>
  <si>
    <t>of its shares</t>
  </si>
  <si>
    <t xml:space="preserve">New growth rate </t>
  </si>
  <si>
    <t>Price new</t>
  </si>
  <si>
    <t>Gain new</t>
  </si>
  <si>
    <t>NPV cash new</t>
  </si>
  <si>
    <t>Price merged</t>
  </si>
  <si>
    <t>Price merged new</t>
  </si>
  <si>
    <t>NPV stocks</t>
  </si>
  <si>
    <t>NPV stocks new</t>
  </si>
  <si>
    <t>Sales</t>
  </si>
  <si>
    <t>Production costs</t>
  </si>
  <si>
    <t>Depreciation</t>
  </si>
  <si>
    <t>Other expenses</t>
  </si>
  <si>
    <t>EBIT</t>
  </si>
  <si>
    <t>Interest</t>
  </si>
  <si>
    <t>Taxable income</t>
  </si>
  <si>
    <t>Taxes (25%)</t>
  </si>
  <si>
    <t>Net income</t>
  </si>
  <si>
    <t>Net working capital</t>
  </si>
  <si>
    <t>Fixed assets</t>
  </si>
  <si>
    <t>Sources of financing:</t>
  </si>
  <si>
    <t>Profit retention</t>
  </si>
  <si>
    <r>
      <t xml:space="preserve">Investments:
</t>
    </r>
    <r>
      <rPr>
        <sz val="12"/>
        <color indexed="63"/>
        <rFont val="Arial Narrow"/>
        <family val="2"/>
      </rPr>
      <t xml:space="preserve"> 
 </t>
    </r>
    <r>
      <rPr>
        <b/>
        <sz val="12"/>
        <color indexed="63"/>
        <rFont val="Arial Narrow"/>
        <family val="2"/>
      </rPr>
      <t xml:space="preserve">
</t>
    </r>
    <r>
      <rPr>
        <sz val="12"/>
        <color indexed="63"/>
        <rFont val="Arial Narrow"/>
        <family val="2"/>
      </rPr>
      <t>Profit retention Total</t>
    </r>
  </si>
  <si>
    <t>New debt</t>
  </si>
  <si>
    <t>Dividend payment</t>
  </si>
  <si>
    <t>D/E</t>
  </si>
  <si>
    <t>UP TO</t>
  </si>
  <si>
    <t xml:space="preserve">Tax loss </t>
  </si>
  <si>
    <t>Total value</t>
  </si>
  <si>
    <t>Total debt</t>
  </si>
  <si>
    <t>in five years Hybrid Golf</t>
  </si>
  <si>
    <t>in both 2019 and 2020 from Hybrid Golf’s previous operations.</t>
  </si>
  <si>
    <t>Current Price</t>
  </si>
  <si>
    <t>per share in Birdie Golf</t>
  </si>
  <si>
    <t>Stock outstanding</t>
  </si>
  <si>
    <t>in Birdie Golf</t>
  </si>
  <si>
    <t>in Hybrid Golf</t>
  </si>
  <si>
    <t>Both can borrow</t>
  </si>
  <si>
    <t>R(m)</t>
  </si>
  <si>
    <t>R(f)</t>
  </si>
  <si>
    <t>Cost of capital</t>
  </si>
  <si>
    <t>Beta</t>
  </si>
  <si>
    <t xml:space="preserve">in Hybrid Golf </t>
  </si>
  <si>
    <t xml:space="preserve">per share </t>
  </si>
  <si>
    <t>Acquisition of Hybrid</t>
  </si>
  <si>
    <t>Dividends from Hybrid</t>
  </si>
  <si>
    <t>Tax-loss carryforwards</t>
  </si>
  <si>
    <t>Terminal value of equity</t>
  </si>
  <si>
    <t>W_D</t>
  </si>
  <si>
    <t>W_E</t>
  </si>
  <si>
    <t>The beta for Hybrid’s debt is:</t>
  </si>
  <si>
    <t>The overall beta for Hybrid is:</t>
  </si>
  <si>
    <t>E(r)</t>
  </si>
  <si>
    <t>CAPM</t>
  </si>
  <si>
    <t>Terminal value of debt</t>
  </si>
  <si>
    <t>Year 1</t>
  </si>
  <si>
    <t>Year 2</t>
  </si>
  <si>
    <t>Year 3</t>
  </si>
  <si>
    <t>Year 4</t>
  </si>
  <si>
    <t>Year 5</t>
  </si>
  <si>
    <t>The new beta for equity must be:</t>
  </si>
  <si>
    <t>NPV of the acquisition is:</t>
  </si>
  <si>
    <t>Highest offer</t>
  </si>
  <si>
    <t>Highest share price</t>
  </si>
  <si>
    <r>
      <t xml:space="preserve">New </t>
    </r>
    <r>
      <rPr>
        <b/>
        <sz val="12"/>
        <color theme="1"/>
        <rFont val="Arial Narrow"/>
        <family val="2"/>
      </rPr>
      <t>P</t>
    </r>
    <r>
      <rPr>
        <sz val="12"/>
        <color theme="1"/>
        <rFont val="Arial Narrow"/>
        <family val="2"/>
      </rPr>
      <t xml:space="preserve"> of Birdie after the merger will be:</t>
    </r>
  </si>
  <si>
    <t>Merger price (Cash)</t>
  </si>
  <si>
    <t>NPV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</si>
</sst>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\ 0"/>
    <numFmt numFmtId="166" formatCode="0.0"/>
    <numFmt numFmtId="167" formatCode="&quot;$&quot;#,##0.00"/>
    <numFmt numFmtId="168" formatCode="&quot;$&quot;#,##0.000"/>
    <numFmt numFmtId="169" formatCode="&quot;$&quot;0"/>
    <numFmt numFmtId="170" formatCode="[$£-809]#,##0.00"/>
    <numFmt numFmtId="171" formatCode="[$£-809]#,##0"/>
    <numFmt numFmtId="172" formatCode="#,##0.0"/>
  </numFmts>
  <fonts count="10" x14ac:knownFonts="1">
    <font>
      <sz val="12"/>
      <color theme="1"/>
      <name val="Arial Narrow"/>
      <family val="2"/>
    </font>
    <font>
      <sz val="10"/>
      <name val="Times New Roman"/>
      <family val="1"/>
      <charset val="204"/>
    </font>
    <font>
      <sz val="12"/>
      <name val="Arial Narrow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i/>
      <sz val="11"/>
      <color indexed="8"/>
      <name val="Times New Roman"/>
      <family val="2"/>
    </font>
    <font>
      <i/>
      <sz val="12"/>
      <color indexed="8"/>
      <name val="Arial Narrow"/>
      <family val="2"/>
    </font>
    <font>
      <sz val="12"/>
      <color indexed="8"/>
      <name val="Arial Narrow"/>
      <family val="2"/>
    </font>
    <font>
      <b/>
      <sz val="12"/>
      <color theme="1"/>
      <name val="Arial Narrow"/>
      <family val="2"/>
    </font>
    <font>
      <b/>
      <sz val="12"/>
      <color indexed="6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3959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2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164" fontId="4" fillId="3" borderId="0" xfId="0" applyNumberFormat="1" applyFont="1" applyFill="1" applyAlignment="1">
      <alignment horizontal="right" vertical="top" indent="1" shrinkToFit="1"/>
    </xf>
    <xf numFmtId="3" fontId="4" fillId="3" borderId="0" xfId="0" applyNumberFormat="1" applyFont="1" applyFill="1" applyAlignment="1">
      <alignment horizontal="right" vertical="top" indent="1" shrinkToFi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 indent="2"/>
    </xf>
    <xf numFmtId="165" fontId="4" fillId="3" borderId="0" xfId="0" applyNumberFormat="1" applyFont="1" applyFill="1" applyAlignment="1">
      <alignment horizontal="right" vertical="top" indent="1" shrinkToFit="1"/>
    </xf>
    <xf numFmtId="0" fontId="3" fillId="2" borderId="0" xfId="0" applyFont="1" applyFill="1" applyAlignment="1">
      <alignment horizontal="center" vertical="top" wrapText="1"/>
    </xf>
    <xf numFmtId="165" fontId="0" fillId="0" borderId="1" xfId="0" applyNumberFormat="1" applyBorder="1"/>
    <xf numFmtId="0" fontId="3" fillId="2" borderId="0" xfId="0" applyFont="1" applyFill="1" applyAlignment="1">
      <alignment horizontal="centerContinuous" vertical="top"/>
    </xf>
    <xf numFmtId="0" fontId="4" fillId="3" borderId="0" xfId="0" applyFont="1" applyFill="1" applyAlignment="1">
      <alignment vertical="top" wrapText="1"/>
    </xf>
    <xf numFmtId="6" fontId="4" fillId="3" borderId="0" xfId="0" applyNumberFormat="1" applyFont="1" applyFill="1" applyAlignment="1">
      <alignment vertical="top" shrinkToFit="1"/>
    </xf>
    <xf numFmtId="0" fontId="2" fillId="3" borderId="0" xfId="0" applyFont="1" applyFill="1" applyAlignment="1">
      <alignment wrapText="1"/>
    </xf>
    <xf numFmtId="6" fontId="2" fillId="3" borderId="0" xfId="0" applyNumberFormat="1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Continuous" vertical="center"/>
    </xf>
    <xf numFmtId="0" fontId="7" fillId="0" borderId="1" xfId="0" applyFont="1" applyBorder="1" applyAlignment="1">
      <alignment vertical="top" wrapText="1"/>
    </xf>
    <xf numFmtId="6" fontId="7" fillId="0" borderId="1" xfId="0" applyNumberFormat="1" applyFont="1" applyBorder="1" applyAlignment="1">
      <alignment vertical="top" shrinkToFit="1"/>
    </xf>
    <xf numFmtId="0" fontId="3" fillId="2" borderId="2" xfId="0" applyFont="1" applyFill="1" applyBorder="1" applyAlignment="1">
      <alignment horizontal="centerContinuous" vertical="top"/>
    </xf>
    <xf numFmtId="6" fontId="4" fillId="3" borderId="0" xfId="0" applyNumberFormat="1" applyFont="1" applyFill="1" applyAlignment="1">
      <alignment horizontal="right" vertical="top" shrinkToFit="1"/>
    </xf>
    <xf numFmtId="0" fontId="0" fillId="0" borderId="3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166" fontId="4" fillId="3" borderId="0" xfId="0" applyNumberFormat="1" applyFont="1" applyFill="1" applyAlignment="1">
      <alignment vertical="top" shrinkToFit="1"/>
    </xf>
    <xf numFmtId="3" fontId="4" fillId="3" borderId="0" xfId="0" applyNumberFormat="1" applyFont="1" applyFill="1" applyAlignment="1">
      <alignment vertical="top" shrinkToFit="1"/>
    </xf>
    <xf numFmtId="164" fontId="4" fillId="3" borderId="0" xfId="0" applyNumberFormat="1" applyFont="1" applyFill="1" applyAlignment="1">
      <alignment vertical="top" shrinkToFit="1"/>
    </xf>
    <xf numFmtId="2" fontId="4" fillId="3" borderId="0" xfId="0" applyNumberFormat="1" applyFont="1" applyFill="1" applyAlignment="1">
      <alignment vertical="top" shrinkToFit="1"/>
    </xf>
    <xf numFmtId="168" fontId="0" fillId="0" borderId="1" xfId="0" applyNumberFormat="1" applyBorder="1"/>
    <xf numFmtId="167" fontId="0" fillId="0" borderId="1" xfId="0" applyNumberFormat="1" applyBorder="1"/>
    <xf numFmtId="4" fontId="0" fillId="0" borderId="1" xfId="0" applyNumberFormat="1" applyBorder="1"/>
    <xf numFmtId="168" fontId="0" fillId="0" borderId="1" xfId="0" applyNumberFormat="1" applyFill="1" applyBorder="1"/>
    <xf numFmtId="164" fontId="0" fillId="0" borderId="1" xfId="0" applyNumberFormat="1" applyBorder="1"/>
    <xf numFmtId="169" fontId="4" fillId="3" borderId="0" xfId="0" applyNumberFormat="1" applyFont="1" applyFill="1" applyAlignment="1">
      <alignment vertical="top" shrinkToFit="1"/>
    </xf>
    <xf numFmtId="6" fontId="0" fillId="0" borderId="0" xfId="0" applyNumberFormat="1"/>
    <xf numFmtId="8" fontId="0" fillId="0" borderId="1" xfId="0" applyNumberFormat="1" applyBorder="1"/>
    <xf numFmtId="10" fontId="0" fillId="0" borderId="0" xfId="0" applyNumberFormat="1"/>
    <xf numFmtId="10" fontId="0" fillId="0" borderId="1" xfId="0" applyNumberFormat="1" applyBorder="1"/>
    <xf numFmtId="1" fontId="4" fillId="3" borderId="0" xfId="0" applyNumberFormat="1" applyFont="1" applyFill="1" applyAlignment="1">
      <alignment vertical="top" shrinkToFit="1"/>
    </xf>
    <xf numFmtId="165" fontId="4" fillId="3" borderId="0" xfId="0" applyNumberFormat="1" applyFont="1" applyFill="1" applyAlignment="1">
      <alignment vertical="top" shrinkToFit="1"/>
    </xf>
    <xf numFmtId="171" fontId="0" fillId="0" borderId="0" xfId="0" applyNumberFormat="1"/>
    <xf numFmtId="3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1" fontId="0" fillId="0" borderId="4" xfId="0" applyNumberFormat="1" applyBorder="1"/>
    <xf numFmtId="2" fontId="4" fillId="3" borderId="0" xfId="0" applyNumberFormat="1" applyFont="1" applyFill="1" applyAlignment="1">
      <alignment horizontal="center" vertical="top" shrinkToFit="1"/>
    </xf>
    <xf numFmtId="164" fontId="4" fillId="3" borderId="0" xfId="0" applyNumberFormat="1" applyFont="1" applyFill="1" applyAlignment="1">
      <alignment horizontal="right" vertical="top" shrinkToFit="1"/>
    </xf>
    <xf numFmtId="164" fontId="0" fillId="0" borderId="0" xfId="0" applyNumberFormat="1"/>
    <xf numFmtId="167" fontId="4" fillId="3" borderId="0" xfId="0" applyNumberFormat="1" applyFont="1" applyFill="1" applyAlignment="1">
      <alignment vertical="top" shrinkToFit="1"/>
    </xf>
    <xf numFmtId="10" fontId="4" fillId="3" borderId="0" xfId="0" applyNumberFormat="1" applyFont="1" applyFill="1" applyAlignment="1">
      <alignment vertical="top" shrinkToFit="1"/>
    </xf>
    <xf numFmtId="0" fontId="9" fillId="3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center"/>
    </xf>
    <xf numFmtId="1" fontId="3" fillId="2" borderId="0" xfId="0" applyNumberFormat="1" applyFont="1" applyFill="1" applyBorder="1" applyAlignment="1">
      <alignment horizontal="center" vertical="top" shrinkToFit="1"/>
    </xf>
    <xf numFmtId="0" fontId="4" fillId="3" borderId="0" xfId="0" applyFont="1" applyFill="1" applyBorder="1" applyAlignment="1">
      <alignment horizontal="left" vertical="top" wrapText="1"/>
    </xf>
    <xf numFmtId="6" fontId="4" fillId="3" borderId="0" xfId="0" applyNumberFormat="1" applyFont="1" applyFill="1" applyBorder="1" applyAlignment="1">
      <alignment vertical="top" shrinkToFit="1"/>
    </xf>
    <xf numFmtId="0" fontId="9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vertical="top" wrapText="1"/>
    </xf>
    <xf numFmtId="164" fontId="4" fillId="3" borderId="0" xfId="0" applyNumberFormat="1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6" fontId="4" fillId="3" borderId="0" xfId="0" applyNumberFormat="1" applyFont="1" applyFill="1" applyBorder="1" applyAlignment="1">
      <alignment vertical="center" shrinkToFit="1"/>
    </xf>
    <xf numFmtId="172" fontId="0" fillId="0" borderId="0" xfId="0" applyNumberFormat="1"/>
    <xf numFmtId="0" fontId="0" fillId="0" borderId="0" xfId="0" applyAlignment="1">
      <alignment horizontal="center"/>
    </xf>
    <xf numFmtId="6" fontId="8" fillId="0" borderId="1" xfId="0" applyNumberFormat="1" applyFont="1" applyBorder="1"/>
    <xf numFmtId="0" fontId="8" fillId="0" borderId="1" xfId="0" applyFont="1" applyBorder="1"/>
    <xf numFmtId="10" fontId="4" fillId="3" borderId="0" xfId="0" applyNumberFormat="1" applyFont="1" applyFill="1" applyBorder="1" applyAlignment="1">
      <alignment vertical="top" wrapText="1"/>
    </xf>
    <xf numFmtId="9" fontId="4" fillId="3" borderId="0" xfId="0" applyNumberFormat="1" applyFont="1" applyFill="1" applyBorder="1" applyAlignment="1">
      <alignment vertical="top" wrapText="1"/>
    </xf>
    <xf numFmtId="0" fontId="0" fillId="0" borderId="1" xfId="0" applyNumberFormat="1" applyBorder="1"/>
    <xf numFmtId="172" fontId="0" fillId="0" borderId="1" xfId="0" applyNumberFormat="1" applyBorder="1"/>
    <xf numFmtId="8" fontId="8" fillId="0" borderId="1" xfId="0" applyNumberFormat="1" applyFont="1" applyBorder="1"/>
    <xf numFmtId="1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2858-FFDD-452F-BF19-03C120939379}">
  <sheetPr codeName="Sheet1"/>
  <dimension ref="A1:C3"/>
  <sheetViews>
    <sheetView showGridLines="0" zoomScale="145" zoomScaleNormal="145" workbookViewId="0">
      <selection activeCell="A5" sqref="A5"/>
    </sheetView>
  </sheetViews>
  <sheetFormatPr defaultRowHeight="15.75" x14ac:dyDescent="0.3"/>
  <cols>
    <col min="1" max="1" width="22.21875" bestFit="1" customWidth="1"/>
    <col min="2" max="2" width="15.33203125" bestFit="1" customWidth="1"/>
  </cols>
  <sheetData>
    <row r="1" spans="1:3" x14ac:dyDescent="0.3">
      <c r="A1" s="1" t="s">
        <v>0</v>
      </c>
      <c r="B1" s="2">
        <v>215000000</v>
      </c>
      <c r="C1" t="s">
        <v>1</v>
      </c>
    </row>
    <row r="2" spans="1:3" x14ac:dyDescent="0.3">
      <c r="A2" s="1" t="s">
        <v>2</v>
      </c>
      <c r="B2" s="2">
        <v>193000000</v>
      </c>
    </row>
    <row r="3" spans="1:3" x14ac:dyDescent="0.3">
      <c r="A3" s="1" t="s">
        <v>3</v>
      </c>
      <c r="B3" s="2">
        <f>B1-B2</f>
        <v>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E8EB-6B36-4111-B9AB-7F8F6EA76E70}">
  <dimension ref="A1:G7"/>
  <sheetViews>
    <sheetView showGridLines="0" zoomScale="145" zoomScaleNormal="145" workbookViewId="0">
      <selection activeCell="F4" sqref="F4"/>
    </sheetView>
  </sheetViews>
  <sheetFormatPr defaultRowHeight="15.75" x14ac:dyDescent="0.3"/>
  <cols>
    <col min="1" max="1" width="16.77734375" bestFit="1" customWidth="1"/>
    <col min="2" max="3" width="10" bestFit="1" customWidth="1"/>
    <col min="5" max="5" width="17" bestFit="1" customWidth="1"/>
    <col min="6" max="6" width="12.6640625" bestFit="1" customWidth="1"/>
  </cols>
  <sheetData>
    <row r="1" spans="1:7" x14ac:dyDescent="0.3">
      <c r="A1" s="3"/>
      <c r="B1" s="10" t="s">
        <v>4</v>
      </c>
      <c r="C1" s="10" t="s">
        <v>5</v>
      </c>
      <c r="E1" s="1" t="s">
        <v>11</v>
      </c>
      <c r="F1" s="2">
        <v>5</v>
      </c>
      <c r="G1" t="s">
        <v>12</v>
      </c>
    </row>
    <row r="2" spans="1:7" x14ac:dyDescent="0.3">
      <c r="A2" s="4" t="s">
        <v>6</v>
      </c>
      <c r="B2" s="5">
        <v>95000</v>
      </c>
      <c r="C2" s="5">
        <v>43200</v>
      </c>
      <c r="E2" s="1" t="s">
        <v>13</v>
      </c>
      <c r="F2" s="2">
        <f>$C$3*($C$5+$F$1)</f>
        <v>636000</v>
      </c>
    </row>
    <row r="3" spans="1:7" x14ac:dyDescent="0.3">
      <c r="A3" s="4" t="s">
        <v>7</v>
      </c>
      <c r="B3" s="6">
        <v>41800</v>
      </c>
      <c r="C3" s="6">
        <v>26500</v>
      </c>
      <c r="E3" s="1" t="s">
        <v>14</v>
      </c>
      <c r="F3" s="2">
        <f>$F$2-$C$7</f>
        <v>132500</v>
      </c>
    </row>
    <row r="4" spans="1:7" x14ac:dyDescent="0.3">
      <c r="A4" s="4" t="s">
        <v>8</v>
      </c>
      <c r="B4" s="7"/>
      <c r="C4" s="7"/>
      <c r="E4" s="1" t="s">
        <v>15</v>
      </c>
      <c r="F4" s="2">
        <f>$B$7+$C$7+$F$3</f>
        <v>1513800</v>
      </c>
    </row>
    <row r="5" spans="1:7" x14ac:dyDescent="0.3">
      <c r="A5" s="8" t="s">
        <v>9</v>
      </c>
      <c r="B5" s="9">
        <v>53</v>
      </c>
      <c r="C5" s="9">
        <v>19</v>
      </c>
    </row>
    <row r="6" spans="1:7" x14ac:dyDescent="0.3">
      <c r="A6" s="8" t="s">
        <v>10</v>
      </c>
      <c r="B6" s="9">
        <v>21</v>
      </c>
      <c r="C6" s="9">
        <v>9</v>
      </c>
    </row>
    <row r="7" spans="1:7" x14ac:dyDescent="0.3">
      <c r="B7" s="11">
        <f>$B$3*$B$6</f>
        <v>877800</v>
      </c>
      <c r="C7" s="11">
        <f>$C$3*$C$5</f>
        <v>503500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C4F3-B0C4-46D4-AD72-7C814DACD69C}">
  <sheetPr codeName="Sheet2"/>
  <dimension ref="A1:G16"/>
  <sheetViews>
    <sheetView showGridLines="0" topLeftCell="A4" zoomScale="145" zoomScaleNormal="145" workbookViewId="0">
      <selection activeCell="A12" sqref="A12:D16"/>
    </sheetView>
  </sheetViews>
  <sheetFormatPr defaultRowHeight="15.75" x14ac:dyDescent="0.3"/>
  <cols>
    <col min="1" max="1" width="14.109375" bestFit="1" customWidth="1"/>
    <col min="2" max="2" width="12.109375" bestFit="1" customWidth="1"/>
    <col min="3" max="3" width="14.5546875" bestFit="1" customWidth="1"/>
    <col min="4" max="4" width="9.77734375" bestFit="1" customWidth="1"/>
    <col min="6" max="6" width="26.21875" bestFit="1" customWidth="1"/>
    <col min="7" max="7" width="10.6640625" bestFit="1" customWidth="1"/>
  </cols>
  <sheetData>
    <row r="1" spans="1:7" x14ac:dyDescent="0.3">
      <c r="A1" s="12" t="s">
        <v>16</v>
      </c>
      <c r="B1" s="12"/>
      <c r="C1" s="12"/>
      <c r="D1" s="12"/>
      <c r="F1" s="1" t="s">
        <v>17</v>
      </c>
      <c r="G1" s="2">
        <v>24500</v>
      </c>
    </row>
    <row r="2" spans="1:7" x14ac:dyDescent="0.3">
      <c r="A2" s="13" t="s">
        <v>18</v>
      </c>
      <c r="B2" s="14">
        <v>29000</v>
      </c>
      <c r="C2" s="13" t="s">
        <v>19</v>
      </c>
      <c r="D2" s="14">
        <v>7900</v>
      </c>
      <c r="F2" s="1" t="s">
        <v>20</v>
      </c>
      <c r="G2" s="2">
        <v>32800</v>
      </c>
    </row>
    <row r="3" spans="1:7" x14ac:dyDescent="0.3">
      <c r="A3" s="13" t="s">
        <v>21</v>
      </c>
      <c r="B3" s="14">
        <v>52000</v>
      </c>
      <c r="C3" s="13" t="s">
        <v>22</v>
      </c>
      <c r="D3" s="14">
        <v>14100</v>
      </c>
      <c r="F3" s="1" t="s">
        <v>26</v>
      </c>
      <c r="G3" s="2">
        <f>$D$3+$D$8+$G$2</f>
        <v>49100</v>
      </c>
    </row>
    <row r="4" spans="1:7" x14ac:dyDescent="0.3">
      <c r="A4" s="15"/>
      <c r="B4" s="16"/>
      <c r="C4" s="13" t="s">
        <v>23</v>
      </c>
      <c r="D4" s="14">
        <v>59000</v>
      </c>
      <c r="F4" s="1" t="s">
        <v>14</v>
      </c>
      <c r="G4" s="2">
        <f>($G$2-$G$1-$B$7)+($D$7+$D$8)</f>
        <v>9400</v>
      </c>
    </row>
    <row r="5" spans="1:7" x14ac:dyDescent="0.3">
      <c r="A5" s="13" t="s">
        <v>24</v>
      </c>
      <c r="B5" s="14">
        <v>81000</v>
      </c>
      <c r="C5" s="13" t="s">
        <v>24</v>
      </c>
      <c r="D5" s="14">
        <v>81000</v>
      </c>
    </row>
    <row r="6" spans="1:7" x14ac:dyDescent="0.3">
      <c r="A6" s="12" t="s">
        <v>25</v>
      </c>
      <c r="B6" s="12"/>
      <c r="C6" s="12"/>
      <c r="D6" s="12"/>
    </row>
    <row r="7" spans="1:7" x14ac:dyDescent="0.3">
      <c r="A7" s="13" t="s">
        <v>18</v>
      </c>
      <c r="B7" s="14">
        <v>4500</v>
      </c>
      <c r="C7" s="13" t="s">
        <v>19</v>
      </c>
      <c r="D7" s="14">
        <v>3400</v>
      </c>
    </row>
    <row r="8" spans="1:7" x14ac:dyDescent="0.3">
      <c r="A8" s="13" t="s">
        <v>21</v>
      </c>
      <c r="B8" s="14">
        <v>14600</v>
      </c>
      <c r="C8" s="13" t="s">
        <v>22</v>
      </c>
      <c r="D8" s="14">
        <v>2200</v>
      </c>
    </row>
    <row r="9" spans="1:7" x14ac:dyDescent="0.3">
      <c r="A9" s="15"/>
      <c r="B9" s="16"/>
      <c r="C9" s="13" t="s">
        <v>23</v>
      </c>
      <c r="D9" s="14">
        <v>13500</v>
      </c>
    </row>
    <row r="10" spans="1:7" x14ac:dyDescent="0.3">
      <c r="A10" s="13" t="s">
        <v>24</v>
      </c>
      <c r="B10" s="14">
        <v>19100</v>
      </c>
      <c r="C10" s="13" t="s">
        <v>24</v>
      </c>
      <c r="D10" s="14">
        <v>19100</v>
      </c>
    </row>
    <row r="12" spans="1:7" ht="15.75" customHeight="1" x14ac:dyDescent="0.3">
      <c r="A12" s="19" t="s">
        <v>27</v>
      </c>
      <c r="B12" s="19"/>
      <c r="C12" s="19"/>
      <c r="D12" s="19"/>
      <c r="E12" s="18"/>
    </row>
    <row r="13" spans="1:7" x14ac:dyDescent="0.3">
      <c r="A13" s="20" t="s">
        <v>18</v>
      </c>
      <c r="B13" s="21">
        <f>$B$2+$B$7</f>
        <v>33500</v>
      </c>
      <c r="C13" s="20" t="s">
        <v>19</v>
      </c>
      <c r="D13" s="21">
        <f>$D$2+$D$7</f>
        <v>11300</v>
      </c>
      <c r="E13" s="17"/>
    </row>
    <row r="14" spans="1:7" x14ac:dyDescent="0.3">
      <c r="A14" s="20" t="s">
        <v>21</v>
      </c>
      <c r="B14" s="21">
        <f>$B$3+$G$1</f>
        <v>76500</v>
      </c>
      <c r="C14" s="20" t="s">
        <v>22</v>
      </c>
      <c r="D14" s="21">
        <f>$G$3</f>
        <v>49100</v>
      </c>
      <c r="E14" s="17"/>
    </row>
    <row r="15" spans="1:7" x14ac:dyDescent="0.3">
      <c r="A15" s="20" t="s">
        <v>14</v>
      </c>
      <c r="B15" s="21">
        <f>$G$4</f>
        <v>9400</v>
      </c>
      <c r="C15" s="20" t="s">
        <v>23</v>
      </c>
      <c r="D15" s="21">
        <f>$D$4</f>
        <v>59000</v>
      </c>
      <c r="E15" s="17"/>
    </row>
    <row r="16" spans="1:7" ht="14.55" customHeight="1" x14ac:dyDescent="0.3">
      <c r="A16" s="20" t="s">
        <v>24</v>
      </c>
      <c r="B16" s="21">
        <f>SUM($B$13:$B$15)</f>
        <v>119400</v>
      </c>
      <c r="C16" s="20" t="s">
        <v>28</v>
      </c>
      <c r="D16" s="21">
        <f>SUM($D$13:$D$15)</f>
        <v>119400</v>
      </c>
      <c r="E1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EA7D-B947-4636-BCBF-68FECC911939}">
  <dimension ref="A1:G17"/>
  <sheetViews>
    <sheetView showGridLines="0" topLeftCell="A4" zoomScale="145" zoomScaleNormal="145" workbookViewId="0">
      <selection activeCell="F13" sqref="F13"/>
    </sheetView>
  </sheetViews>
  <sheetFormatPr defaultRowHeight="15.75" x14ac:dyDescent="0.3"/>
  <cols>
    <col min="1" max="1" width="18.6640625" customWidth="1"/>
    <col min="3" max="3" width="20.109375" customWidth="1"/>
    <col min="6" max="6" width="44.109375" bestFit="1" customWidth="1"/>
  </cols>
  <sheetData>
    <row r="1" spans="1:7" x14ac:dyDescent="0.3">
      <c r="A1" s="22" t="s">
        <v>29</v>
      </c>
      <c r="B1" s="22"/>
      <c r="C1" s="22"/>
      <c r="D1" s="22"/>
      <c r="F1" s="1" t="s">
        <v>30</v>
      </c>
      <c r="G1" s="2">
        <v>6700</v>
      </c>
    </row>
    <row r="2" spans="1:7" x14ac:dyDescent="0.3">
      <c r="A2" s="13" t="s">
        <v>18</v>
      </c>
      <c r="B2" s="23">
        <v>9100</v>
      </c>
      <c r="C2" s="13" t="s">
        <v>19</v>
      </c>
      <c r="D2" s="23">
        <v>4600</v>
      </c>
      <c r="F2" s="1" t="s">
        <v>20</v>
      </c>
      <c r="G2" s="2">
        <v>12500</v>
      </c>
    </row>
    <row r="3" spans="1:7" x14ac:dyDescent="0.3">
      <c r="A3" s="13" t="s">
        <v>31</v>
      </c>
      <c r="B3" s="23">
        <v>2200</v>
      </c>
      <c r="C3" s="13" t="s">
        <v>22</v>
      </c>
      <c r="D3" s="23">
        <v>4300</v>
      </c>
      <c r="F3" s="1" t="s">
        <v>26</v>
      </c>
      <c r="G3" s="2">
        <f>$G$2+$D$3+$D$8</f>
        <v>16800</v>
      </c>
    </row>
    <row r="4" spans="1:7" x14ac:dyDescent="0.3">
      <c r="A4" s="13" t="s">
        <v>21</v>
      </c>
      <c r="B4" s="23">
        <v>16400</v>
      </c>
      <c r="C4" s="13" t="s">
        <v>23</v>
      </c>
      <c r="D4" s="23">
        <v>18800</v>
      </c>
    </row>
    <row r="5" spans="1:7" x14ac:dyDescent="0.3">
      <c r="A5" s="13" t="s">
        <v>24</v>
      </c>
      <c r="B5" s="23">
        <f>SUM(B2:B4)</f>
        <v>27700</v>
      </c>
      <c r="C5" s="13" t="s">
        <v>24</v>
      </c>
      <c r="D5" s="23">
        <f>SUM(D2:D4)</f>
        <v>27700</v>
      </c>
    </row>
    <row r="6" spans="1:7" x14ac:dyDescent="0.3">
      <c r="A6" s="12" t="s">
        <v>32</v>
      </c>
      <c r="B6" s="12"/>
      <c r="C6" s="12"/>
      <c r="D6" s="12"/>
    </row>
    <row r="7" spans="1:7" x14ac:dyDescent="0.3">
      <c r="A7" s="13" t="s">
        <v>18</v>
      </c>
      <c r="B7" s="23">
        <v>2200</v>
      </c>
      <c r="C7" s="13" t="s">
        <v>19</v>
      </c>
      <c r="D7" s="23">
        <v>1900</v>
      </c>
    </row>
    <row r="8" spans="1:7" x14ac:dyDescent="0.3">
      <c r="A8" s="13" t="s">
        <v>31</v>
      </c>
      <c r="B8" s="23">
        <v>750</v>
      </c>
      <c r="C8" s="13" t="s">
        <v>22</v>
      </c>
      <c r="D8" s="23">
        <v>0</v>
      </c>
    </row>
    <row r="9" spans="1:7" x14ac:dyDescent="0.3">
      <c r="A9" s="13" t="s">
        <v>21</v>
      </c>
      <c r="B9" s="23">
        <v>5300</v>
      </c>
      <c r="C9" s="13" t="s">
        <v>23</v>
      </c>
      <c r="D9" s="23">
        <v>6350</v>
      </c>
    </row>
    <row r="10" spans="1:7" x14ac:dyDescent="0.3">
      <c r="A10" s="13" t="s">
        <v>24</v>
      </c>
      <c r="B10" s="23">
        <f>SUM(B7:B9)</f>
        <v>8250</v>
      </c>
      <c r="C10" s="13" t="s">
        <v>24</v>
      </c>
      <c r="D10" s="23">
        <f>SUM(D7:D9)</f>
        <v>8250</v>
      </c>
    </row>
    <row r="12" spans="1:7" ht="15.75" customHeight="1" x14ac:dyDescent="0.3">
      <c r="A12" s="19" t="s">
        <v>33</v>
      </c>
      <c r="B12" s="19"/>
      <c r="C12" s="19"/>
      <c r="D12" s="19"/>
      <c r="E12" s="19"/>
    </row>
    <row r="13" spans="1:7" x14ac:dyDescent="0.3">
      <c r="A13" s="20" t="s">
        <v>18</v>
      </c>
      <c r="B13" s="21">
        <f>$B2+$B7</f>
        <v>11300</v>
      </c>
      <c r="C13" s="20" t="s">
        <v>19</v>
      </c>
      <c r="D13" s="21">
        <f>$D$2+$D$7</f>
        <v>6500</v>
      </c>
      <c r="E13" s="17"/>
    </row>
    <row r="14" spans="1:7" x14ac:dyDescent="0.3">
      <c r="A14" s="20" t="s">
        <v>31</v>
      </c>
      <c r="B14" s="21">
        <f>$B3+$B8</f>
        <v>2950</v>
      </c>
      <c r="C14" s="20" t="s">
        <v>22</v>
      </c>
      <c r="D14" s="21">
        <f>$G$3</f>
        <v>16800</v>
      </c>
      <c r="E14" s="17"/>
    </row>
    <row r="15" spans="1:7" x14ac:dyDescent="0.3">
      <c r="A15" s="20" t="s">
        <v>21</v>
      </c>
      <c r="B15" s="21">
        <f>$B4+$G$1</f>
        <v>23100</v>
      </c>
      <c r="C15" s="20" t="s">
        <v>23</v>
      </c>
      <c r="D15" s="21">
        <f>$D$4</f>
        <v>18800</v>
      </c>
      <c r="E15" s="17"/>
    </row>
    <row r="16" spans="1:7" x14ac:dyDescent="0.3">
      <c r="A16" s="20" t="s">
        <v>14</v>
      </c>
      <c r="B16" s="21">
        <f>($G$2-$G$1-$B$7-$B$8)+($D$7+$D$8)</f>
        <v>4750</v>
      </c>
      <c r="C16" s="20" t="s">
        <v>24</v>
      </c>
      <c r="D16" s="21">
        <f>SUM(D13:D15)</f>
        <v>42100</v>
      </c>
      <c r="E16" s="17"/>
    </row>
    <row r="17" spans="1:5" x14ac:dyDescent="0.3">
      <c r="A17" s="20" t="s">
        <v>24</v>
      </c>
      <c r="B17" s="21">
        <f>SUM(B13:B16)</f>
        <v>42100</v>
      </c>
      <c r="E1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698C-3FED-4009-90B0-0414F91E19EF}">
  <dimension ref="A1:G10"/>
  <sheetViews>
    <sheetView showGridLines="0" zoomScale="145" zoomScaleNormal="145" workbookViewId="0">
      <selection activeCell="A8" sqref="A8"/>
    </sheetView>
  </sheetViews>
  <sheetFormatPr defaultRowHeight="15.75" x14ac:dyDescent="0.3"/>
  <cols>
    <col min="1" max="1" width="37.33203125" bestFit="1" customWidth="1"/>
    <col min="2" max="2" width="14.33203125" bestFit="1" customWidth="1"/>
    <col min="6" max="7" width="14.33203125" bestFit="1" customWidth="1"/>
  </cols>
  <sheetData>
    <row r="1" spans="1:7" x14ac:dyDescent="0.3">
      <c r="A1" s="1" t="s">
        <v>34</v>
      </c>
      <c r="B1" s="2">
        <v>1150000</v>
      </c>
      <c r="C1" t="s">
        <v>35</v>
      </c>
      <c r="F1" s="25" t="s">
        <v>37</v>
      </c>
      <c r="G1" s="25" t="s">
        <v>38</v>
      </c>
    </row>
    <row r="2" spans="1:7" x14ac:dyDescent="0.3">
      <c r="A2" s="1" t="s">
        <v>39</v>
      </c>
      <c r="B2" s="26">
        <v>0.11</v>
      </c>
      <c r="E2" s="24" t="s">
        <v>36</v>
      </c>
      <c r="F2" s="2">
        <v>24000000</v>
      </c>
      <c r="G2" s="2">
        <v>67000000</v>
      </c>
    </row>
    <row r="3" spans="1:7" x14ac:dyDescent="0.3">
      <c r="A3" s="1" t="s">
        <v>41</v>
      </c>
      <c r="B3" s="26">
        <v>0.32</v>
      </c>
      <c r="C3" t="s">
        <v>40</v>
      </c>
    </row>
    <row r="4" spans="1:7" x14ac:dyDescent="0.3">
      <c r="A4" s="1" t="s">
        <v>42</v>
      </c>
      <c r="B4" s="2">
        <v>33000000</v>
      </c>
      <c r="C4" t="s">
        <v>43</v>
      </c>
    </row>
    <row r="5" spans="1:7" x14ac:dyDescent="0.3">
      <c r="A5" s="1" t="s">
        <v>44</v>
      </c>
      <c r="B5" s="2">
        <f>$B$4</f>
        <v>33000000</v>
      </c>
    </row>
    <row r="6" spans="1:7" x14ac:dyDescent="0.3">
      <c r="A6" s="1" t="s">
        <v>45</v>
      </c>
      <c r="B6" s="2">
        <f>$F$2+$B$1/$B$2</f>
        <v>34454545.454545453</v>
      </c>
    </row>
    <row r="7" spans="1:7" x14ac:dyDescent="0.3">
      <c r="A7" s="1" t="s">
        <v>46</v>
      </c>
      <c r="B7" s="2">
        <f>$B$3*($G$2+$B$6)</f>
        <v>32465454.545454547</v>
      </c>
    </row>
    <row r="9" spans="1:7" x14ac:dyDescent="0.3">
      <c r="A9" s="1" t="s">
        <v>47</v>
      </c>
      <c r="B9" s="2">
        <f>$B$6-$B$5</f>
        <v>1454545.4545454532</v>
      </c>
    </row>
    <row r="10" spans="1:7" x14ac:dyDescent="0.3">
      <c r="A10" s="1" t="s">
        <v>48</v>
      </c>
      <c r="B10" s="2">
        <f>$B$6-$B$7</f>
        <v>1989090.9090909064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13E6-3377-4E44-AD9E-F96A5C515504}">
  <dimension ref="A1:C12"/>
  <sheetViews>
    <sheetView showGridLines="0" zoomScale="145" zoomScaleNormal="145" workbookViewId="0">
      <selection activeCell="C9" sqref="C9"/>
    </sheetView>
  </sheetViews>
  <sheetFormatPr defaultRowHeight="15.75" x14ac:dyDescent="0.3"/>
  <cols>
    <col min="1" max="1" width="16.77734375" bestFit="1" customWidth="1"/>
    <col min="2" max="2" width="12.6640625" bestFit="1" customWidth="1"/>
    <col min="3" max="3" width="11.33203125" bestFit="1" customWidth="1"/>
  </cols>
  <sheetData>
    <row r="1" spans="1:3" x14ac:dyDescent="0.3">
      <c r="A1" s="3"/>
      <c r="B1" s="10" t="s">
        <v>51</v>
      </c>
      <c r="C1" s="10" t="s">
        <v>52</v>
      </c>
    </row>
    <row r="2" spans="1:3" x14ac:dyDescent="0.3">
      <c r="A2" s="13" t="s">
        <v>49</v>
      </c>
      <c r="B2" s="30">
        <v>6.35</v>
      </c>
      <c r="C2" s="27">
        <v>12.7</v>
      </c>
    </row>
    <row r="3" spans="1:3" x14ac:dyDescent="0.3">
      <c r="A3" s="13" t="s">
        <v>7</v>
      </c>
      <c r="B3" s="28">
        <v>73000</v>
      </c>
      <c r="C3" s="28">
        <v>146000</v>
      </c>
    </row>
    <row r="4" spans="1:3" x14ac:dyDescent="0.3">
      <c r="A4" s="13" t="s">
        <v>50</v>
      </c>
      <c r="B4" s="29">
        <v>230000</v>
      </c>
      <c r="C4" s="29">
        <v>690000</v>
      </c>
    </row>
    <row r="6" spans="1:3" x14ac:dyDescent="0.3">
      <c r="A6" s="31" t="s">
        <v>53</v>
      </c>
      <c r="B6" s="31">
        <f>(C4+B4)/(C3+(1/3*B3))</f>
        <v>5.4011741682974552</v>
      </c>
    </row>
    <row r="7" spans="1:3" x14ac:dyDescent="0.3">
      <c r="A7" s="31" t="s">
        <v>54</v>
      </c>
      <c r="B7" s="32">
        <f>(C2*C4)/C3</f>
        <v>60.020547945205479</v>
      </c>
    </row>
    <row r="8" spans="1:3" x14ac:dyDescent="0.3">
      <c r="A8" s="31" t="s">
        <v>55</v>
      </c>
      <c r="B8" s="33">
        <f>B7/B6</f>
        <v>11.112500000000001</v>
      </c>
    </row>
    <row r="10" spans="1:3" x14ac:dyDescent="0.3">
      <c r="A10" s="34" t="s">
        <v>56</v>
      </c>
      <c r="B10" s="35">
        <f>B4*B2</f>
        <v>1460500</v>
      </c>
    </row>
    <row r="11" spans="1:3" x14ac:dyDescent="0.3">
      <c r="A11" s="34" t="s">
        <v>57</v>
      </c>
      <c r="B11" s="35">
        <f>((1/3)*B3)*B7</f>
        <v>1460500</v>
      </c>
    </row>
    <row r="12" spans="1:3" x14ac:dyDescent="0.3">
      <c r="A12" s="34" t="s">
        <v>58</v>
      </c>
      <c r="B12" s="35">
        <f>B10-B11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ACB2-02F3-49EF-8044-2FE8873AEC58}">
  <dimension ref="A1:C17"/>
  <sheetViews>
    <sheetView showGridLines="0" topLeftCell="A6" zoomScale="145" zoomScaleNormal="145" workbookViewId="0">
      <selection activeCell="A16" sqref="A16:B17"/>
    </sheetView>
  </sheetViews>
  <sheetFormatPr defaultRowHeight="15.75" x14ac:dyDescent="0.3"/>
  <cols>
    <col min="1" max="1" width="16.77734375" bestFit="1" customWidth="1"/>
    <col min="2" max="2" width="11.6640625" bestFit="1" customWidth="1"/>
    <col min="3" max="3" width="8.109375" bestFit="1" customWidth="1"/>
  </cols>
  <sheetData>
    <row r="1" spans="1:3" x14ac:dyDescent="0.3">
      <c r="A1" s="3"/>
      <c r="B1" s="10" t="s">
        <v>59</v>
      </c>
      <c r="C1" s="10" t="s">
        <v>60</v>
      </c>
    </row>
    <row r="2" spans="1:3" x14ac:dyDescent="0.3">
      <c r="A2" s="4" t="s">
        <v>7</v>
      </c>
      <c r="B2" s="28">
        <v>8700</v>
      </c>
      <c r="C2" s="28">
        <v>3600</v>
      </c>
    </row>
    <row r="3" spans="1:3" x14ac:dyDescent="0.3">
      <c r="A3" s="4" t="s">
        <v>61</v>
      </c>
      <c r="B3" s="36">
        <v>47</v>
      </c>
      <c r="C3" s="36">
        <v>19</v>
      </c>
    </row>
    <row r="5" spans="1:3" x14ac:dyDescent="0.3">
      <c r="A5" s="1" t="s">
        <v>62</v>
      </c>
      <c r="B5" s="2">
        <v>16700</v>
      </c>
    </row>
    <row r="6" spans="1:3" x14ac:dyDescent="0.3">
      <c r="A6" s="1" t="s">
        <v>63</v>
      </c>
      <c r="B6" s="2">
        <v>21</v>
      </c>
      <c r="C6" t="s">
        <v>12</v>
      </c>
    </row>
    <row r="7" spans="1:3" x14ac:dyDescent="0.3">
      <c r="A7" s="1" t="s">
        <v>58</v>
      </c>
      <c r="B7" s="2">
        <f>(C2*C3)+B5-(C2*B6)</f>
        <v>9500</v>
      </c>
      <c r="C7" s="37"/>
    </row>
    <row r="8" spans="1:3" x14ac:dyDescent="0.3">
      <c r="A8" s="1" t="s">
        <v>54</v>
      </c>
      <c r="B8" s="32">
        <f>((B2*B3)+B7)/B2</f>
        <v>48.091954022988503</v>
      </c>
    </row>
    <row r="9" spans="1:3" x14ac:dyDescent="0.3">
      <c r="A9" s="1" t="s">
        <v>11</v>
      </c>
      <c r="B9" s="2">
        <f>(B6-C3)*C2</f>
        <v>7200</v>
      </c>
      <c r="C9" s="37">
        <f>B5-B7</f>
        <v>7200</v>
      </c>
    </row>
    <row r="11" spans="1:3" x14ac:dyDescent="0.3">
      <c r="A11" s="1" t="s">
        <v>64</v>
      </c>
      <c r="B11" s="1">
        <f>C2*(1/2)</f>
        <v>1800</v>
      </c>
      <c r="C11" t="s">
        <v>65</v>
      </c>
    </row>
    <row r="12" spans="1:3" x14ac:dyDescent="0.3">
      <c r="A12" s="1" t="s">
        <v>56</v>
      </c>
      <c r="B12" s="2">
        <f>(B2*B3)+(C2*C3)+B5</f>
        <v>494000</v>
      </c>
    </row>
    <row r="13" spans="1:3" x14ac:dyDescent="0.3">
      <c r="A13" s="1" t="s">
        <v>54</v>
      </c>
      <c r="B13" s="38">
        <f>B12/(B2+B11)</f>
        <v>47.047619047619051</v>
      </c>
    </row>
    <row r="14" spans="1:3" x14ac:dyDescent="0.3">
      <c r="A14" s="1" t="s">
        <v>58</v>
      </c>
      <c r="B14" s="32">
        <f>((C2*C3)+B5)-(B11*B13)</f>
        <v>414.28571428571013</v>
      </c>
    </row>
    <row r="16" spans="1:3" x14ac:dyDescent="0.3">
      <c r="A16" s="1" t="s">
        <v>66</v>
      </c>
      <c r="B16" s="38">
        <f>(1/2)*B13</f>
        <v>23.523809523809526</v>
      </c>
    </row>
    <row r="17" spans="1:2" x14ac:dyDescent="0.3">
      <c r="A17" s="1" t="s">
        <v>67</v>
      </c>
      <c r="B17" s="40">
        <f>B6/B8</f>
        <v>0.43666347992351817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C2D4-D0EF-459F-A06D-A53575F1C375}">
  <dimension ref="A1:C14"/>
  <sheetViews>
    <sheetView showGridLines="0" topLeftCell="A3" zoomScale="145" zoomScaleNormal="145" workbookViewId="0">
      <selection activeCell="A6" sqref="A6:C14"/>
    </sheetView>
  </sheetViews>
  <sheetFormatPr defaultRowHeight="15.75" x14ac:dyDescent="0.3"/>
  <cols>
    <col min="1" max="1" width="16.77734375" bestFit="1" customWidth="1"/>
    <col min="2" max="2" width="9.109375" bestFit="1" customWidth="1"/>
    <col min="3" max="3" width="6.6640625" bestFit="1" customWidth="1"/>
  </cols>
  <sheetData>
    <row r="1" spans="1:3" x14ac:dyDescent="0.3">
      <c r="A1" s="3"/>
      <c r="B1" s="10" t="s">
        <v>68</v>
      </c>
      <c r="C1" s="10" t="s">
        <v>59</v>
      </c>
    </row>
    <row r="2" spans="1:3" x14ac:dyDescent="0.3">
      <c r="A2" s="4" t="s">
        <v>6</v>
      </c>
      <c r="B2" s="29">
        <v>2100</v>
      </c>
      <c r="C2" s="29">
        <v>750</v>
      </c>
    </row>
    <row r="3" spans="1:3" x14ac:dyDescent="0.3">
      <c r="A3" s="4" t="s">
        <v>7</v>
      </c>
      <c r="B3" s="28">
        <v>900</v>
      </c>
      <c r="C3" s="41">
        <v>300</v>
      </c>
    </row>
    <row r="4" spans="1:3" x14ac:dyDescent="0.3">
      <c r="A4" s="4" t="s">
        <v>61</v>
      </c>
      <c r="B4" s="42">
        <v>60</v>
      </c>
      <c r="C4" s="42">
        <v>12</v>
      </c>
    </row>
    <row r="6" spans="1:3" x14ac:dyDescent="0.3">
      <c r="A6" s="1" t="s">
        <v>69</v>
      </c>
      <c r="B6" s="2">
        <v>13</v>
      </c>
      <c r="C6" t="s">
        <v>12</v>
      </c>
    </row>
    <row r="7" spans="1:3" x14ac:dyDescent="0.3">
      <c r="A7" s="1" t="s">
        <v>57</v>
      </c>
      <c r="B7" s="11">
        <f>C3*B6</f>
        <v>3900</v>
      </c>
    </row>
    <row r="8" spans="1:3" x14ac:dyDescent="0.3">
      <c r="A8" s="1" t="s">
        <v>70</v>
      </c>
      <c r="B8" s="1">
        <f>B7/B4</f>
        <v>65</v>
      </c>
      <c r="C8" t="s">
        <v>71</v>
      </c>
    </row>
    <row r="9" spans="1:3" x14ac:dyDescent="0.3">
      <c r="A9" s="1" t="s">
        <v>53</v>
      </c>
      <c r="B9" s="32">
        <f>(B2+C2)/(B3+B8)</f>
        <v>2.9533678756476682</v>
      </c>
    </row>
    <row r="10" spans="1:3" x14ac:dyDescent="0.3">
      <c r="A10" s="1" t="s">
        <v>72</v>
      </c>
      <c r="B10" s="33">
        <f>B4/(B2/B3)</f>
        <v>25.714285714285712</v>
      </c>
    </row>
    <row r="11" spans="1:3" x14ac:dyDescent="0.3">
      <c r="A11" s="1" t="s">
        <v>73</v>
      </c>
      <c r="B11" s="32">
        <f>B10*B9</f>
        <v>75.943745373797171</v>
      </c>
    </row>
    <row r="12" spans="1:3" x14ac:dyDescent="0.3">
      <c r="A12" s="1" t="s">
        <v>74</v>
      </c>
      <c r="B12" s="33">
        <f>B4/B9</f>
        <v>20.315789473684212</v>
      </c>
    </row>
    <row r="13" spans="1:3" x14ac:dyDescent="0.3">
      <c r="A13" s="1" t="s">
        <v>54</v>
      </c>
      <c r="B13" s="32">
        <f>((B3*B4)+(C3*C4))/(B3+B8)</f>
        <v>59.689119170984455</v>
      </c>
    </row>
    <row r="14" spans="1:3" x14ac:dyDescent="0.3">
      <c r="A14" s="1" t="s">
        <v>55</v>
      </c>
      <c r="B14" s="33">
        <f>B13/B9</f>
        <v>20.210526315789476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BEE5-4053-4D55-AB0B-E18A95676691}">
  <dimension ref="A1:C11"/>
  <sheetViews>
    <sheetView showGridLines="0" zoomScale="145" zoomScaleNormal="145" workbookViewId="0">
      <selection sqref="A1:B11"/>
    </sheetView>
  </sheetViews>
  <sheetFormatPr defaultRowHeight="15.75" x14ac:dyDescent="0.3"/>
  <cols>
    <col min="1" max="1" width="19.5546875" bestFit="1" customWidth="1"/>
    <col min="2" max="2" width="11.6640625" bestFit="1" customWidth="1"/>
  </cols>
  <sheetData>
    <row r="1" spans="1:3" x14ac:dyDescent="0.3">
      <c r="A1" s="1" t="s">
        <v>75</v>
      </c>
      <c r="B1" s="2">
        <v>445000</v>
      </c>
      <c r="C1" t="s">
        <v>76</v>
      </c>
    </row>
    <row r="2" spans="1:3" x14ac:dyDescent="0.3">
      <c r="A2" s="1" t="s">
        <v>77</v>
      </c>
      <c r="B2" s="2">
        <v>7800000</v>
      </c>
      <c r="C2" t="s">
        <v>78</v>
      </c>
    </row>
    <row r="3" spans="1:3" x14ac:dyDescent="0.3">
      <c r="A3" s="1" t="s">
        <v>77</v>
      </c>
      <c r="B3" s="2">
        <v>29000000</v>
      </c>
      <c r="C3" t="s">
        <v>79</v>
      </c>
    </row>
    <row r="4" spans="1:3" x14ac:dyDescent="0.3">
      <c r="A4" s="1" t="s">
        <v>80</v>
      </c>
      <c r="B4" s="26">
        <v>0.08</v>
      </c>
    </row>
    <row r="5" spans="1:3" x14ac:dyDescent="0.3">
      <c r="A5" s="1" t="s">
        <v>81</v>
      </c>
      <c r="B5" s="26">
        <v>0.25</v>
      </c>
      <c r="C5" t="s">
        <v>40</v>
      </c>
    </row>
    <row r="6" spans="1:3" x14ac:dyDescent="0.3">
      <c r="A6" s="1" t="s">
        <v>82</v>
      </c>
      <c r="B6" s="2">
        <v>11400000</v>
      </c>
      <c r="C6" t="s">
        <v>83</v>
      </c>
    </row>
    <row r="7" spans="1:3" x14ac:dyDescent="0.3">
      <c r="A7" s="1" t="s">
        <v>84</v>
      </c>
      <c r="B7" s="2">
        <f>B1/B4</f>
        <v>5562500</v>
      </c>
      <c r="C7" t="s">
        <v>85</v>
      </c>
    </row>
    <row r="8" spans="1:3" x14ac:dyDescent="0.3">
      <c r="A8" s="1" t="s">
        <v>86</v>
      </c>
      <c r="B8" s="2">
        <f>B2+B7</f>
        <v>13362500</v>
      </c>
    </row>
    <row r="9" spans="1:3" x14ac:dyDescent="0.3">
      <c r="A9" s="1" t="s">
        <v>87</v>
      </c>
      <c r="B9" s="2">
        <f>B5*(B8+B3)</f>
        <v>10590625</v>
      </c>
    </row>
    <row r="10" spans="1:3" x14ac:dyDescent="0.3">
      <c r="A10" s="1" t="s">
        <v>88</v>
      </c>
      <c r="B10" s="2">
        <f>B8-B6</f>
        <v>1962500</v>
      </c>
    </row>
    <row r="11" spans="1:3" x14ac:dyDescent="0.3">
      <c r="A11" s="1" t="s">
        <v>89</v>
      </c>
      <c r="B11" s="2">
        <f>B8-B9</f>
        <v>2771875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46DF-2252-4FE6-9B34-FFC687D10D20}">
  <dimension ref="A1:C15"/>
  <sheetViews>
    <sheetView showGridLines="0" zoomScale="145" zoomScaleNormal="145" workbookViewId="0"/>
  </sheetViews>
  <sheetFormatPr defaultRowHeight="15.75" x14ac:dyDescent="0.3"/>
  <cols>
    <col min="1" max="1" width="29.109375" bestFit="1" customWidth="1"/>
    <col min="2" max="2" width="12.109375" bestFit="1" customWidth="1"/>
    <col min="3" max="3" width="23.44140625" bestFit="1" customWidth="1"/>
  </cols>
  <sheetData>
    <row r="1" spans="1:3" x14ac:dyDescent="0.3">
      <c r="B1" s="1" t="s">
        <v>90</v>
      </c>
      <c r="C1" s="1" t="s">
        <v>91</v>
      </c>
    </row>
    <row r="2" spans="1:3" x14ac:dyDescent="0.3">
      <c r="A2" s="1" t="s">
        <v>77</v>
      </c>
      <c r="B2" s="47">
        <v>310000000</v>
      </c>
      <c r="C2" s="46">
        <v>121000000</v>
      </c>
    </row>
    <row r="3" spans="1:3" x14ac:dyDescent="0.3">
      <c r="A3" s="1" t="s">
        <v>7</v>
      </c>
      <c r="B3" s="1">
        <v>11000000</v>
      </c>
      <c r="C3" s="1">
        <v>6000000</v>
      </c>
    </row>
    <row r="4" spans="1:3" x14ac:dyDescent="0.3">
      <c r="A4" s="1" t="s">
        <v>84</v>
      </c>
      <c r="B4" s="46">
        <v>475000000</v>
      </c>
      <c r="C4" t="s">
        <v>92</v>
      </c>
    </row>
    <row r="5" spans="1:3" x14ac:dyDescent="0.3">
      <c r="A5" s="1" t="s">
        <v>93</v>
      </c>
      <c r="B5" s="46">
        <v>13000000</v>
      </c>
    </row>
    <row r="7" spans="1:3" x14ac:dyDescent="0.3">
      <c r="A7" s="1" t="s">
        <v>94</v>
      </c>
      <c r="B7" s="44">
        <v>8500000</v>
      </c>
      <c r="C7" t="s">
        <v>95</v>
      </c>
    </row>
    <row r="8" spans="1:3" x14ac:dyDescent="0.3">
      <c r="A8" s="1" t="s">
        <v>96</v>
      </c>
      <c r="B8" s="44">
        <f>B3+B7</f>
        <v>19500000</v>
      </c>
    </row>
    <row r="9" spans="1:3" x14ac:dyDescent="0.3">
      <c r="A9" s="1" t="s">
        <v>97</v>
      </c>
      <c r="B9" s="45">
        <f>B4/B8</f>
        <v>24.358974358974358</v>
      </c>
    </row>
    <row r="10" spans="1:3" x14ac:dyDescent="0.3">
      <c r="A10" s="1" t="s">
        <v>94</v>
      </c>
      <c r="B10" s="46">
        <v>134000000</v>
      </c>
      <c r="C10" t="s">
        <v>83</v>
      </c>
    </row>
    <row r="11" spans="1:3" x14ac:dyDescent="0.3">
      <c r="B11" s="43">
        <f>B12*B4</f>
        <v>134000000</v>
      </c>
    </row>
    <row r="12" spans="1:3" x14ac:dyDescent="0.3">
      <c r="A12" s="1" t="s">
        <v>98</v>
      </c>
      <c r="B12" s="40">
        <v>0.28210526315789475</v>
      </c>
    </row>
    <row r="13" spans="1:3" x14ac:dyDescent="0.3">
      <c r="B13" s="39">
        <f>B14/(B14+B3)</f>
        <v>0.28210000000000002</v>
      </c>
    </row>
    <row r="14" spans="1:3" x14ac:dyDescent="0.3">
      <c r="A14" s="1" t="s">
        <v>99</v>
      </c>
      <c r="B14" s="44">
        <v>4322468.3103496311</v>
      </c>
    </row>
    <row r="15" spans="1:3" x14ac:dyDescent="0.3">
      <c r="A15" s="1" t="s">
        <v>67</v>
      </c>
      <c r="B15" s="40">
        <f>B14/C3</f>
        <v>0.72041138505827185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35C-F312-40E2-9E3F-4CBFA5C6C0C6}">
  <dimension ref="A1:F12"/>
  <sheetViews>
    <sheetView showGridLines="0" zoomScale="145" zoomScaleNormal="145" workbookViewId="0">
      <selection sqref="A1:E12"/>
    </sheetView>
  </sheetViews>
  <sheetFormatPr defaultRowHeight="15.75" x14ac:dyDescent="0.3"/>
  <cols>
    <col min="1" max="1" width="19.88671875" bestFit="1" customWidth="1"/>
    <col min="2" max="2" width="11.109375" bestFit="1" customWidth="1"/>
    <col min="3" max="4" width="11.6640625" bestFit="1" customWidth="1"/>
    <col min="5" max="5" width="12.5546875" bestFit="1" customWidth="1"/>
  </cols>
  <sheetData>
    <row r="1" spans="1:6" x14ac:dyDescent="0.3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111</v>
      </c>
    </row>
    <row r="2" spans="1:6" x14ac:dyDescent="0.3">
      <c r="A2" s="4" t="s">
        <v>104</v>
      </c>
      <c r="B2" s="48">
        <v>0.65</v>
      </c>
      <c r="C2" s="29">
        <v>348000</v>
      </c>
      <c r="D2" s="29">
        <v>312000</v>
      </c>
      <c r="E2" s="29">
        <f>SUM($C2:$D2)</f>
        <v>660000</v>
      </c>
    </row>
    <row r="3" spans="1:6" x14ac:dyDescent="0.3">
      <c r="A3" s="4" t="s">
        <v>105</v>
      </c>
      <c r="B3" s="48">
        <v>0.35</v>
      </c>
      <c r="C3" s="29">
        <v>132000</v>
      </c>
      <c r="D3" s="29">
        <v>95000</v>
      </c>
      <c r="E3" s="29">
        <f>SUM($C3:$D3)</f>
        <v>227000</v>
      </c>
      <c r="F3" s="50"/>
    </row>
    <row r="4" spans="1:6" x14ac:dyDescent="0.3">
      <c r="A4" s="4" t="s">
        <v>106</v>
      </c>
      <c r="C4" s="49">
        <v>150000</v>
      </c>
    </row>
    <row r="5" spans="1:6" x14ac:dyDescent="0.3">
      <c r="A5" s="4" t="s">
        <v>86</v>
      </c>
      <c r="C5" s="49">
        <f>SUMPRODUCT($B$2:$B$3,C$2:C$3)</f>
        <v>272400</v>
      </c>
      <c r="D5" s="49">
        <f>SUMPRODUCT($B$2:$B$3,D$2:D$3)</f>
        <v>236050</v>
      </c>
    </row>
    <row r="6" spans="1:6" x14ac:dyDescent="0.3">
      <c r="A6" s="4" t="s">
        <v>23</v>
      </c>
      <c r="C6" s="49">
        <f>($C$2-$C$4)*$B$2+B3*0</f>
        <v>128700</v>
      </c>
    </row>
    <row r="7" spans="1:6" x14ac:dyDescent="0.3">
      <c r="A7" s="4" t="s">
        <v>107</v>
      </c>
      <c r="C7" s="49">
        <f>($B$2*$C$4)+($B$3*$C$3)</f>
        <v>143700</v>
      </c>
    </row>
    <row r="8" spans="1:6" x14ac:dyDescent="0.3">
      <c r="A8" s="1" t="s">
        <v>108</v>
      </c>
      <c r="B8" s="2">
        <f>SUM($C$5:$D$5)</f>
        <v>508450</v>
      </c>
    </row>
    <row r="9" spans="1:6" x14ac:dyDescent="0.3">
      <c r="A9" s="1" t="s">
        <v>109</v>
      </c>
      <c r="B9" s="35">
        <f>$C$6+$D$5</f>
        <v>364750</v>
      </c>
    </row>
    <row r="10" spans="1:6" x14ac:dyDescent="0.3">
      <c r="A10" s="1" t="s">
        <v>110</v>
      </c>
      <c r="B10" s="2">
        <f>$C$7</f>
        <v>143700</v>
      </c>
    </row>
    <row r="11" spans="1:6" x14ac:dyDescent="0.3">
      <c r="A11" s="1" t="s">
        <v>112</v>
      </c>
      <c r="B11" s="2">
        <f>SUMPRODUCT($B$2:$B$3,$E$2:$E$3)</f>
        <v>508450</v>
      </c>
    </row>
    <row r="12" spans="1:6" x14ac:dyDescent="0.3">
      <c r="A12" s="1" t="s">
        <v>113</v>
      </c>
      <c r="B12" s="2">
        <f>(($B$2)*($E$2-$C$4))+(($B$3)*($E$3-$C$4))</f>
        <v>358450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F4A1-3955-4DE2-8314-B12C3C35B4AC}">
  <dimension ref="A1:G22"/>
  <sheetViews>
    <sheetView showGridLines="0" topLeftCell="A10" zoomScale="145" zoomScaleNormal="145" workbookViewId="0">
      <selection activeCell="D17" sqref="D17"/>
    </sheetView>
  </sheetViews>
  <sheetFormatPr defaultRowHeight="15.75" x14ac:dyDescent="0.3"/>
  <cols>
    <col min="1" max="1" width="16.77734375" bestFit="1" customWidth="1"/>
    <col min="2" max="2" width="10.109375" bestFit="1" customWidth="1"/>
    <col min="3" max="3" width="13.77734375" bestFit="1" customWidth="1"/>
    <col min="5" max="5" width="15.21875" bestFit="1" customWidth="1"/>
  </cols>
  <sheetData>
    <row r="1" spans="1:7" x14ac:dyDescent="0.3">
      <c r="A1" s="3"/>
      <c r="B1" s="10" t="s">
        <v>115</v>
      </c>
      <c r="C1" s="10" t="s">
        <v>116</v>
      </c>
      <c r="E1" s="1" t="s">
        <v>117</v>
      </c>
      <c r="F1" s="26">
        <v>0.04</v>
      </c>
      <c r="G1" t="s">
        <v>118</v>
      </c>
    </row>
    <row r="2" spans="1:7" x14ac:dyDescent="0.3">
      <c r="A2" s="13" t="s">
        <v>49</v>
      </c>
      <c r="B2" s="27">
        <v>14.5</v>
      </c>
      <c r="C2" s="27">
        <v>10</v>
      </c>
      <c r="E2" s="1" t="s">
        <v>119</v>
      </c>
      <c r="F2" s="26">
        <v>0.06</v>
      </c>
      <c r="G2" t="s">
        <v>118</v>
      </c>
    </row>
    <row r="3" spans="1:7" x14ac:dyDescent="0.3">
      <c r="A3" s="13" t="s">
        <v>7</v>
      </c>
      <c r="B3" s="28">
        <v>1500000</v>
      </c>
      <c r="C3" s="28">
        <v>750000</v>
      </c>
      <c r="E3" s="1" t="s">
        <v>125</v>
      </c>
      <c r="F3" s="2">
        <v>20</v>
      </c>
      <c r="G3" t="s">
        <v>126</v>
      </c>
    </row>
    <row r="4" spans="1:7" x14ac:dyDescent="0.3">
      <c r="A4" s="13" t="s">
        <v>50</v>
      </c>
      <c r="B4" s="29">
        <v>4200000</v>
      </c>
      <c r="C4" s="29">
        <v>960000</v>
      </c>
      <c r="E4" s="1" t="s">
        <v>125</v>
      </c>
      <c r="F4" s="1">
        <v>225000</v>
      </c>
      <c r="G4" t="s">
        <v>128</v>
      </c>
    </row>
    <row r="5" spans="1:7" x14ac:dyDescent="0.3">
      <c r="A5" s="13" t="s">
        <v>114</v>
      </c>
      <c r="B5" s="29">
        <v>1050000</v>
      </c>
      <c r="C5" s="29">
        <v>470000</v>
      </c>
      <c r="E5" s="1" t="s">
        <v>129</v>
      </c>
      <c r="F5" s="26">
        <v>0.05</v>
      </c>
      <c r="G5" t="s">
        <v>118</v>
      </c>
    </row>
    <row r="6" spans="1:7" x14ac:dyDescent="0.3">
      <c r="A6" s="13" t="s">
        <v>53</v>
      </c>
      <c r="B6" s="51">
        <f>B$4/B$3</f>
        <v>2.8</v>
      </c>
      <c r="C6" s="51">
        <f>C$4/C$3</f>
        <v>1.28</v>
      </c>
    </row>
    <row r="7" spans="1:7" x14ac:dyDescent="0.3">
      <c r="A7" s="13" t="s">
        <v>86</v>
      </c>
      <c r="B7" s="51">
        <f>B$2*B$6</f>
        <v>40.599999999999994</v>
      </c>
      <c r="C7" s="51">
        <f>C$2*C$6</f>
        <v>12.8</v>
      </c>
    </row>
    <row r="8" spans="1:7" x14ac:dyDescent="0.3">
      <c r="A8" s="13" t="s">
        <v>120</v>
      </c>
      <c r="B8" s="51">
        <f>B$5/B$3</f>
        <v>0.7</v>
      </c>
      <c r="C8" s="51">
        <f>C$5/C$3</f>
        <v>0.62666666666666671</v>
      </c>
    </row>
    <row r="9" spans="1:7" x14ac:dyDescent="0.3">
      <c r="A9" s="13" t="s">
        <v>121</v>
      </c>
      <c r="C9" s="52">
        <f>FV($F$1,1,,-$C$8)/$C$7+$F$1</f>
        <v>9.0916666666666673E-2</v>
      </c>
    </row>
    <row r="10" spans="1:7" x14ac:dyDescent="0.3">
      <c r="A10" s="13" t="s">
        <v>122</v>
      </c>
      <c r="C10" s="51">
        <f>FV($F$2,1,,-$C$8)/($C$9-$F$2)</f>
        <v>21.485714285714284</v>
      </c>
    </row>
    <row r="11" spans="1:7" x14ac:dyDescent="0.3">
      <c r="A11" s="13" t="s">
        <v>123</v>
      </c>
      <c r="C11" s="51">
        <f>$C$10*$C$3</f>
        <v>16114285.714285713</v>
      </c>
    </row>
    <row r="12" spans="1:7" x14ac:dyDescent="0.3">
      <c r="A12" s="13" t="s">
        <v>124</v>
      </c>
      <c r="C12" s="51">
        <f>$C$11-($C$3*$C$7)</f>
        <v>6514285.7142857127</v>
      </c>
    </row>
    <row r="13" spans="1:7" x14ac:dyDescent="0.3">
      <c r="A13" s="53" t="s">
        <v>47</v>
      </c>
      <c r="C13" s="51">
        <f>$C$11-($C$3*$F$3)</f>
        <v>1114285.7142857127</v>
      </c>
    </row>
    <row r="14" spans="1:7" x14ac:dyDescent="0.3">
      <c r="A14" s="13" t="s">
        <v>127</v>
      </c>
      <c r="C14" s="51">
        <f>$F$3+($C$13/$C$3)</f>
        <v>21.485714285714284</v>
      </c>
    </row>
    <row r="15" spans="1:7" x14ac:dyDescent="0.3">
      <c r="A15" s="13" t="s">
        <v>133</v>
      </c>
      <c r="B15" s="51">
        <f>(($B$3*$B$7)+$C$11)/($B$3+$F$4)</f>
        <v>44.645962732919244</v>
      </c>
    </row>
    <row r="16" spans="1:7" x14ac:dyDescent="0.3">
      <c r="A16" s="53" t="s">
        <v>135</v>
      </c>
      <c r="C16" s="51">
        <f>$C$11-($F$4*$B$15)</f>
        <v>6068944.099378882</v>
      </c>
    </row>
    <row r="17" spans="1:3" x14ac:dyDescent="0.3">
      <c r="A17" s="13" t="s">
        <v>130</v>
      </c>
      <c r="C17" s="51">
        <f>FV($F$5,1,,-$C$8)/($C$9-$F$5)</f>
        <v>16.081466395112017</v>
      </c>
    </row>
    <row r="18" spans="1:3" x14ac:dyDescent="0.3">
      <c r="A18" s="13" t="s">
        <v>123</v>
      </c>
      <c r="C18" s="51">
        <f>$C$3*$C$17</f>
        <v>12061099.796334013</v>
      </c>
    </row>
    <row r="19" spans="1:3" x14ac:dyDescent="0.3">
      <c r="A19" s="13" t="s">
        <v>131</v>
      </c>
      <c r="C19" s="51">
        <f>$C$18-($C$3*$C$7)</f>
        <v>2461099.7963340133</v>
      </c>
    </row>
    <row r="20" spans="1:3" x14ac:dyDescent="0.3">
      <c r="A20" s="53" t="s">
        <v>132</v>
      </c>
      <c r="C20" s="51">
        <f>$C$18-($C$3*$F$3)</f>
        <v>-2938900.2036659867</v>
      </c>
    </row>
    <row r="21" spans="1:3" x14ac:dyDescent="0.3">
      <c r="A21" s="13" t="s">
        <v>134</v>
      </c>
      <c r="B21" s="51">
        <f>(($B$3*$B$7)+$C$18)/($B$3+$F$4)</f>
        <v>42.296289737005218</v>
      </c>
    </row>
    <row r="22" spans="1:3" x14ac:dyDescent="0.3">
      <c r="A22" s="53" t="s">
        <v>136</v>
      </c>
      <c r="C22" s="51">
        <f>$C$18-($F$4*$B$21)</f>
        <v>2544434.6055078395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8AF8-976B-4DCD-AD9E-443198471F2F}">
  <dimension ref="A1:L38"/>
  <sheetViews>
    <sheetView showGridLines="0" tabSelected="1" topLeftCell="A3" zoomScale="140" zoomScaleNormal="140" workbookViewId="0">
      <selection activeCell="A3" sqref="A3"/>
    </sheetView>
  </sheetViews>
  <sheetFormatPr defaultRowHeight="15.75" x14ac:dyDescent="0.3"/>
  <cols>
    <col min="1" max="1" width="24.5546875" bestFit="1" customWidth="1"/>
    <col min="2" max="2" width="15.88671875" bestFit="1" customWidth="1"/>
    <col min="3" max="5" width="12.6640625" bestFit="1" customWidth="1"/>
    <col min="6" max="7" width="13.33203125" bestFit="1" customWidth="1"/>
    <col min="8" max="8" width="34.109375" bestFit="1" customWidth="1"/>
    <col min="9" max="9" width="20.44140625" bestFit="1" customWidth="1"/>
    <col min="11" max="11" width="3.5546875" bestFit="1" customWidth="1"/>
    <col min="12" max="12" width="12.6640625" bestFit="1" customWidth="1"/>
  </cols>
  <sheetData>
    <row r="1" spans="1:12" x14ac:dyDescent="0.3">
      <c r="A1" s="54"/>
      <c r="B1" s="55">
        <v>2019</v>
      </c>
      <c r="C1" s="55">
        <v>2020</v>
      </c>
      <c r="D1" s="55">
        <v>2021</v>
      </c>
      <c r="E1" s="55">
        <v>2022</v>
      </c>
      <c r="F1" s="55">
        <v>2023</v>
      </c>
      <c r="H1" s="1" t="s">
        <v>125</v>
      </c>
      <c r="I1" s="2">
        <v>352000000</v>
      </c>
      <c r="J1" t="s">
        <v>83</v>
      </c>
    </row>
    <row r="2" spans="1:12" x14ac:dyDescent="0.3">
      <c r="A2" s="56" t="s">
        <v>137</v>
      </c>
      <c r="B2" s="57">
        <v>409600000</v>
      </c>
      <c r="C2" s="57">
        <v>460800000</v>
      </c>
      <c r="D2" s="57">
        <v>512000000</v>
      </c>
      <c r="E2" s="57">
        <v>576000000</v>
      </c>
      <c r="F2" s="57">
        <v>640000000</v>
      </c>
      <c r="H2" s="1" t="s">
        <v>107</v>
      </c>
      <c r="I2" s="2">
        <v>57000000</v>
      </c>
      <c r="J2" t="s">
        <v>164</v>
      </c>
      <c r="L2" s="37"/>
    </row>
    <row r="3" spans="1:12" x14ac:dyDescent="0.3">
      <c r="A3" s="56" t="s">
        <v>138</v>
      </c>
      <c r="B3" s="57">
        <v>287400000</v>
      </c>
      <c r="C3" s="57">
        <v>322500000</v>
      </c>
      <c r="D3" s="57">
        <v>358400000</v>
      </c>
      <c r="E3" s="57">
        <v>404500000</v>
      </c>
      <c r="F3" s="57">
        <v>451200000</v>
      </c>
      <c r="H3" s="1" t="s">
        <v>152</v>
      </c>
      <c r="I3" s="2">
        <v>76000000</v>
      </c>
    </row>
    <row r="4" spans="1:12" x14ac:dyDescent="0.3">
      <c r="A4" s="56" t="s">
        <v>139</v>
      </c>
      <c r="B4" s="57">
        <v>38400000</v>
      </c>
      <c r="C4" s="57">
        <v>40900000</v>
      </c>
      <c r="D4" s="57">
        <v>42300000</v>
      </c>
      <c r="E4" s="57">
        <v>42500000</v>
      </c>
      <c r="F4" s="57">
        <v>43900000</v>
      </c>
      <c r="H4" s="1" t="s">
        <v>153</v>
      </c>
      <c r="I4" s="33">
        <v>0.5</v>
      </c>
      <c r="J4" s="66" t="s">
        <v>154</v>
      </c>
      <c r="K4" s="65">
        <v>1</v>
      </c>
    </row>
    <row r="5" spans="1:12" x14ac:dyDescent="0.3">
      <c r="A5" s="56" t="s">
        <v>140</v>
      </c>
      <c r="B5" s="57">
        <v>40900000</v>
      </c>
      <c r="C5" s="57">
        <v>46100000</v>
      </c>
      <c r="D5" s="57">
        <v>51200000</v>
      </c>
      <c r="E5" s="57">
        <v>57900000</v>
      </c>
      <c r="F5" s="57">
        <v>63100000</v>
      </c>
      <c r="H5" s="1" t="s">
        <v>155</v>
      </c>
      <c r="I5" s="2">
        <v>12800000</v>
      </c>
      <c r="J5" t="s">
        <v>159</v>
      </c>
    </row>
    <row r="6" spans="1:12" x14ac:dyDescent="0.3">
      <c r="A6" s="58" t="s">
        <v>141</v>
      </c>
      <c r="B6" s="57">
        <v>42900000</v>
      </c>
      <c r="C6" s="57">
        <v>51300000</v>
      </c>
      <c r="D6" s="57">
        <v>60100000</v>
      </c>
      <c r="E6" s="57">
        <v>71100000</v>
      </c>
      <c r="F6" s="57">
        <v>81800000</v>
      </c>
      <c r="H6" s="1" t="s">
        <v>156</v>
      </c>
      <c r="I6" s="2">
        <v>460800000</v>
      </c>
      <c r="J6" t="s">
        <v>158</v>
      </c>
    </row>
    <row r="7" spans="1:12" x14ac:dyDescent="0.3">
      <c r="A7" s="56" t="s">
        <v>142</v>
      </c>
      <c r="B7" s="57">
        <v>9730000</v>
      </c>
      <c r="C7" s="57">
        <v>11260000</v>
      </c>
      <c r="D7" s="57">
        <v>12300000</v>
      </c>
      <c r="E7" s="57">
        <v>12800000</v>
      </c>
      <c r="F7" s="57">
        <v>13800000</v>
      </c>
      <c r="H7" s="1" t="s">
        <v>157</v>
      </c>
      <c r="I7" s="2">
        <v>153600000</v>
      </c>
      <c r="J7" t="s">
        <v>158</v>
      </c>
    </row>
    <row r="8" spans="1:12" x14ac:dyDescent="0.3">
      <c r="A8" s="56" t="s">
        <v>143</v>
      </c>
      <c r="B8" s="57">
        <v>33170000</v>
      </c>
      <c r="C8" s="57">
        <v>40040000</v>
      </c>
      <c r="D8" s="57">
        <v>47800000</v>
      </c>
      <c r="E8" s="57">
        <v>58300000</v>
      </c>
      <c r="F8" s="57">
        <v>68000000</v>
      </c>
      <c r="H8" s="1" t="s">
        <v>160</v>
      </c>
      <c r="I8" s="2">
        <v>94</v>
      </c>
      <c r="J8" t="s">
        <v>161</v>
      </c>
    </row>
    <row r="9" spans="1:12" x14ac:dyDescent="0.3">
      <c r="A9" s="56" t="s">
        <v>144</v>
      </c>
      <c r="B9" s="57">
        <v>8292500</v>
      </c>
      <c r="C9" s="57">
        <v>10010000</v>
      </c>
      <c r="D9" s="57">
        <v>11950000</v>
      </c>
      <c r="E9" s="57">
        <v>14575000</v>
      </c>
      <c r="F9" s="57">
        <v>17000000</v>
      </c>
      <c r="H9" s="1" t="s">
        <v>162</v>
      </c>
      <c r="I9" s="71">
        <v>11600000</v>
      </c>
      <c r="J9" t="s">
        <v>163</v>
      </c>
    </row>
    <row r="10" spans="1:12" x14ac:dyDescent="0.3">
      <c r="A10" s="58" t="s">
        <v>145</v>
      </c>
      <c r="B10" s="57">
        <v>24877500</v>
      </c>
      <c r="C10" s="57">
        <v>30030000</v>
      </c>
      <c r="D10" s="57">
        <v>35850000</v>
      </c>
      <c r="E10" s="57">
        <v>43725000</v>
      </c>
      <c r="F10" s="57">
        <v>51000000</v>
      </c>
      <c r="H10" s="1" t="s">
        <v>162</v>
      </c>
      <c r="I10" s="71">
        <v>5200000</v>
      </c>
      <c r="J10" t="s">
        <v>164</v>
      </c>
    </row>
    <row r="11" spans="1:12" x14ac:dyDescent="0.3">
      <c r="H11" s="1" t="s">
        <v>165</v>
      </c>
      <c r="I11" s="26">
        <v>0.08</v>
      </c>
    </row>
    <row r="12" spans="1:12" x14ac:dyDescent="0.3">
      <c r="A12" s="59"/>
      <c r="B12" s="55">
        <v>2019</v>
      </c>
      <c r="C12" s="55">
        <v>2020</v>
      </c>
      <c r="D12" s="55">
        <v>2021</v>
      </c>
      <c r="E12" s="55">
        <v>2022</v>
      </c>
      <c r="F12" s="55">
        <v>2023</v>
      </c>
      <c r="H12" s="1" t="s">
        <v>167</v>
      </c>
      <c r="I12" s="26">
        <v>0.06</v>
      </c>
    </row>
    <row r="13" spans="1:12" ht="15.75" customHeight="1" x14ac:dyDescent="0.3">
      <c r="A13" s="60" t="s">
        <v>150</v>
      </c>
      <c r="B13" s="61"/>
      <c r="C13" s="61"/>
      <c r="D13" s="61"/>
      <c r="E13" s="61"/>
      <c r="F13" s="61"/>
      <c r="H13" s="1" t="s">
        <v>166</v>
      </c>
      <c r="I13" s="26">
        <v>0.13</v>
      </c>
    </row>
    <row r="14" spans="1:12" x14ac:dyDescent="0.3">
      <c r="A14" s="63" t="s">
        <v>146</v>
      </c>
      <c r="B14" s="64">
        <v>10200000</v>
      </c>
      <c r="C14" s="64">
        <v>12800000</v>
      </c>
      <c r="D14" s="64">
        <v>12800000</v>
      </c>
      <c r="E14" s="64">
        <v>15400000</v>
      </c>
      <c r="F14" s="64">
        <v>15400000</v>
      </c>
      <c r="H14" s="1" t="s">
        <v>168</v>
      </c>
      <c r="I14" s="26">
        <v>0.11</v>
      </c>
      <c r="J14" t="s">
        <v>163</v>
      </c>
    </row>
    <row r="15" spans="1:12" x14ac:dyDescent="0.3">
      <c r="A15" s="63" t="s">
        <v>147</v>
      </c>
      <c r="B15" s="57">
        <v>7700000</v>
      </c>
      <c r="C15" s="57">
        <v>13800000</v>
      </c>
      <c r="D15" s="57">
        <v>9300000</v>
      </c>
      <c r="E15" s="57">
        <v>31400000</v>
      </c>
      <c r="F15" s="57">
        <v>3900000</v>
      </c>
      <c r="H15" s="1" t="s">
        <v>169</v>
      </c>
      <c r="I15" s="72">
        <v>1.3</v>
      </c>
      <c r="J15" t="s">
        <v>170</v>
      </c>
    </row>
    <row r="16" spans="1:12" x14ac:dyDescent="0.3">
      <c r="A16" s="62" t="s">
        <v>24</v>
      </c>
      <c r="B16" s="57">
        <v>17900000</v>
      </c>
      <c r="C16" s="57">
        <v>26600000</v>
      </c>
      <c r="D16" s="57">
        <v>22100000</v>
      </c>
      <c r="E16" s="57">
        <v>46800000</v>
      </c>
      <c r="F16" s="57">
        <v>19300000</v>
      </c>
      <c r="H16" s="68" t="s">
        <v>193</v>
      </c>
      <c r="I16" s="73">
        <v>63.25</v>
      </c>
      <c r="J16" t="s">
        <v>171</v>
      </c>
    </row>
    <row r="17" spans="1:10" x14ac:dyDescent="0.3">
      <c r="A17" s="62" t="s">
        <v>148</v>
      </c>
      <c r="B17" s="57"/>
      <c r="C17" s="57"/>
      <c r="D17" s="57"/>
      <c r="E17" s="57"/>
      <c r="F17" s="57"/>
      <c r="H17" s="1" t="s">
        <v>176</v>
      </c>
      <c r="I17" s="40">
        <f>$I$4/($K$4+$I$4)</f>
        <v>0.33333333333333331</v>
      </c>
    </row>
    <row r="18" spans="1:10" x14ac:dyDescent="0.3">
      <c r="A18" s="63" t="s">
        <v>151</v>
      </c>
      <c r="B18" s="64">
        <v>17900000</v>
      </c>
      <c r="C18" s="64">
        <v>9200000</v>
      </c>
      <c r="D18" s="64">
        <v>8200000</v>
      </c>
      <c r="E18" s="64">
        <v>15000000</v>
      </c>
      <c r="F18" s="64">
        <v>6100000</v>
      </c>
      <c r="H18" s="1" t="s">
        <v>177</v>
      </c>
      <c r="I18" s="40">
        <f>1-I17</f>
        <v>0.66666666666666674</v>
      </c>
    </row>
    <row r="19" spans="1:10" x14ac:dyDescent="0.3">
      <c r="A19" s="63" t="s">
        <v>149</v>
      </c>
      <c r="B19" s="57">
        <v>0</v>
      </c>
      <c r="C19" s="57">
        <v>17400000</v>
      </c>
      <c r="D19" s="57">
        <v>13900000</v>
      </c>
      <c r="E19" s="57">
        <v>31800000</v>
      </c>
      <c r="F19" s="57">
        <v>13200000</v>
      </c>
      <c r="H19" s="1" t="s">
        <v>178</v>
      </c>
      <c r="I19" s="33">
        <f>($I$11-$I$12)/($I$13-$I$12)</f>
        <v>0.28571428571428575</v>
      </c>
    </row>
    <row r="20" spans="1:10" x14ac:dyDescent="0.3">
      <c r="A20" s="62" t="s">
        <v>24</v>
      </c>
      <c r="B20" s="57">
        <v>17900000</v>
      </c>
      <c r="C20" s="57">
        <v>26600000</v>
      </c>
      <c r="D20" s="57">
        <v>22100000</v>
      </c>
      <c r="E20" s="57">
        <v>46800000</v>
      </c>
      <c r="F20" s="57">
        <v>19300000</v>
      </c>
      <c r="H20" s="1" t="s">
        <v>179</v>
      </c>
      <c r="I20" s="33">
        <f>($I$17*$I$19)+($I$18*$I$15)</f>
        <v>0.96190476190476204</v>
      </c>
    </row>
    <row r="21" spans="1:10" x14ac:dyDescent="0.3">
      <c r="H21" s="1" t="s">
        <v>180</v>
      </c>
      <c r="I21" s="40">
        <f>$I$12+$I$20*($I$13-$I$12)</f>
        <v>0.12733333333333335</v>
      </c>
      <c r="J21" t="s">
        <v>181</v>
      </c>
    </row>
    <row r="22" spans="1:10" x14ac:dyDescent="0.3">
      <c r="A22" s="1" t="s">
        <v>172</v>
      </c>
      <c r="B22" s="2">
        <f>-($I$1-$I$2-$I$5)</f>
        <v>-282200000</v>
      </c>
      <c r="H22" s="1" t="s">
        <v>188</v>
      </c>
      <c r="I22" s="33">
        <f>($I$20-($I$4*$I$17))/$I$4</f>
        <v>1.5904761904761908</v>
      </c>
    </row>
    <row r="23" spans="1:10" x14ac:dyDescent="0.3">
      <c r="A23" s="1" t="s">
        <v>173</v>
      </c>
      <c r="B23" s="2">
        <f>$I$3</f>
        <v>76000000</v>
      </c>
      <c r="H23" s="1" t="s">
        <v>180</v>
      </c>
      <c r="I23" s="40">
        <f>$I$12+$I$22*($I$13-$I$12)</f>
        <v>0.17133333333333337</v>
      </c>
      <c r="J23" t="s">
        <v>181</v>
      </c>
    </row>
    <row r="24" spans="1:10" x14ac:dyDescent="0.3">
      <c r="A24" s="68" t="s">
        <v>24</v>
      </c>
      <c r="B24" s="67">
        <f>SUM($B$22:$B$23)</f>
        <v>-206200000</v>
      </c>
      <c r="H24" s="68" t="s">
        <v>189</v>
      </c>
      <c r="I24" s="73">
        <f>NPV(0,$C$38:$G$38)+$B$24</f>
        <v>31053418.076948822</v>
      </c>
    </row>
    <row r="25" spans="1:10" x14ac:dyDescent="0.3">
      <c r="H25" s="1" t="s">
        <v>190</v>
      </c>
      <c r="I25" s="38">
        <f>-$B$22+$I$24</f>
        <v>313253418.07694882</v>
      </c>
    </row>
    <row r="26" spans="1:10" x14ac:dyDescent="0.3">
      <c r="A26" s="54"/>
      <c r="B26" s="55" t="s">
        <v>183</v>
      </c>
      <c r="C26" s="55" t="s">
        <v>184</v>
      </c>
      <c r="D26" s="55" t="s">
        <v>185</v>
      </c>
      <c r="E26" s="55" t="s">
        <v>186</v>
      </c>
      <c r="F26" s="55" t="s">
        <v>187</v>
      </c>
      <c r="H26" s="68" t="s">
        <v>191</v>
      </c>
      <c r="I26" s="73">
        <f>$I$25/$I$10</f>
        <v>60.241041937874776</v>
      </c>
    </row>
    <row r="27" spans="1:10" x14ac:dyDescent="0.3">
      <c r="A27" s="56" t="s">
        <v>173</v>
      </c>
      <c r="B27" s="57">
        <f>B$10</f>
        <v>24877500</v>
      </c>
      <c r="C27" s="57">
        <f>C$10-C$19</f>
        <v>12630000</v>
      </c>
      <c r="D27" s="57">
        <f t="shared" ref="D27:F27" si="0">D$10-D$19</f>
        <v>21950000</v>
      </c>
      <c r="E27" s="57">
        <f t="shared" si="0"/>
        <v>11925000</v>
      </c>
      <c r="F27" s="57">
        <f t="shared" si="0"/>
        <v>37800000</v>
      </c>
      <c r="H27" s="1" t="s">
        <v>192</v>
      </c>
      <c r="I27" s="38">
        <f>(($I$9*$I$8)+$I$24)/$I$9</f>
        <v>96.67701879973697</v>
      </c>
    </row>
    <row r="28" spans="1:10" x14ac:dyDescent="0.3">
      <c r="A28" s="56" t="s">
        <v>174</v>
      </c>
      <c r="B28" s="57"/>
      <c r="C28" s="57">
        <f>$I$5</f>
        <v>12800000</v>
      </c>
      <c r="D28" s="57">
        <f>$I$5</f>
        <v>12800000</v>
      </c>
      <c r="E28" s="57"/>
      <c r="F28" s="57"/>
      <c r="H28" s="68" t="s">
        <v>67</v>
      </c>
      <c r="I28" s="74">
        <f>$I$16/$I$27</f>
        <v>0.65424028156081371</v>
      </c>
    </row>
    <row r="29" spans="1:10" x14ac:dyDescent="0.3">
      <c r="A29" s="56" t="s">
        <v>175</v>
      </c>
      <c r="B29" s="57"/>
      <c r="C29" s="57"/>
      <c r="D29" s="57"/>
      <c r="E29" s="57"/>
      <c r="F29" s="57">
        <f>$I$6</f>
        <v>460800000</v>
      </c>
      <c r="H29" s="68" t="s">
        <v>67</v>
      </c>
      <c r="I29" s="74">
        <f>$I$16/$I$8</f>
        <v>0.6728723404255319</v>
      </c>
      <c r="J29" t="s">
        <v>194</v>
      </c>
    </row>
    <row r="30" spans="1:10" x14ac:dyDescent="0.3">
      <c r="A30" s="56" t="s">
        <v>182</v>
      </c>
      <c r="B30" s="57"/>
      <c r="C30" s="57"/>
      <c r="D30" s="57"/>
      <c r="E30" s="57"/>
      <c r="F30" s="57">
        <f>-$I$7</f>
        <v>-153600000</v>
      </c>
    </row>
    <row r="31" spans="1:10" x14ac:dyDescent="0.3">
      <c r="A31" s="58" t="s">
        <v>24</v>
      </c>
      <c r="B31" s="57">
        <f t="shared" ref="B31:F31" si="1">_xlfn.AGGREGATE(9,4,B$27:B$30)</f>
        <v>24877500</v>
      </c>
      <c r="C31" s="57">
        <f t="shared" si="1"/>
        <v>25430000</v>
      </c>
      <c r="D31" s="57">
        <f t="shared" si="1"/>
        <v>34750000</v>
      </c>
      <c r="E31" s="57">
        <f t="shared" si="1"/>
        <v>11925000</v>
      </c>
      <c r="F31" s="57">
        <f t="shared" si="1"/>
        <v>345000000</v>
      </c>
    </row>
    <row r="33" spans="1:7" x14ac:dyDescent="0.3">
      <c r="A33" s="54"/>
      <c r="B33" s="55" t="s">
        <v>80</v>
      </c>
      <c r="C33" s="55">
        <v>1</v>
      </c>
      <c r="D33" s="55">
        <v>2</v>
      </c>
      <c r="E33" s="55">
        <v>3</v>
      </c>
      <c r="F33" s="55">
        <v>4</v>
      </c>
      <c r="G33" s="55">
        <v>5</v>
      </c>
    </row>
    <row r="34" spans="1:7" x14ac:dyDescent="0.3">
      <c r="A34" s="56" t="s">
        <v>173</v>
      </c>
      <c r="B34" s="69">
        <f>$I$23</f>
        <v>0.17133333333333337</v>
      </c>
      <c r="C34" s="57">
        <f t="shared" ref="C34:G34" si="2">PV($B$34,C$33,,-B$27)</f>
        <v>21238616.960728515</v>
      </c>
      <c r="D34" s="57">
        <f t="shared" si="2"/>
        <v>9205393.2412475459</v>
      </c>
      <c r="E34" s="57">
        <f t="shared" si="2"/>
        <v>13658185.827804063</v>
      </c>
      <c r="F34" s="57">
        <f t="shared" si="2"/>
        <v>6334850.6136818212</v>
      </c>
      <c r="G34" s="57">
        <f t="shared" si="2"/>
        <v>17143097.20307792</v>
      </c>
    </row>
    <row r="35" spans="1:7" x14ac:dyDescent="0.3">
      <c r="A35" s="56" t="s">
        <v>174</v>
      </c>
      <c r="B35" s="70">
        <f>$I$11</f>
        <v>0.08</v>
      </c>
      <c r="C35" s="57"/>
      <c r="D35" s="57">
        <f t="shared" ref="D35:E35" si="3">PV($B$35,D$33,,-C$28)</f>
        <v>10973936.899862824</v>
      </c>
      <c r="E35" s="57">
        <f t="shared" si="3"/>
        <v>10161052.685058171</v>
      </c>
      <c r="F35" s="57"/>
      <c r="G35" s="57"/>
    </row>
    <row r="36" spans="1:7" x14ac:dyDescent="0.3">
      <c r="A36" s="56" t="s">
        <v>175</v>
      </c>
      <c r="B36" s="69">
        <f>$I$21</f>
        <v>0.12733333333333335</v>
      </c>
      <c r="C36" s="57"/>
      <c r="D36" s="57"/>
      <c r="E36" s="57"/>
      <c r="F36" s="57"/>
      <c r="G36" s="57">
        <f>PV($B$36,$G$33,,-$F$29)</f>
        <v>253075863.70987239</v>
      </c>
    </row>
    <row r="37" spans="1:7" x14ac:dyDescent="0.3">
      <c r="A37" s="56" t="s">
        <v>182</v>
      </c>
      <c r="B37" s="70">
        <f>$B$35</f>
        <v>0.08</v>
      </c>
      <c r="C37" s="57"/>
      <c r="D37" s="57"/>
      <c r="E37" s="57"/>
      <c r="F37" s="57"/>
      <c r="G37" s="57">
        <f>-PV($B$37,$G$33,,$F$30)</f>
        <v>-104537579.06438446</v>
      </c>
    </row>
    <row r="38" spans="1:7" x14ac:dyDescent="0.3">
      <c r="A38" s="58" t="s">
        <v>24</v>
      </c>
      <c r="B38" s="58"/>
      <c r="C38" s="57">
        <f t="shared" ref="C38:G38" si="4">_xlfn.AGGREGATE(9,4,C$34:C$37)</f>
        <v>21238616.960728515</v>
      </c>
      <c r="D38" s="57">
        <f t="shared" si="4"/>
        <v>20179330.141110368</v>
      </c>
      <c r="E38" s="57">
        <f t="shared" si="4"/>
        <v>23819238.512862235</v>
      </c>
      <c r="F38" s="57">
        <f t="shared" si="4"/>
        <v>6334850.6136818212</v>
      </c>
      <c r="G38" s="57">
        <f t="shared" si="4"/>
        <v>165681381.84856588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</vt:lpstr>
      <vt:lpstr>2.</vt:lpstr>
      <vt:lpstr>3.</vt:lpstr>
      <vt:lpstr>4.</vt:lpstr>
      <vt:lpstr>5.</vt:lpstr>
      <vt:lpstr>6.</vt:lpstr>
      <vt:lpstr>8. &amp; 9.</vt:lpstr>
      <vt:lpstr>10.</vt:lpstr>
      <vt:lpstr>12.</vt:lpstr>
      <vt:lpstr>13.</vt:lpstr>
      <vt:lpstr>14.</vt:lpstr>
      <vt:lpstr>15.</vt:lpstr>
      <vt:lpstr>THE BIRDIE GOLF-HYBRID GOLF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BusinessLearn365</dc:creator>
  <cp:lastModifiedBy>BusinessLearn365</cp:lastModifiedBy>
  <dcterms:created xsi:type="dcterms:W3CDTF">2023-04-14T06:28:21Z</dcterms:created>
  <dcterms:modified xsi:type="dcterms:W3CDTF">2023-04-19T14:30:17Z</dcterms:modified>
</cp:coreProperties>
</file>