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re\Corporate. Finance(As result)\Corporate Finance [12]\Excel\"/>
    </mc:Choice>
  </mc:AlternateContent>
  <xr:revisionPtr revIDLastSave="0" documentId="13_ncr:1_{9195A1BB-71F7-4D34-B3D4-88288F1FBF1D}" xr6:coauthVersionLast="47" xr6:coauthVersionMax="47" xr10:uidLastSave="{00000000-0000-0000-0000-000000000000}"/>
  <bookViews>
    <workbookView xWindow="-113" yWindow="-113" windowWidth="17330" windowHeight="9842" firstSheet="18" activeTab="21" xr2:uid="{1421CAFD-159E-40F5-998A-53C4E37D2A84}"/>
  </bookViews>
  <sheets>
    <sheet name="1." sheetId="1" r:id="rId1"/>
    <sheet name="2." sheetId="2" r:id="rId2"/>
    <sheet name="3." sheetId="3" r:id="rId3"/>
    <sheet name="4." sheetId="4" r:id="rId4"/>
    <sheet name="5." sheetId="5" r:id="rId5"/>
    <sheet name="6." sheetId="6" r:id="rId6"/>
    <sheet name="7." sheetId="7" r:id="rId7"/>
    <sheet name="8." sheetId="8" r:id="rId8"/>
    <sheet name="9." sheetId="9" r:id="rId9"/>
    <sheet name="10." sheetId="10" r:id="rId10"/>
    <sheet name="11." sheetId="17" r:id="rId11"/>
    <sheet name="12." sheetId="18" r:id="rId12"/>
    <sheet name="13." sheetId="11" r:id="rId13"/>
    <sheet name="14." sheetId="12" r:id="rId14"/>
    <sheet name="15." sheetId="23" r:id="rId15"/>
    <sheet name="16." sheetId="19" r:id="rId16"/>
    <sheet name="18." sheetId="14" r:id="rId17"/>
    <sheet name="19. &amp; 20." sheetId="15" r:id="rId18"/>
    <sheet name="21.&amp; 22. &amp; 23. &amp; 24. &amp; 25." sheetId="16" r:id="rId19"/>
    <sheet name="26." sheetId="20" r:id="rId20"/>
    <sheet name="30." sheetId="21" r:id="rId21"/>
    <sheet name="RATIOS AND FINANCIAL PLANNING 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3" l="1"/>
  <c r="D2" i="23"/>
  <c r="B3" i="23"/>
  <c r="B2" i="23"/>
  <c r="B1" i="23"/>
  <c r="B6" i="19"/>
  <c r="B5" i="19"/>
  <c r="F63" i="22"/>
  <c r="F62" i="22"/>
  <c r="H65" i="22"/>
  <c r="C67" i="22" s="1"/>
  <c r="H64" i="22"/>
  <c r="H63" i="22"/>
  <c r="H58" i="22"/>
  <c r="H59" i="22"/>
  <c r="H60" i="22"/>
  <c r="H62" i="22"/>
  <c r="H57" i="22"/>
  <c r="F58" i="22"/>
  <c r="F59" i="22"/>
  <c r="F60" i="22"/>
  <c r="F57" i="22"/>
  <c r="C65" i="22"/>
  <c r="C64" i="22"/>
  <c r="C63" i="22"/>
  <c r="C62" i="22"/>
  <c r="C61" i="22"/>
  <c r="C60" i="22"/>
  <c r="C59" i="22"/>
  <c r="C58" i="22"/>
  <c r="C56" i="22"/>
  <c r="C57" i="22"/>
  <c r="C55" i="22"/>
  <c r="C52" i="22"/>
  <c r="C51" i="22"/>
  <c r="C50" i="22"/>
  <c r="C48" i="22"/>
  <c r="H46" i="22"/>
  <c r="H41" i="22"/>
  <c r="H45" i="22"/>
  <c r="H44" i="22"/>
  <c r="H43" i="22"/>
  <c r="H40" i="22"/>
  <c r="H39" i="22"/>
  <c r="H38" i="22"/>
  <c r="F44" i="22"/>
  <c r="F43" i="22"/>
  <c r="F41" i="22"/>
  <c r="F39" i="22"/>
  <c r="F40" i="22"/>
  <c r="F38" i="22"/>
  <c r="C46" i="22"/>
  <c r="C39" i="22"/>
  <c r="C41" i="22"/>
  <c r="C40" i="22"/>
  <c r="C42" i="22" s="1"/>
  <c r="C37" i="22"/>
  <c r="C38" i="22"/>
  <c r="C36" i="22"/>
  <c r="O14" i="22"/>
  <c r="O13" i="22"/>
  <c r="O12" i="22"/>
  <c r="O11" i="22"/>
  <c r="N10" i="22"/>
  <c r="O10" i="22"/>
  <c r="O9" i="22"/>
  <c r="N8" i="22"/>
  <c r="O8" i="22"/>
  <c r="O7" i="22"/>
  <c r="O6" i="22"/>
  <c r="O5" i="22"/>
  <c r="O4" i="22"/>
  <c r="O3" i="22"/>
  <c r="C15" i="22"/>
  <c r="H26" i="22"/>
  <c r="H24" i="22"/>
  <c r="C24" i="22"/>
  <c r="C22" i="22"/>
  <c r="N13" i="22"/>
  <c r="N12" i="22"/>
  <c r="N11" i="22"/>
  <c r="N7" i="22"/>
  <c r="N6" i="22"/>
  <c r="N5" i="22"/>
  <c r="B8" i="21"/>
  <c r="B7" i="21"/>
  <c r="B6" i="21"/>
  <c r="B5" i="21"/>
  <c r="B4" i="21"/>
  <c r="B3" i="21"/>
  <c r="B2" i="21"/>
  <c r="B1" i="21"/>
  <c r="B5" i="20"/>
  <c r="B4" i="20"/>
  <c r="B2" i="20"/>
  <c r="B1" i="20"/>
  <c r="S44" i="16"/>
  <c r="T44" i="16"/>
  <c r="R44" i="16"/>
  <c r="S43" i="16"/>
  <c r="T43" i="16"/>
  <c r="R43" i="16"/>
  <c r="R42" i="16"/>
  <c r="T42" i="16"/>
  <c r="S42" i="16"/>
  <c r="S39" i="16"/>
  <c r="T39" i="16"/>
  <c r="R39" i="16"/>
  <c r="S38" i="16"/>
  <c r="T38" i="16"/>
  <c r="R38" i="16"/>
  <c r="S40" i="16"/>
  <c r="T40" i="16"/>
  <c r="R40" i="16"/>
  <c r="S41" i="16"/>
  <c r="T41" i="16"/>
  <c r="R41" i="16"/>
  <c r="X22" i="16"/>
  <c r="X20" i="16"/>
  <c r="Y20" i="16" s="1"/>
  <c r="Z20" i="16" s="1"/>
  <c r="X18" i="16"/>
  <c r="Y17" i="16"/>
  <c r="Z17" i="16"/>
  <c r="X17" i="16"/>
  <c r="S22" i="16"/>
  <c r="T22" i="16"/>
  <c r="R22" i="16"/>
  <c r="R19" i="16"/>
  <c r="R33" i="16" s="1"/>
  <c r="S19" i="16"/>
  <c r="S33" i="16" s="1"/>
  <c r="T19" i="16"/>
  <c r="T33" i="16" s="1"/>
  <c r="S17" i="16"/>
  <c r="T17" i="16"/>
  <c r="R17" i="16"/>
  <c r="L19" i="16"/>
  <c r="M19" i="16" s="1"/>
  <c r="N19" i="16" s="1"/>
  <c r="L16" i="16"/>
  <c r="M16" i="16"/>
  <c r="N16" i="16"/>
  <c r="L17" i="16"/>
  <c r="M17" i="16"/>
  <c r="N17" i="16"/>
  <c r="M15" i="16"/>
  <c r="M18" i="16" s="1"/>
  <c r="M20" i="16" s="1"/>
  <c r="N15" i="16"/>
  <c r="N18" i="16" s="1"/>
  <c r="N20" i="16" s="1"/>
  <c r="L15" i="16"/>
  <c r="L18" i="16" s="1"/>
  <c r="L20" i="16" s="1"/>
  <c r="X9" i="16"/>
  <c r="X7" i="16"/>
  <c r="Y7" i="16" s="1"/>
  <c r="Z7" i="16" s="1"/>
  <c r="X5" i="16"/>
  <c r="Y5" i="16" s="1"/>
  <c r="Z5" i="16" s="1"/>
  <c r="Y4" i="16"/>
  <c r="Y6" i="16" s="1"/>
  <c r="Z4" i="16"/>
  <c r="Z6" i="16" s="1"/>
  <c r="X4" i="16"/>
  <c r="X6" i="16" s="1"/>
  <c r="S9" i="16"/>
  <c r="T9" i="16"/>
  <c r="R9" i="16"/>
  <c r="R6" i="16"/>
  <c r="S6" i="16"/>
  <c r="T6" i="16"/>
  <c r="S4" i="16"/>
  <c r="T4" i="16"/>
  <c r="R4" i="16"/>
  <c r="L6" i="16"/>
  <c r="M6" i="16" s="1"/>
  <c r="N6" i="16" s="1"/>
  <c r="L3" i="16"/>
  <c r="M3" i="16"/>
  <c r="N3" i="16"/>
  <c r="L4" i="16"/>
  <c r="M4" i="16"/>
  <c r="N4" i="16"/>
  <c r="M2" i="16"/>
  <c r="M5" i="16" s="1"/>
  <c r="M7" i="16" s="1"/>
  <c r="N2" i="16"/>
  <c r="N5" i="16" s="1"/>
  <c r="N7" i="16" s="1"/>
  <c r="L2" i="16"/>
  <c r="L5" i="16" s="1"/>
  <c r="L7" i="16" s="1"/>
  <c r="B36" i="16"/>
  <c r="B34" i="16"/>
  <c r="B32" i="16"/>
  <c r="B27" i="16"/>
  <c r="B28" i="16" s="1"/>
  <c r="H22" i="16"/>
  <c r="H20" i="16"/>
  <c r="H18" i="16"/>
  <c r="E48" i="16" s="1"/>
  <c r="H17" i="16"/>
  <c r="E22" i="16"/>
  <c r="E19" i="16"/>
  <c r="B49" i="16" s="1"/>
  <c r="E17" i="16"/>
  <c r="B18" i="16"/>
  <c r="B16" i="16"/>
  <c r="B15" i="16"/>
  <c r="B14" i="16"/>
  <c r="B8" i="15"/>
  <c r="B7" i="15"/>
  <c r="B6" i="15"/>
  <c r="B2" i="15"/>
  <c r="B1" i="15"/>
  <c r="L11" i="14"/>
  <c r="L12" i="14"/>
  <c r="L13" i="14"/>
  <c r="L10" i="14"/>
  <c r="L6" i="14"/>
  <c r="L7" i="14"/>
  <c r="L8" i="14"/>
  <c r="L5" i="14"/>
  <c r="K11" i="14"/>
  <c r="K12" i="14"/>
  <c r="K13" i="14"/>
  <c r="K10" i="14"/>
  <c r="K6" i="14"/>
  <c r="K7" i="14"/>
  <c r="K8" i="14"/>
  <c r="K5" i="14"/>
  <c r="I13" i="14"/>
  <c r="I11" i="14"/>
  <c r="I12" i="14"/>
  <c r="I10" i="14"/>
  <c r="I6" i="14"/>
  <c r="I7" i="14"/>
  <c r="I8" i="14"/>
  <c r="I5" i="14"/>
  <c r="F10" i="14"/>
  <c r="F6" i="14"/>
  <c r="F7" i="14"/>
  <c r="F8" i="14"/>
  <c r="F9" i="14"/>
  <c r="F5" i="14"/>
  <c r="E6" i="14"/>
  <c r="E7" i="14"/>
  <c r="E8" i="14"/>
  <c r="E9" i="14"/>
  <c r="E10" i="14"/>
  <c r="E5" i="14"/>
  <c r="C6" i="14"/>
  <c r="C7" i="14"/>
  <c r="C8" i="14"/>
  <c r="C9" i="14"/>
  <c r="C10" i="14"/>
  <c r="C5" i="14"/>
  <c r="B8" i="14"/>
  <c r="B10" i="14"/>
  <c r="B7" i="12"/>
  <c r="B6" i="12"/>
  <c r="B5" i="12"/>
  <c r="B4" i="12"/>
  <c r="B61" i="11"/>
  <c r="D59" i="11"/>
  <c r="D58" i="11"/>
  <c r="D57" i="11"/>
  <c r="D54" i="11"/>
  <c r="D53" i="11"/>
  <c r="B59" i="11"/>
  <c r="B55" i="11"/>
  <c r="B53" i="11"/>
  <c r="B48" i="11"/>
  <c r="B47" i="11"/>
  <c r="B46" i="11"/>
  <c r="B43" i="11"/>
  <c r="D39" i="11"/>
  <c r="D40" i="11"/>
  <c r="D41" i="11" s="1"/>
  <c r="D35" i="11"/>
  <c r="B41" i="11"/>
  <c r="B37" i="11"/>
  <c r="B35" i="11"/>
  <c r="B31" i="11"/>
  <c r="B30" i="11"/>
  <c r="B29" i="11"/>
  <c r="B27" i="11"/>
  <c r="B26" i="11"/>
  <c r="B24" i="11"/>
  <c r="B2" i="18"/>
  <c r="B1" i="18"/>
  <c r="B2" i="17"/>
  <c r="B1" i="17"/>
  <c r="B6" i="10"/>
  <c r="B35" i="9"/>
  <c r="D33" i="9"/>
  <c r="D32" i="9"/>
  <c r="D31" i="9"/>
  <c r="D28" i="9"/>
  <c r="B30" i="9"/>
  <c r="B28" i="9"/>
  <c r="B33" i="9"/>
  <c r="B24" i="9"/>
  <c r="B23" i="9"/>
  <c r="B22" i="9"/>
  <c r="B19" i="9"/>
  <c r="B18" i="9"/>
  <c r="D10" i="9"/>
  <c r="D8" i="9"/>
  <c r="D9" i="9"/>
  <c r="D5" i="9"/>
  <c r="B10" i="9"/>
  <c r="B7" i="9"/>
  <c r="B5" i="9"/>
  <c r="B2" i="9"/>
  <c r="B1" i="9"/>
  <c r="B9" i="8"/>
  <c r="B17" i="8"/>
  <c r="B16" i="8"/>
  <c r="B14" i="8"/>
  <c r="F8" i="8"/>
  <c r="F9" i="8" s="1"/>
  <c r="B12" i="8" s="1"/>
  <c r="D9" i="8"/>
  <c r="D7" i="8"/>
  <c r="B8" i="8"/>
  <c r="B7" i="8"/>
  <c r="B11" i="8"/>
  <c r="B8" i="7"/>
  <c r="B7" i="7"/>
  <c r="B6" i="7"/>
  <c r="B3" i="6"/>
  <c r="B2" i="6"/>
  <c r="B9" i="5"/>
  <c r="B10" i="5"/>
  <c r="B11" i="5" s="1"/>
  <c r="B8" i="5"/>
  <c r="B23" i="4"/>
  <c r="B22" i="4"/>
  <c r="B21" i="4"/>
  <c r="B20" i="4"/>
  <c r="B18" i="4"/>
  <c r="F11" i="4"/>
  <c r="F10" i="4"/>
  <c r="D11" i="4"/>
  <c r="D9" i="4"/>
  <c r="B17" i="4"/>
  <c r="B16" i="4"/>
  <c r="B13" i="4"/>
  <c r="B12" i="4"/>
  <c r="B11" i="4"/>
  <c r="B10" i="4"/>
  <c r="B9" i="4"/>
  <c r="B15" i="4"/>
  <c r="B4" i="3"/>
  <c r="B6" i="3"/>
  <c r="B7" i="2"/>
  <c r="B6" i="2"/>
  <c r="B5" i="2"/>
  <c r="B4" i="1"/>
  <c r="H11" i="22"/>
  <c r="N14" i="22" s="1"/>
  <c r="C14" i="22" s="1"/>
  <c r="C16" i="22" s="1"/>
  <c r="H6" i="22"/>
  <c r="F7" i="22"/>
  <c r="B3" i="10"/>
  <c r="Q18" i="16"/>
  <c r="W24" i="16"/>
  <c r="W39" i="16"/>
  <c r="Q32" i="16"/>
  <c r="Q5" i="16"/>
  <c r="E5" i="16"/>
  <c r="E18" i="16" s="1"/>
  <c r="B48" i="16" s="1"/>
  <c r="J7" i="14"/>
  <c r="H7" i="14"/>
  <c r="J10" i="14"/>
  <c r="J12" i="14" s="1"/>
  <c r="J13" i="14" s="1"/>
  <c r="H10" i="14"/>
  <c r="H12" i="14" s="1"/>
  <c r="H13" i="14" s="1"/>
  <c r="D8" i="14"/>
  <c r="D10" i="14" s="1"/>
  <c r="B4" i="23" l="1"/>
  <c r="B6" i="23" s="1"/>
  <c r="C43" i="22"/>
  <c r="C44" i="22" s="1"/>
  <c r="C45" i="22" s="1"/>
  <c r="H22" i="22"/>
  <c r="H21" i="22"/>
  <c r="N4" i="22"/>
  <c r="N3" i="22"/>
  <c r="H12" i="22"/>
  <c r="N9" i="22"/>
  <c r="H23" i="22"/>
  <c r="F26" i="22"/>
  <c r="F22" i="22"/>
  <c r="F23" i="22"/>
  <c r="F21" i="22"/>
  <c r="F24" i="22" s="1"/>
  <c r="C20" i="22"/>
  <c r="C21" i="22"/>
  <c r="C19" i="22"/>
  <c r="C23" i="22" s="1"/>
  <c r="C25" i="22" s="1"/>
  <c r="B74" i="16"/>
  <c r="B62" i="16"/>
  <c r="R5" i="16"/>
  <c r="S5" i="16"/>
  <c r="T5" i="16"/>
  <c r="R18" i="16"/>
  <c r="R32" i="16" s="1"/>
  <c r="S18" i="16"/>
  <c r="S32" i="16" s="1"/>
  <c r="T18" i="16"/>
  <c r="T32" i="16" s="1"/>
  <c r="B29" i="16"/>
  <c r="B17" i="16"/>
  <c r="B19" i="16" s="1"/>
  <c r="B47" i="16"/>
  <c r="E20" i="16"/>
  <c r="B75" i="16"/>
  <c r="B63" i="16"/>
  <c r="B52" i="16"/>
  <c r="E23" i="16"/>
  <c r="E47" i="16"/>
  <c r="H19" i="16"/>
  <c r="E74" i="16"/>
  <c r="E61" i="16"/>
  <c r="E52" i="16"/>
  <c r="B38" i="16"/>
  <c r="B37" i="16"/>
  <c r="B39" i="16" s="1"/>
  <c r="R7" i="16"/>
  <c r="T7" i="16"/>
  <c r="S7" i="16"/>
  <c r="R10" i="16"/>
  <c r="T10" i="16"/>
  <c r="S10" i="16"/>
  <c r="Y9" i="16"/>
  <c r="L21" i="16"/>
  <c r="L22" i="16" s="1"/>
  <c r="N21" i="16"/>
  <c r="N22" i="16" s="1"/>
  <c r="M21" i="16"/>
  <c r="M22" i="16" s="1"/>
  <c r="R31" i="16"/>
  <c r="R20" i="16"/>
  <c r="R34" i="16" s="1"/>
  <c r="T31" i="16"/>
  <c r="T20" i="16"/>
  <c r="T34" i="16" s="1"/>
  <c r="S31" i="16"/>
  <c r="S20" i="16"/>
  <c r="S34" i="16" s="1"/>
  <c r="R36" i="16"/>
  <c r="R23" i="16"/>
  <c r="T36" i="16"/>
  <c r="T23" i="16"/>
  <c r="S36" i="16"/>
  <c r="S23" i="16"/>
  <c r="X31" i="16"/>
  <c r="X19" i="16"/>
  <c r="X33" i="16" s="1"/>
  <c r="Z31" i="16"/>
  <c r="Y31" i="16"/>
  <c r="X32" i="16"/>
  <c r="Y18" i="16"/>
  <c r="X37" i="16"/>
  <c r="Y22" i="16"/>
  <c r="N8" i="16"/>
  <c r="N9" i="16" s="1"/>
  <c r="M8" i="16"/>
  <c r="M9" i="16" s="1"/>
  <c r="L8" i="16"/>
  <c r="L9" i="16" s="1"/>
  <c r="C26" i="22" l="1"/>
  <c r="C27" i="22" s="1"/>
  <c r="F27" i="22"/>
  <c r="L10" i="16"/>
  <c r="L11" i="16"/>
  <c r="X10" i="16" s="1"/>
  <c r="X11" i="16" s="1"/>
  <c r="X12" i="16" s="1"/>
  <c r="M10" i="16"/>
  <c r="M11" i="16"/>
  <c r="Y10" i="16" s="1"/>
  <c r="N10" i="16"/>
  <c r="N11" i="16"/>
  <c r="Z10" i="16" s="1"/>
  <c r="Y37" i="16"/>
  <c r="Z22" i="16"/>
  <c r="Y32" i="16"/>
  <c r="Z18" i="16"/>
  <c r="Y19" i="16"/>
  <c r="Y33" i="16" s="1"/>
  <c r="S37" i="16"/>
  <c r="T37" i="16"/>
  <c r="R37" i="16"/>
  <c r="M23" i="16"/>
  <c r="M24" i="16" s="1"/>
  <c r="Y23" i="16" s="1"/>
  <c r="N23" i="16"/>
  <c r="N24" i="16" s="1"/>
  <c r="Z23" i="16" s="1"/>
  <c r="Z38" i="16" s="1"/>
  <c r="L23" i="16"/>
  <c r="L24" i="16" s="1"/>
  <c r="X23" i="16" s="1"/>
  <c r="Y11" i="16"/>
  <c r="Y12" i="16" s="1"/>
  <c r="Z9" i="16"/>
  <c r="Z11" i="16" s="1"/>
  <c r="Z12" i="16" s="1"/>
  <c r="S12" i="16"/>
  <c r="T12" i="16"/>
  <c r="R12" i="16"/>
  <c r="E78" i="16"/>
  <c r="E65" i="16"/>
  <c r="E73" i="16"/>
  <c r="E75" i="16" s="1"/>
  <c r="E60" i="16"/>
  <c r="E62" i="16" s="1"/>
  <c r="E49" i="16"/>
  <c r="B78" i="16"/>
  <c r="B66" i="16"/>
  <c r="B73" i="16"/>
  <c r="B76" i="16" s="1"/>
  <c r="B60" i="16"/>
  <c r="B50" i="16"/>
  <c r="B53" i="16" s="1"/>
  <c r="B20" i="16"/>
  <c r="B21" i="16" s="1"/>
  <c r="C28" i="22" l="1"/>
  <c r="C29" i="22" s="1"/>
  <c r="H27" i="22" s="1"/>
  <c r="H28" i="22" s="1"/>
  <c r="H29" i="22" s="1"/>
  <c r="C31" i="22" s="1"/>
  <c r="B24" i="16"/>
  <c r="B79" i="16"/>
  <c r="X38" i="16"/>
  <c r="X24" i="16"/>
  <c r="Y38" i="16"/>
  <c r="Y24" i="16"/>
  <c r="Z32" i="16"/>
  <c r="Z19" i="16"/>
  <c r="Z33" i="16" s="1"/>
  <c r="Z37" i="16"/>
  <c r="Z24" i="16"/>
  <c r="Z39" i="16" l="1"/>
  <c r="Z25" i="16"/>
  <c r="T25" i="16" s="1"/>
  <c r="Z34" i="16"/>
  <c r="Z35" i="16" s="1"/>
  <c r="Y39" i="16"/>
  <c r="Y25" i="16"/>
  <c r="S25" i="16" s="1"/>
  <c r="Y34" i="16"/>
  <c r="Y35" i="16" s="1"/>
  <c r="X39" i="16"/>
  <c r="X25" i="16"/>
  <c r="R25" i="16" s="1"/>
  <c r="X34" i="16"/>
  <c r="X35" i="16" s="1"/>
  <c r="B22" i="16"/>
  <c r="B25" i="16"/>
  <c r="Y40" i="16" l="1"/>
  <c r="Z40" i="16"/>
  <c r="H23" i="16"/>
  <c r="B23" i="16"/>
  <c r="X40" i="16"/>
  <c r="E53" i="16" l="1"/>
  <c r="H24" i="16"/>
  <c r="H25" i="16" l="1"/>
  <c r="B33" i="16"/>
  <c r="B35" i="16" s="1"/>
  <c r="E50" i="16" s="1"/>
  <c r="E66" i="16"/>
  <c r="E67" i="16" s="1"/>
  <c r="E54" i="16"/>
  <c r="B41" i="16" l="1"/>
  <c r="E79" i="16" s="1"/>
  <c r="E80" i="16" s="1"/>
  <c r="E55" i="16"/>
  <c r="B55" i="16" s="1"/>
  <c r="B61" i="16" s="1"/>
  <c r="B64" i="16" s="1"/>
  <c r="B67" i="16" s="1"/>
  <c r="B40" i="16"/>
  <c r="E76" i="16" s="1"/>
  <c r="E63" i="16"/>
  <c r="E68" i="16" s="1"/>
  <c r="B26" i="16"/>
  <c r="B31" i="16"/>
  <c r="B30" i="16"/>
  <c r="E81" i="16" l="1"/>
</calcChain>
</file>

<file path=xl/sharedStrings.xml><?xml version="1.0" encoding="utf-8"?>
<sst xmlns="http://schemas.openxmlformats.org/spreadsheetml/2006/main" count="681" uniqueCount="228">
  <si>
    <t>Equity multiplier</t>
  </si>
  <si>
    <t>Total asset turnover</t>
  </si>
  <si>
    <t>Profit margin</t>
  </si>
  <si>
    <t>ROE</t>
  </si>
  <si>
    <t>Debt-equity ratio</t>
  </si>
  <si>
    <t>Return on assets</t>
  </si>
  <si>
    <t>Total equity</t>
  </si>
  <si>
    <t>Net Income</t>
  </si>
  <si>
    <t>Sales</t>
  </si>
  <si>
    <t>Total assets</t>
  </si>
  <si>
    <t>Return on equity</t>
  </si>
  <si>
    <t>MP</t>
  </si>
  <si>
    <r>
      <rPr>
        <b/>
        <sz val="11"/>
        <color rgb="FFFFFFFF"/>
        <rFont val="Arial Narrow"/>
        <family val="2"/>
      </rPr>
      <t>Income Statement                                    Balance Sheet</t>
    </r>
  </si>
  <si>
    <r>
      <rPr>
        <sz val="11"/>
        <color rgb="FF231F20"/>
        <rFont val="Arial Narrow"/>
        <family val="2"/>
      </rPr>
      <t>Sales</t>
    </r>
  </si>
  <si>
    <r>
      <rPr>
        <sz val="11"/>
        <color rgb="FF231F20"/>
        <rFont val="Arial Narrow"/>
        <family val="2"/>
      </rPr>
      <t>Assets</t>
    </r>
  </si>
  <si>
    <r>
      <rPr>
        <sz val="11"/>
        <color rgb="FF231F20"/>
        <rFont val="Arial Narrow"/>
        <family val="2"/>
      </rPr>
      <t>Debt</t>
    </r>
  </si>
  <si>
    <r>
      <rPr>
        <sz val="11"/>
        <color rgb="FF231F20"/>
        <rFont val="Arial Narrow"/>
        <family val="2"/>
      </rPr>
      <t>Costs</t>
    </r>
  </si>
  <si>
    <r>
      <rPr>
        <sz val="11"/>
        <color rgb="FF231F20"/>
        <rFont val="Arial Narrow"/>
        <family val="2"/>
      </rPr>
      <t>Equity</t>
    </r>
  </si>
  <si>
    <r>
      <rPr>
        <sz val="11"/>
        <color rgb="FF231F20"/>
        <rFont val="Arial Narrow"/>
        <family val="2"/>
      </rPr>
      <t>Taxable</t>
    </r>
    <r>
      <rPr>
        <sz val="11"/>
        <rFont val="Arial Narrow"/>
        <family val="2"/>
      </rPr>
      <t xml:space="preserve"> income</t>
    </r>
  </si>
  <si>
    <r>
      <rPr>
        <sz val="11"/>
        <color rgb="FF231F20"/>
        <rFont val="Arial Narrow"/>
        <family val="2"/>
      </rPr>
      <t>Taxes (21%)</t>
    </r>
  </si>
  <si>
    <r>
      <rPr>
        <b/>
        <sz val="11"/>
        <color rgb="FF231F20"/>
        <rFont val="Arial Narrow"/>
        <family val="2"/>
      </rPr>
      <t>Net income</t>
    </r>
  </si>
  <si>
    <r>
      <rPr>
        <b/>
        <sz val="11"/>
        <color rgb="FF231F20"/>
        <rFont val="Arial Narrow"/>
        <family val="2"/>
      </rPr>
      <t>Total</t>
    </r>
  </si>
  <si>
    <t xml:space="preserve"> Pro Forma Income Statement                Pro Forma    Balance Sheet </t>
  </si>
  <si>
    <t>Sales increase</t>
  </si>
  <si>
    <t>Payout ratio</t>
  </si>
  <si>
    <t>Dividends</t>
  </si>
  <si>
    <t>Add to RE</t>
  </si>
  <si>
    <t>EFN</t>
  </si>
  <si>
    <r>
      <rPr>
        <sz val="11"/>
        <color rgb="FF231F20"/>
        <rFont val="Arial Narrow"/>
        <family val="2"/>
      </rPr>
      <t>Long-term</t>
    </r>
    <r>
      <rPr>
        <sz val="11"/>
        <rFont val="Arial Narrow"/>
        <family val="2"/>
      </rPr>
      <t xml:space="preserve"> debt</t>
    </r>
  </si>
  <si>
    <r>
      <rPr>
        <sz val="11"/>
        <color rgb="FF231F20"/>
        <rFont val="Arial Narrow"/>
        <family val="2"/>
      </rPr>
      <t>Fixed assets</t>
    </r>
  </si>
  <si>
    <r>
      <rPr>
        <sz val="11"/>
        <color rgb="FF231F20"/>
        <rFont val="Arial Narrow"/>
        <family val="2"/>
      </rPr>
      <t>Current</t>
    </r>
    <r>
      <rPr>
        <sz val="11"/>
        <rFont val="Arial Narrow"/>
        <family val="2"/>
      </rPr>
      <t xml:space="preserve"> assets</t>
    </r>
  </si>
  <si>
    <t xml:space="preserve">             Income Statement                                                        Balance Sheet</t>
  </si>
  <si>
    <t>Plowback Ratio</t>
  </si>
  <si>
    <t>Sustainable growth rate</t>
  </si>
  <si>
    <t>Maximum increase in sales</t>
  </si>
  <si>
    <t xml:space="preserve">Profit margin </t>
  </si>
  <si>
    <t>Sustainable Growth Rate</t>
  </si>
  <si>
    <t>Equity</t>
  </si>
  <si>
    <t xml:space="preserve">Debt 
</t>
  </si>
  <si>
    <t>Total</t>
  </si>
  <si>
    <t xml:space="preserve">       Income Statement                                       Balance Sheet</t>
  </si>
  <si>
    <t xml:space="preserve">     Pro Forma  Income Statement                               Pro Forma  Balance Sheet</t>
  </si>
  <si>
    <t>Current sales</t>
  </si>
  <si>
    <t>Change in sales</t>
  </si>
  <si>
    <t>Assets</t>
  </si>
  <si>
    <t>Liabilities and equity</t>
  </si>
  <si>
    <t>Current assets</t>
  </si>
  <si>
    <t>Short-term debt</t>
  </si>
  <si>
    <t>Long-term debt</t>
  </si>
  <si>
    <t>Fixed assets</t>
  </si>
  <si>
    <t>Common stock</t>
  </si>
  <si>
    <t>a.</t>
  </si>
  <si>
    <t xml:space="preserve">Total liabilities and equity </t>
  </si>
  <si>
    <t>b.</t>
  </si>
  <si>
    <t>Assets/Sales</t>
  </si>
  <si>
    <t>Short-term debt/Sales</t>
  </si>
  <si>
    <t>PM</t>
  </si>
  <si>
    <t>Projected sales</t>
  </si>
  <si>
    <t>∆Sales</t>
  </si>
  <si>
    <t>Accumulated retained earnings</t>
  </si>
  <si>
    <t xml:space="preserve">Total equity </t>
  </si>
  <si>
    <t>c.</t>
  </si>
  <si>
    <t>Net income</t>
  </si>
  <si>
    <t>Addition to RE</t>
  </si>
  <si>
    <t xml:space="preserve">Current assets               </t>
  </si>
  <si>
    <t xml:space="preserve">Fixed assets                  </t>
  </si>
  <si>
    <t xml:space="preserve">Total assets                  </t>
  </si>
  <si>
    <t xml:space="preserve">Short-term debt                                </t>
  </si>
  <si>
    <t xml:space="preserve">Long-term debt                                </t>
  </si>
  <si>
    <t xml:space="preserve">Common stock                                 </t>
  </si>
  <si>
    <t xml:space="preserve">Total equity                                   </t>
  </si>
  <si>
    <t xml:space="preserve">Total liabilities and equity                 </t>
  </si>
  <si>
    <t xml:space="preserve">Accumulated retained earnings      </t>
  </si>
  <si>
    <r>
      <rPr>
        <b/>
        <sz val="11"/>
        <color rgb="FFFFFFFF"/>
        <rFont val="Arial Narrow"/>
        <family val="2"/>
      </rPr>
      <t>Balance Sheet</t>
    </r>
  </si>
  <si>
    <r>
      <rPr>
        <b/>
        <u/>
        <sz val="11"/>
        <color rgb="FF231F20"/>
        <rFont val="Arial Narrow"/>
        <family val="2"/>
      </rPr>
      <t>                         Assets                        </t>
    </r>
  </si>
  <si>
    <r>
      <rPr>
        <b/>
        <u/>
        <sz val="11"/>
        <color rgb="FF231F20"/>
        <rFont val="Arial Narrow"/>
        <family val="2"/>
      </rPr>
      <t>              Liabilities and Owners’ Equity              </t>
    </r>
  </si>
  <si>
    <r>
      <rPr>
        <b/>
        <sz val="11"/>
        <color rgb="FFFFFFFF"/>
        <rFont val="Arial Narrow"/>
        <family val="2"/>
      </rPr>
      <t>Income Statement</t>
    </r>
  </si>
  <si>
    <t>Costs</t>
  </si>
  <si>
    <t>Taxable income</t>
  </si>
  <si>
    <t>Taxes</t>
  </si>
  <si>
    <t>Addition to retained earnings</t>
  </si>
  <si>
    <t>Short-term 
debt/Sales</t>
  </si>
  <si>
    <t>Projected Sales</t>
  </si>
  <si>
    <t xml:space="preserve"> Pro Forma Balance Sheet</t>
  </si>
  <si>
    <t>SGR</t>
  </si>
  <si>
    <t>NI</t>
  </si>
  <si>
    <t>Accounts receivable</t>
  </si>
  <si>
    <t>Sales in Credit</t>
  </si>
  <si>
    <t>Receivables turnover</t>
  </si>
  <si>
    <t>times</t>
  </si>
  <si>
    <t>Days’ sales in receivables</t>
  </si>
  <si>
    <t>days</t>
  </si>
  <si>
    <t>CA</t>
  </si>
  <si>
    <t>Total Assets</t>
  </si>
  <si>
    <t>Net fixed assets</t>
  </si>
  <si>
    <t xml:space="preserve"> Cash</t>
  </si>
  <si>
    <t>Inventory</t>
  </si>
  <si>
    <t>Fixed assets Net plant and equipment</t>
  </si>
  <si>
    <t xml:space="preserve">  Total assets</t>
  </si>
  <si>
    <t>Current liabilities</t>
  </si>
  <si>
    <t>Accounts payable</t>
  </si>
  <si>
    <t>Notes payable</t>
  </si>
  <si>
    <t>Owners’ equity</t>
  </si>
  <si>
    <t>Common stock and paid-in surplus</t>
  </si>
  <si>
    <t>Retained earnings</t>
  </si>
  <si>
    <t>Total liabilities and owners’ equity</t>
  </si>
  <si>
    <r>
      <rPr>
        <b/>
        <sz val="11"/>
        <color rgb="FFFFFFFF"/>
        <rFont val="Arial Narrow"/>
        <family val="2"/>
      </rPr>
      <t>JARROW CORPORATION
2018 and 2019 Balance Sheets</t>
    </r>
  </si>
  <si>
    <r>
      <rPr>
        <b/>
        <u/>
        <sz val="11"/>
        <color rgb="FF231F20"/>
        <rFont val="Arial Narrow"/>
        <family val="2"/>
      </rPr>
      <t>                           Assets                           </t>
    </r>
  </si>
  <si>
    <t>Common Size</t>
  </si>
  <si>
    <t>Common Base Year</t>
  </si>
  <si>
    <t>              Liabilities and Owners’ Equity              </t>
  </si>
  <si>
    <t>Full capacity sales</t>
  </si>
  <si>
    <t>Sales growth</t>
  </si>
  <si>
    <t>Capital intensity ratio</t>
  </si>
  <si>
    <t>New fixed assets</t>
  </si>
  <si>
    <r>
      <rPr>
        <b/>
        <sz val="11"/>
        <color rgb="FFFFFFFF"/>
        <rFont val="Arial Narrow"/>
        <family val="2"/>
      </rPr>
      <t>SCOTT, INC.
2019 Income Statement</t>
    </r>
  </si>
  <si>
    <r>
      <rPr>
        <sz val="11"/>
        <color rgb="FF231F20"/>
        <rFont val="Arial Narrow"/>
        <family val="2"/>
      </rPr>
      <t>Other expenses</t>
    </r>
  </si>
  <si>
    <r>
      <rPr>
        <sz val="11"/>
        <color rgb="FF231F20"/>
        <rFont val="Arial Narrow"/>
        <family val="2"/>
      </rPr>
      <t>Earnings before interest and taxes</t>
    </r>
  </si>
  <si>
    <r>
      <rPr>
        <sz val="11"/>
        <color rgb="FF231F20"/>
        <rFont val="Arial Narrow"/>
        <family val="2"/>
      </rPr>
      <t>Interest expense</t>
    </r>
  </si>
  <si>
    <r>
      <rPr>
        <sz val="11"/>
        <color rgb="FF231F20"/>
        <rFont val="Arial Narrow"/>
        <family val="2"/>
      </rPr>
      <t>Taxable income</t>
    </r>
  </si>
  <si>
    <r>
      <rPr>
        <sz val="11"/>
        <color rgb="FF231F20"/>
        <rFont val="Arial Narrow"/>
        <family val="2"/>
      </rPr>
      <t>Taxes (22%)</t>
    </r>
  </si>
  <si>
    <r>
      <rPr>
        <sz val="11"/>
        <color rgb="FF231F20"/>
        <rFont val="Arial Narrow"/>
        <family val="2"/>
      </rPr>
      <t>Dividends</t>
    </r>
  </si>
  <si>
    <r>
      <rPr>
        <sz val="11"/>
        <color rgb="FF231F20"/>
        <rFont val="Arial Narrow"/>
        <family val="2"/>
      </rPr>
      <t>Addition to retained earnings</t>
    </r>
  </si>
  <si>
    <t xml:space="preserve">Current liabilities  
</t>
  </si>
  <si>
    <t>Owner's Equity</t>
  </si>
  <si>
    <r>
      <rPr>
        <b/>
        <sz val="11"/>
        <color rgb="FFFFFFFF"/>
        <rFont val="Arial Narrow"/>
        <family val="2"/>
      </rPr>
      <t>SCOTT, INC.
Balance Sheet as of December 31, 2019</t>
    </r>
  </si>
  <si>
    <r>
      <rPr>
        <b/>
        <sz val="11"/>
        <color rgb="FF231F20"/>
        <rFont val="Arial Narrow"/>
        <family val="2"/>
      </rPr>
      <t>Assets</t>
    </r>
  </si>
  <si>
    <r>
      <rPr>
        <b/>
        <sz val="11"/>
        <color rgb="FF231F20"/>
        <rFont val="Arial Narrow"/>
        <family val="2"/>
      </rPr>
      <t>Liabilities and Owners’ Equity</t>
    </r>
  </si>
  <si>
    <r>
      <rPr>
        <sz val="11"/>
        <color rgb="FF231F20"/>
        <rFont val="Arial Narrow"/>
        <family val="2"/>
      </rPr>
      <t>Cash</t>
    </r>
  </si>
  <si>
    <r>
      <rPr>
        <sz val="11"/>
        <color rgb="FF231F20"/>
        <rFont val="Arial Narrow"/>
        <family val="2"/>
      </rPr>
      <t>Accounts receivable</t>
    </r>
  </si>
  <si>
    <r>
      <rPr>
        <sz val="11"/>
        <color rgb="FF231F20"/>
        <rFont val="Arial Narrow"/>
        <family val="2"/>
      </rPr>
      <t>Inventory</t>
    </r>
  </si>
  <si>
    <r>
      <rPr>
        <sz val="11"/>
        <color rgb="FF231F20"/>
        <rFont val="Arial Narrow"/>
        <family val="2"/>
      </rPr>
      <t>Net plant and equipment</t>
    </r>
  </si>
  <si>
    <r>
      <rPr>
        <b/>
        <sz val="11"/>
        <color rgb="FF231F20"/>
        <rFont val="Arial Narrow"/>
        <family val="2"/>
      </rPr>
      <t>Current assets</t>
    </r>
  </si>
  <si>
    <r>
      <rPr>
        <b/>
        <sz val="11"/>
        <color rgb="FF231F20"/>
        <rFont val="Arial Narrow"/>
        <family val="2"/>
      </rPr>
      <t>Total assets</t>
    </r>
  </si>
  <si>
    <t>Devidends - 2020</t>
  </si>
  <si>
    <t>Addition to RE - 2020</t>
  </si>
  <si>
    <t>Excess (Deficit) debt</t>
  </si>
  <si>
    <t>Pro Forma</t>
  </si>
  <si>
    <t>ROE_A</t>
  </si>
  <si>
    <t>ROE_B</t>
  </si>
  <si>
    <t>Depreciation expense</t>
  </si>
  <si>
    <t>Total interest expense</t>
  </si>
  <si>
    <t>The tax rate</t>
  </si>
  <si>
    <t>Cash coverage ratio</t>
  </si>
  <si>
    <t xml:space="preserve"> Pro Forma SCOTT, INC. 2020
Income Statement 21.</t>
  </si>
  <si>
    <t xml:space="preserve"> Pro Forma SCOTT, INC. 2020
Balance Sheet  21.</t>
  </si>
  <si>
    <r>
      <rPr>
        <b/>
        <sz val="12"/>
        <color theme="1"/>
        <rFont val="Arial Narrow"/>
        <family val="2"/>
      </rPr>
      <t xml:space="preserve">22. </t>
    </r>
    <r>
      <rPr>
        <sz val="12"/>
        <color theme="1"/>
        <rFont val="Arial Narrow"/>
        <family val="2"/>
      </rPr>
      <t>Full capacity sales - 2019</t>
    </r>
  </si>
  <si>
    <r>
      <t xml:space="preserve">23. </t>
    </r>
    <r>
      <rPr>
        <sz val="12"/>
        <color theme="1"/>
        <rFont val="Arial Narrow"/>
        <family val="2"/>
      </rPr>
      <t>D/E Ratio</t>
    </r>
  </si>
  <si>
    <t xml:space="preserve"> Pro Forma SCOTT, INC. 2020
Balance Sheet  23.</t>
  </si>
  <si>
    <t>Excess debt</t>
  </si>
  <si>
    <t>Debt repurchase</t>
  </si>
  <si>
    <t>Equity repurchase</t>
  </si>
  <si>
    <t>Pro Forma SCOTT, INC.
Income Statement 24.</t>
  </si>
  <si>
    <t>Pro Forma SCOTT, INC.
Balance Sheet  24.</t>
  </si>
  <si>
    <t>Pro Forma SCOTT, INC.
Income Statement 25.</t>
  </si>
  <si>
    <t>Pro Forma SCOTT, INC.
Balance Sheet 25.</t>
  </si>
  <si>
    <t xml:space="preserve">Pro Forma SCOTT, INC.
Balance Sheet 25. </t>
  </si>
  <si>
    <t>b</t>
  </si>
  <si>
    <t>Maximum sustainable growth rate</t>
  </si>
  <si>
    <t>Ending equity</t>
  </si>
  <si>
    <t>Plowback ratio</t>
  </si>
  <si>
    <t>ROE_End</t>
  </si>
  <si>
    <t>ROE_Begin</t>
  </si>
  <si>
    <t>Sustainable growth rate_Begin</t>
  </si>
  <si>
    <t>Sustainable growth rate_End</t>
  </si>
  <si>
    <t>g</t>
  </si>
  <si>
    <t>d.</t>
  </si>
  <si>
    <t>EBITDA</t>
  </si>
  <si>
    <t>New Total Fixed assets</t>
  </si>
  <si>
    <t>EFN_Without grow 20% NFA</t>
  </si>
  <si>
    <t>Full capacity ratio_2019</t>
  </si>
  <si>
    <t>EFN _With new NFA (80% NFA)</t>
  </si>
  <si>
    <t>New total debt - 2020</t>
  </si>
  <si>
    <t>Spontaneous increase in accounts payable_2020</t>
  </si>
  <si>
    <t>EFN_With D/E constant_2020</t>
  </si>
  <si>
    <t>Excess Cash</t>
  </si>
  <si>
    <t>Total Debt/Assets</t>
  </si>
  <si>
    <t>Equity/Assets</t>
  </si>
  <si>
    <t>EFN [D/E] TOTAL</t>
  </si>
  <si>
    <t>New Long-term debt</t>
  </si>
  <si>
    <t>Total Equity</t>
  </si>
  <si>
    <t>EAST COAST YACHTS
2019 Income Statement</t>
  </si>
  <si>
    <t>Cost of goods sold</t>
  </si>
  <si>
    <t xml:space="preserve">Other expenses </t>
  </si>
  <si>
    <t>Depreciation</t>
  </si>
  <si>
    <t>Earnings before interest and taxes (EBIT)</t>
  </si>
  <si>
    <t>Interest</t>
  </si>
  <si>
    <t xml:space="preserve">Taxable income </t>
  </si>
  <si>
    <t>Taxes (21%)</t>
  </si>
  <si>
    <t xml:space="preserve">Net income </t>
  </si>
  <si>
    <t>Additions to retained earnings</t>
  </si>
  <si>
    <t xml:space="preserve">
</t>
  </si>
  <si>
    <t>                                Assets                                </t>
  </si>
  <si>
    <t>                   Liabilities &amp; Equity                   </t>
  </si>
  <si>
    <t>Cash</t>
  </si>
  <si>
    <t>Net plant and equipment</t>
  </si>
  <si>
    <t xml:space="preserve">Current assets 
</t>
  </si>
  <si>
    <t>Shareholders’ equity</t>
  </si>
  <si>
    <t xml:space="preserve">Current liabilities   
</t>
  </si>
  <si>
    <t>Total liabilities and equity</t>
  </si>
  <si>
    <t>EAST COAST   YACHTS
Balance Sheet as of December 31, 2019</t>
  </si>
  <si>
    <t>Yacht Industry Ratios</t>
  </si>
  <si>
    <t>Lower Quartile</t>
  </si>
  <si>
    <t>Median</t>
  </si>
  <si>
    <t>Upper Quartile</t>
  </si>
  <si>
    <t>Current ratio</t>
  </si>
  <si>
    <t>Quick ratio</t>
  </si>
  <si>
    <t>Inventory turnover</t>
  </si>
  <si>
    <t>Debt ratio</t>
  </si>
  <si>
    <t>Debt–equity ratio</t>
  </si>
  <si>
    <t>Interest coverage</t>
  </si>
  <si>
    <t>East Coast Yachts</t>
  </si>
  <si>
    <t>Δ East Coast Yachts</t>
  </si>
  <si>
    <t>EAST COAST YACHTS Pro Forma
2019 Income Statement</t>
  </si>
  <si>
    <t>EAST COAST YACHTS Pro Forma
Balance Sheet as of December 31, 2019</t>
  </si>
  <si>
    <t>Increase Sales</t>
  </si>
  <si>
    <t>Depreciation percentage</t>
  </si>
  <si>
    <t>Pro forma depreciation</t>
  </si>
  <si>
    <r>
      <rPr>
        <b/>
        <sz val="11"/>
        <color rgb="FF231F20"/>
        <rFont val="Arial Narrow"/>
        <family val="2"/>
      </rPr>
      <t>Earnings before interest and taxes</t>
    </r>
  </si>
  <si>
    <r>
      <rPr>
        <b/>
        <sz val="11"/>
        <color rgb="FF231F20"/>
        <rFont val="Arial Narrow"/>
        <family val="2"/>
      </rPr>
      <t>Taxable income</t>
    </r>
  </si>
  <si>
    <t>Total New Fixed assets_2020</t>
  </si>
  <si>
    <t>Total debt needed_D/E constant_2020</t>
  </si>
  <si>
    <t>Total Equity needed_D/E constant_2020</t>
  </si>
  <si>
    <t>EFN [D/E]</t>
  </si>
  <si>
    <t xml:space="preserve">EFN </t>
  </si>
  <si>
    <t>New LTD</t>
  </si>
  <si>
    <t>New Equity</t>
  </si>
  <si>
    <t>Confirm D/E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</si>
</sst>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164" formatCode="0.0%"/>
    <numFmt numFmtId="165" formatCode="\$#,##0"/>
    <numFmt numFmtId="166" formatCode="&quot;$&quot;#,##0"/>
    <numFmt numFmtId="167" formatCode="#,##0.000"/>
    <numFmt numFmtId="168" formatCode="#,##0.00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11"/>
      <name val="Arial Narrow"/>
      <family val="2"/>
    </font>
    <font>
      <b/>
      <sz val="11"/>
      <color rgb="FFFFFFFF"/>
      <name val="Arial Narrow"/>
      <family val="2"/>
    </font>
    <font>
      <sz val="11"/>
      <name val="Arial Narrow"/>
      <family val="2"/>
    </font>
    <font>
      <sz val="11"/>
      <color rgb="FF231F20"/>
      <name val="Arial Narrow"/>
      <family val="2"/>
    </font>
    <font>
      <sz val="11"/>
      <color theme="1"/>
      <name val="Arial Narrow"/>
      <family val="2"/>
    </font>
    <font>
      <u/>
      <sz val="11"/>
      <color rgb="FF231F20"/>
      <name val="Arial Narrow"/>
      <family val="2"/>
    </font>
    <font>
      <b/>
      <sz val="11"/>
      <color rgb="FF231F20"/>
      <name val="Arial Narrow"/>
      <family val="2"/>
    </font>
    <font>
      <b/>
      <sz val="11"/>
      <color theme="1"/>
      <name val="Arial Narrow"/>
      <family val="2"/>
    </font>
    <font>
      <sz val="12"/>
      <color indexed="8"/>
      <name val="Arial Narrow"/>
      <family val="2"/>
    </font>
    <font>
      <b/>
      <u/>
      <sz val="12"/>
      <color indexed="8"/>
      <name val="Arial Narrow"/>
      <family val="2"/>
    </font>
    <font>
      <b/>
      <u/>
      <sz val="11"/>
      <color rgb="FF231F20"/>
      <name val="Arial Narrow"/>
      <family val="2"/>
    </font>
    <font>
      <b/>
      <sz val="11"/>
      <color theme="0"/>
      <name val="Arial Narrow"/>
      <family val="2"/>
    </font>
    <font>
      <i/>
      <sz val="12"/>
      <color theme="1"/>
      <name val="Arial Narrow"/>
      <family val="2"/>
    </font>
    <font>
      <b/>
      <sz val="12"/>
      <color indexed="9"/>
      <name val="Arial Narrow"/>
      <family val="2"/>
    </font>
    <font>
      <sz val="12"/>
      <color indexed="63"/>
      <name val="Arial Narrow"/>
      <family val="2"/>
    </font>
    <font>
      <b/>
      <sz val="12"/>
      <color indexed="63"/>
      <name val="Arial Narrow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0D8"/>
      </patternFill>
    </fill>
    <fill>
      <patternFill patternType="solid">
        <fgColor rgb="FFD5622A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622A"/>
        <bgColor indexed="64"/>
      </patternFill>
    </fill>
    <fill>
      <patternFill patternType="solid">
        <fgColor rgb="FFFFF0D8"/>
        <bgColor indexed="64"/>
      </patternFill>
    </fill>
    <fill>
      <patternFill patternType="solid">
        <fgColor rgb="FFFFE1B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FFF0D8"/>
      </top>
      <bottom/>
      <diagonal/>
    </border>
    <border>
      <left/>
      <right/>
      <top/>
      <bottom style="thin">
        <color rgb="FF231F20"/>
      </bottom>
      <diagonal/>
    </border>
    <border>
      <left/>
      <right/>
      <top style="thin">
        <color rgb="FF231F2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23" fillId="0" borderId="0"/>
  </cellStyleXfs>
  <cellXfs count="201">
    <xf numFmtId="0" fontId="0" fillId="0" borderId="0" xfId="0"/>
    <xf numFmtId="0" fontId="3" fillId="0" borderId="0" xfId="0" applyFont="1"/>
    <xf numFmtId="0" fontId="4" fillId="0" borderId="0" xfId="0" applyFont="1"/>
    <xf numFmtId="9" fontId="3" fillId="0" borderId="0" xfId="0" applyNumberFormat="1" applyFont="1"/>
    <xf numFmtId="8" fontId="3" fillId="0" borderId="0" xfId="0" applyNumberFormat="1" applyFont="1"/>
    <xf numFmtId="0" fontId="9" fillId="2" borderId="0" xfId="0" applyFont="1" applyFill="1" applyAlignment="1">
      <alignment horizontal="left" vertical="top" wrapText="1" indent="1"/>
    </xf>
    <xf numFmtId="0" fontId="9" fillId="2" borderId="0" xfId="0" applyFont="1" applyFill="1" applyAlignment="1">
      <alignment horizontal="right" vertical="top" wrapText="1" indent="1"/>
    </xf>
    <xf numFmtId="165" fontId="10" fillId="2" borderId="0" xfId="0" applyNumberFormat="1" applyFont="1" applyFill="1" applyAlignment="1">
      <alignment horizontal="left" vertical="top" indent="1" shrinkToFit="1"/>
    </xf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 indent="2"/>
    </xf>
    <xf numFmtId="0" fontId="7" fillId="2" borderId="0" xfId="0" applyFont="1" applyFill="1" applyAlignment="1">
      <alignment horizontal="right" vertical="top" wrapText="1" indent="1"/>
    </xf>
    <xf numFmtId="6" fontId="10" fillId="2" borderId="0" xfId="0" applyNumberFormat="1" applyFont="1" applyFill="1" applyAlignment="1">
      <alignment horizontal="center" vertical="top" shrinkToFit="1"/>
    </xf>
    <xf numFmtId="6" fontId="12" fillId="2" borderId="0" xfId="0" applyNumberFormat="1" applyFont="1" applyFill="1" applyAlignment="1">
      <alignment horizontal="center" vertical="top" shrinkToFit="1"/>
    </xf>
    <xf numFmtId="0" fontId="9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6" fontId="10" fillId="2" borderId="1" xfId="0" applyNumberFormat="1" applyFont="1" applyFill="1" applyBorder="1" applyAlignment="1">
      <alignment horizontal="center" vertical="top" shrinkToFit="1"/>
    </xf>
    <xf numFmtId="0" fontId="9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165" fontId="10" fillId="2" borderId="1" xfId="0" applyNumberFormat="1" applyFont="1" applyFill="1" applyBorder="1" applyAlignment="1">
      <alignment horizontal="left" vertical="top" indent="1" shrinkToFit="1"/>
    </xf>
    <xf numFmtId="0" fontId="14" fillId="2" borderId="0" xfId="0" applyFont="1" applyFill="1" applyAlignment="1">
      <alignment vertical="top" wrapText="1"/>
    </xf>
    <xf numFmtId="0" fontId="16" fillId="4" borderId="0" xfId="0" applyFont="1" applyFill="1" applyAlignment="1">
      <alignment horizontal="left" vertical="top" wrapText="1" indent="1"/>
    </xf>
    <xf numFmtId="0" fontId="6" fillId="4" borderId="0" xfId="0" applyFont="1" applyFill="1" applyAlignment="1">
      <alignment horizontal="left" wrapText="1"/>
    </xf>
    <xf numFmtId="0" fontId="15" fillId="4" borderId="0" xfId="0" applyFont="1" applyFill="1" applyAlignment="1">
      <alignment horizontal="left" vertical="top" wrapText="1" indent="1"/>
    </xf>
    <xf numFmtId="166" fontId="15" fillId="4" borderId="0" xfId="0" applyNumberFormat="1" applyFont="1" applyFill="1" applyAlignment="1">
      <alignment horizontal="center" vertical="top" shrinkToFit="1"/>
    </xf>
    <xf numFmtId="166" fontId="15" fillId="4" borderId="0" xfId="0" applyNumberFormat="1" applyFont="1" applyFill="1" applyAlignment="1">
      <alignment horizontal="right" vertical="top" shrinkToFit="1"/>
    </xf>
    <xf numFmtId="0" fontId="6" fillId="4" borderId="0" xfId="0" applyFont="1" applyFill="1" applyAlignment="1">
      <alignment horizontal="left" vertical="center" wrapText="1"/>
    </xf>
    <xf numFmtId="3" fontId="15" fillId="4" borderId="0" xfId="0" applyNumberFormat="1" applyFont="1" applyFill="1" applyAlignment="1">
      <alignment horizontal="center" vertical="top" shrinkToFit="1"/>
    </xf>
    <xf numFmtId="3" fontId="15" fillId="4" borderId="0" xfId="0" applyNumberFormat="1" applyFont="1" applyFill="1" applyAlignment="1">
      <alignment horizontal="right" vertical="top" shrinkToFit="1"/>
    </xf>
    <xf numFmtId="0" fontId="15" fillId="4" borderId="0" xfId="0" applyFont="1" applyFill="1" applyAlignment="1">
      <alignment horizontal="left" vertical="top" wrapText="1" indent="2"/>
    </xf>
    <xf numFmtId="166" fontId="15" fillId="4" borderId="1" xfId="0" applyNumberFormat="1" applyFont="1" applyFill="1" applyBorder="1" applyAlignment="1">
      <alignment horizontal="center" vertical="top" shrinkToFit="1"/>
    </xf>
    <xf numFmtId="166" fontId="15" fillId="4" borderId="1" xfId="0" applyNumberFormat="1" applyFont="1" applyFill="1" applyBorder="1" applyAlignment="1">
      <alignment horizontal="right" vertical="top" shrinkToFit="1"/>
    </xf>
    <xf numFmtId="0" fontId="10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 indent="1"/>
    </xf>
    <xf numFmtId="0" fontId="10" fillId="2" borderId="0" xfId="0" applyFont="1" applyFill="1" applyAlignment="1">
      <alignment horizontal="left" vertical="top" wrapText="1" indent="2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 indent="1"/>
    </xf>
    <xf numFmtId="6" fontId="9" fillId="2" borderId="0" xfId="0" applyNumberFormat="1" applyFont="1" applyFill="1" applyAlignment="1">
      <alignment horizontal="right" wrapText="1"/>
    </xf>
    <xf numFmtId="6" fontId="9" fillId="2" borderId="1" xfId="0" applyNumberFormat="1" applyFont="1" applyFill="1" applyBorder="1" applyAlignment="1">
      <alignment horizontal="right" wrapText="1"/>
    </xf>
    <xf numFmtId="6" fontId="3" fillId="0" borderId="0" xfId="0" applyNumberFormat="1" applyFont="1" applyBorder="1"/>
    <xf numFmtId="3" fontId="0" fillId="0" borderId="0" xfId="0" applyNumberFormat="1"/>
    <xf numFmtId="0" fontId="14" fillId="2" borderId="0" xfId="0" applyFont="1" applyFill="1" applyAlignment="1">
      <alignment horizontal="left" wrapText="1"/>
    </xf>
    <xf numFmtId="1" fontId="13" fillId="2" borderId="0" xfId="0" applyNumberFormat="1" applyFont="1" applyFill="1" applyAlignment="1">
      <alignment horizontal="left" vertical="top" indent="1" shrinkToFit="1"/>
    </xf>
    <xf numFmtId="1" fontId="13" fillId="2" borderId="0" xfId="0" applyNumberFormat="1" applyFont="1" applyFill="1" applyAlignment="1">
      <alignment horizontal="center" vertical="top" shrinkToFit="1"/>
    </xf>
    <xf numFmtId="0" fontId="13" fillId="2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top" wrapText="1"/>
    </xf>
    <xf numFmtId="10" fontId="10" fillId="2" borderId="0" xfId="0" applyNumberFormat="1" applyFont="1" applyFill="1" applyAlignment="1">
      <alignment horizontal="center" vertical="center" shrinkToFit="1"/>
    </xf>
    <xf numFmtId="0" fontId="17" fillId="2" borderId="0" xfId="0" applyFont="1" applyFill="1" applyAlignment="1">
      <alignment horizontal="left" vertical="top" wrapText="1" indent="1"/>
    </xf>
    <xf numFmtId="0" fontId="7" fillId="2" borderId="0" xfId="0" applyFont="1" applyFill="1" applyAlignment="1">
      <alignment horizontal="left" vertical="top" wrapText="1" indent="1"/>
    </xf>
    <xf numFmtId="0" fontId="7" fillId="0" borderId="0" xfId="0" applyFont="1" applyFill="1" applyAlignment="1">
      <alignment horizontal="left" vertical="top" wrapText="1"/>
    </xf>
    <xf numFmtId="10" fontId="10" fillId="2" borderId="0" xfId="0" applyNumberFormat="1" applyFont="1" applyFill="1" applyAlignment="1">
      <alignment horizontal="center" shrinkToFit="1"/>
    </xf>
    <xf numFmtId="8" fontId="7" fillId="0" borderId="0" xfId="0" applyNumberFormat="1" applyFont="1" applyFill="1" applyAlignment="1">
      <alignment horizontal="left" vertical="top" wrapText="1"/>
    </xf>
    <xf numFmtId="8" fontId="0" fillId="0" borderId="0" xfId="0" applyNumberFormat="1"/>
    <xf numFmtId="0" fontId="11" fillId="2" borderId="5" xfId="0" applyFont="1" applyFill="1" applyBorder="1" applyAlignment="1">
      <alignment horizontal="left" wrapText="1"/>
    </xf>
    <xf numFmtId="0" fontId="7" fillId="2" borderId="5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vertical="top" wrapText="1"/>
    </xf>
    <xf numFmtId="0" fontId="7" fillId="2" borderId="0" xfId="0" applyFont="1" applyFill="1" applyAlignment="1">
      <alignment horizontal="left" vertical="top" wrapText="1" indent="3"/>
    </xf>
    <xf numFmtId="0" fontId="11" fillId="2" borderId="0" xfId="0" applyFont="1" applyFill="1" applyAlignment="1">
      <alignment horizontal="left" vertical="top" wrapText="1"/>
    </xf>
    <xf numFmtId="6" fontId="0" fillId="0" borderId="0" xfId="0" applyNumberFormat="1"/>
    <xf numFmtId="10" fontId="0" fillId="0" borderId="0" xfId="0" applyNumberFormat="1"/>
    <xf numFmtId="0" fontId="11" fillId="2" borderId="0" xfId="0" applyFont="1" applyFill="1" applyBorder="1" applyAlignment="1">
      <alignment horizontal="left" wrapText="1"/>
    </xf>
    <xf numFmtId="6" fontId="11" fillId="2" borderId="0" xfId="0" applyNumberFormat="1" applyFont="1" applyFill="1" applyAlignment="1">
      <alignment vertical="top" wrapText="1"/>
    </xf>
    <xf numFmtId="6" fontId="11" fillId="2" borderId="1" xfId="0" applyNumberFormat="1" applyFont="1" applyFill="1" applyBorder="1" applyAlignment="1">
      <alignment vertical="top" wrapText="1"/>
    </xf>
    <xf numFmtId="0" fontId="14" fillId="2" borderId="0" xfId="0" applyFont="1" applyFill="1" applyAlignment="1">
      <alignment horizontal="left" vertical="top" wrapText="1"/>
    </xf>
    <xf numFmtId="6" fontId="11" fillId="2" borderId="2" xfId="0" applyNumberFormat="1" applyFont="1" applyFill="1" applyBorder="1" applyAlignment="1">
      <alignment vertical="top" wrapText="1"/>
    </xf>
    <xf numFmtId="6" fontId="11" fillId="2" borderId="0" xfId="0" applyNumberFormat="1" applyFont="1" applyFill="1" applyBorder="1" applyAlignment="1">
      <alignment vertical="top" wrapText="1"/>
    </xf>
    <xf numFmtId="9" fontId="18" fillId="3" borderId="0" xfId="0" applyNumberFormat="1" applyFont="1" applyFill="1" applyAlignment="1">
      <alignment horizontal="center" vertical="center" wrapText="1"/>
    </xf>
    <xf numFmtId="0" fontId="11" fillId="2" borderId="0" xfId="0" applyFont="1" applyFill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3" fillId="0" borderId="6" xfId="0" applyFont="1" applyBorder="1"/>
    <xf numFmtId="164" fontId="3" fillId="0" borderId="6" xfId="0" applyNumberFormat="1" applyFont="1" applyBorder="1"/>
    <xf numFmtId="0" fontId="4" fillId="0" borderId="6" xfId="0" applyFont="1" applyBorder="1"/>
    <xf numFmtId="10" fontId="3" fillId="0" borderId="6" xfId="0" applyNumberFormat="1" applyFont="1" applyBorder="1"/>
    <xf numFmtId="3" fontId="3" fillId="0" borderId="6" xfId="0" applyNumberFormat="1" applyFont="1" applyBorder="1"/>
    <xf numFmtId="8" fontId="3" fillId="0" borderId="6" xfId="0" applyNumberFormat="1" applyFont="1" applyBorder="1"/>
    <xf numFmtId="6" fontId="3" fillId="0" borderId="6" xfId="0" applyNumberFormat="1" applyFont="1" applyBorder="1"/>
    <xf numFmtId="9" fontId="3" fillId="0" borderId="6" xfId="0" applyNumberFormat="1" applyFont="1" applyBorder="1"/>
    <xf numFmtId="0" fontId="6" fillId="0" borderId="6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15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centerContinuous"/>
    </xf>
    <xf numFmtId="9" fontId="3" fillId="0" borderId="0" xfId="0" applyNumberFormat="1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6" xfId="0" applyFont="1" applyBorder="1" applyAlignment="1">
      <alignment wrapText="1"/>
    </xf>
    <xf numFmtId="2" fontId="3" fillId="0" borderId="6" xfId="0" applyNumberFormat="1" applyFont="1" applyBorder="1"/>
    <xf numFmtId="4" fontId="3" fillId="0" borderId="6" xfId="0" applyNumberFormat="1" applyFont="1" applyBorder="1"/>
    <xf numFmtId="0" fontId="4" fillId="0" borderId="6" xfId="0" applyFont="1" applyBorder="1" applyAlignment="1">
      <alignment wrapText="1"/>
    </xf>
    <xf numFmtId="167" fontId="0" fillId="0" borderId="0" xfId="0" applyNumberFormat="1"/>
    <xf numFmtId="167" fontId="3" fillId="0" borderId="6" xfId="0" applyNumberFormat="1" applyFont="1" applyBorder="1"/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6" fontId="10" fillId="2" borderId="0" xfId="0" applyNumberFormat="1" applyFont="1" applyFill="1" applyAlignment="1">
      <alignment horizontal="right" vertical="center" shrinkToFit="1"/>
    </xf>
    <xf numFmtId="6" fontId="10" fillId="2" borderId="0" xfId="0" applyNumberFormat="1" applyFont="1" applyFill="1" applyAlignment="1">
      <alignment horizontal="right" vertical="top" shrinkToFit="1"/>
    </xf>
    <xf numFmtId="6" fontId="10" fillId="2" borderId="1" xfId="0" applyNumberFormat="1" applyFont="1" applyFill="1" applyBorder="1" applyAlignment="1">
      <alignment horizontal="right" vertical="top" shrinkToFit="1"/>
    </xf>
    <xf numFmtId="6" fontId="10" fillId="2" borderId="0" xfId="0" applyNumberFormat="1" applyFont="1" applyFill="1" applyAlignment="1">
      <alignment vertical="center" shrinkToFit="1"/>
    </xf>
    <xf numFmtId="6" fontId="10" fillId="2" borderId="0" xfId="0" applyNumberFormat="1" applyFont="1" applyFill="1" applyAlignment="1">
      <alignment vertical="top" shrinkToFit="1"/>
    </xf>
    <xf numFmtId="6" fontId="10" fillId="2" borderId="1" xfId="0" applyNumberFormat="1" applyFont="1" applyFill="1" applyBorder="1" applyAlignment="1">
      <alignment vertical="top" shrinkToFit="1"/>
    </xf>
    <xf numFmtId="6" fontId="11" fillId="2" borderId="0" xfId="0" applyNumberFormat="1" applyFont="1" applyFill="1" applyAlignment="1">
      <alignment horizontal="left" vertical="top" wrapText="1"/>
    </xf>
    <xf numFmtId="6" fontId="11" fillId="0" borderId="0" xfId="0" applyNumberFormat="1" applyFont="1" applyFill="1" applyAlignment="1">
      <alignment vertical="top" wrapText="1"/>
    </xf>
    <xf numFmtId="0" fontId="11" fillId="0" borderId="0" xfId="0" applyFont="1" applyFill="1" applyAlignment="1">
      <alignment horizontal="left" vertical="top" wrapText="1"/>
    </xf>
    <xf numFmtId="6" fontId="11" fillId="0" borderId="0" xfId="0" applyNumberFormat="1" applyFont="1" applyFill="1" applyBorder="1" applyAlignment="1">
      <alignment vertical="top" wrapText="1"/>
    </xf>
    <xf numFmtId="9" fontId="0" fillId="0" borderId="0" xfId="0" applyNumberFormat="1"/>
    <xf numFmtId="0" fontId="19" fillId="0" borderId="6" xfId="0" applyFont="1" applyBorder="1"/>
    <xf numFmtId="0" fontId="4" fillId="0" borderId="6" xfId="0" applyFont="1" applyFill="1" applyBorder="1"/>
    <xf numFmtId="6" fontId="10" fillId="2" borderId="1" xfId="0" applyNumberFormat="1" applyFont="1" applyFill="1" applyBorder="1" applyAlignment="1">
      <alignment horizontal="right" vertical="center" shrinkToFit="1"/>
    </xf>
    <xf numFmtId="8" fontId="3" fillId="0" borderId="6" xfId="0" applyNumberFormat="1" applyFont="1" applyBorder="1" applyAlignment="1">
      <alignment horizontal="right"/>
    </xf>
    <xf numFmtId="6" fontId="10" fillId="2" borderId="0" xfId="0" applyNumberFormat="1" applyFont="1" applyFill="1" applyAlignment="1">
      <alignment horizontal="right" shrinkToFit="1"/>
    </xf>
    <xf numFmtId="6" fontId="10" fillId="2" borderId="1" xfId="0" applyNumberFormat="1" applyFont="1" applyFill="1" applyBorder="1" applyAlignment="1">
      <alignment horizontal="right" shrinkToFit="1"/>
    </xf>
    <xf numFmtId="1" fontId="13" fillId="2" borderId="0" xfId="0" applyNumberFormat="1" applyFont="1" applyFill="1" applyAlignment="1">
      <alignment horizontal="right" vertical="top" indent="1" shrinkToFit="1"/>
    </xf>
    <xf numFmtId="6" fontId="11" fillId="2" borderId="0" xfId="0" applyNumberFormat="1" applyFont="1" applyFill="1" applyAlignment="1">
      <alignment horizontal="right" wrapText="1"/>
    </xf>
    <xf numFmtId="6" fontId="10" fillId="2" borderId="0" xfId="0" applyNumberFormat="1" applyFont="1" applyFill="1" applyAlignment="1">
      <alignment horizontal="right" wrapText="1"/>
    </xf>
    <xf numFmtId="6" fontId="11" fillId="2" borderId="1" xfId="0" applyNumberFormat="1" applyFont="1" applyFill="1" applyBorder="1" applyAlignment="1">
      <alignment horizontal="right" wrapText="1"/>
    </xf>
    <xf numFmtId="1" fontId="13" fillId="2" borderId="0" xfId="0" applyNumberFormat="1" applyFont="1" applyFill="1" applyAlignment="1">
      <alignment horizontal="right" vertical="top" indent="2" shrinkToFit="1"/>
    </xf>
    <xf numFmtId="10" fontId="11" fillId="0" borderId="0" xfId="0" applyNumberFormat="1" applyFont="1" applyFill="1" applyAlignment="1">
      <alignment vertical="top" wrapText="1"/>
    </xf>
    <xf numFmtId="10" fontId="3" fillId="0" borderId="0" xfId="0" applyNumberFormat="1" applyFont="1"/>
    <xf numFmtId="10" fontId="11" fillId="0" borderId="0" xfId="0" applyNumberFormat="1" applyFont="1" applyFill="1" applyBorder="1" applyAlignment="1">
      <alignment vertical="top" wrapText="1"/>
    </xf>
    <xf numFmtId="0" fontId="6" fillId="6" borderId="0" xfId="0" applyFont="1" applyFill="1" applyBorder="1" applyAlignment="1">
      <alignment vertical="center"/>
    </xf>
    <xf numFmtId="6" fontId="21" fillId="6" borderId="0" xfId="0" applyNumberFormat="1" applyFont="1" applyFill="1" applyBorder="1" applyAlignment="1">
      <alignment vertical="top" shrinkToFit="1"/>
    </xf>
    <xf numFmtId="6" fontId="21" fillId="6" borderId="1" xfId="0" applyNumberFormat="1" applyFont="1" applyFill="1" applyBorder="1" applyAlignment="1">
      <alignment vertical="top" shrinkToFit="1"/>
    </xf>
    <xf numFmtId="0" fontId="5" fillId="6" borderId="0" xfId="0" applyFont="1" applyFill="1" applyBorder="1" applyAlignment="1">
      <alignment vertical="center"/>
    </xf>
    <xf numFmtId="0" fontId="6" fillId="6" borderId="0" xfId="0" applyFont="1" applyFill="1" applyAlignment="1">
      <alignment horizontal="left" vertical="center" wrapText="1"/>
    </xf>
    <xf numFmtId="0" fontId="21" fillId="6" borderId="0" xfId="0" applyFont="1" applyFill="1" applyAlignment="1">
      <alignment horizontal="left" vertical="top" wrapText="1"/>
    </xf>
    <xf numFmtId="0" fontId="21" fillId="6" borderId="0" xfId="0" applyFont="1" applyFill="1" applyAlignment="1">
      <alignment horizontal="right" vertical="top" wrapText="1"/>
    </xf>
    <xf numFmtId="0" fontId="21" fillId="6" borderId="0" xfId="0" applyFont="1" applyFill="1" applyAlignment="1">
      <alignment horizontal="left" vertical="top" wrapText="1" indent="1"/>
    </xf>
    <xf numFmtId="0" fontId="22" fillId="6" borderId="0" xfId="0" applyFont="1" applyFill="1" applyAlignment="1">
      <alignment horizontal="left" vertical="top" wrapText="1"/>
    </xf>
    <xf numFmtId="6" fontId="21" fillId="6" borderId="0" xfId="0" applyNumberFormat="1" applyFont="1" applyFill="1" applyAlignment="1">
      <alignment horizontal="right" vertical="top" wrapText="1"/>
    </xf>
    <xf numFmtId="6" fontId="21" fillId="0" borderId="0" xfId="0" applyNumberFormat="1" applyFont="1" applyFill="1" applyAlignment="1">
      <alignment horizontal="right" vertical="top" wrapText="1"/>
    </xf>
    <xf numFmtId="0" fontId="21" fillId="0" borderId="0" xfId="0" applyFont="1" applyFill="1" applyAlignment="1">
      <alignment horizontal="right" vertical="top" wrapText="1"/>
    </xf>
    <xf numFmtId="6" fontId="21" fillId="6" borderId="1" xfId="0" applyNumberFormat="1" applyFont="1" applyFill="1" applyBorder="1" applyAlignment="1">
      <alignment horizontal="right" vertical="top" wrapText="1"/>
    </xf>
    <xf numFmtId="6" fontId="21" fillId="6" borderId="7" xfId="0" applyNumberFormat="1" applyFont="1" applyFill="1" applyBorder="1" applyAlignment="1">
      <alignment horizontal="right" vertical="top" wrapText="1"/>
    </xf>
    <xf numFmtId="0" fontId="22" fillId="6" borderId="0" xfId="0" applyFont="1" applyFill="1" applyBorder="1" applyAlignment="1">
      <alignment horizontal="center" vertical="top"/>
    </xf>
    <xf numFmtId="0" fontId="6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center" vertical="top" wrapText="1"/>
    </xf>
    <xf numFmtId="2" fontId="21" fillId="6" borderId="0" xfId="0" applyNumberFormat="1" applyFont="1" applyFill="1" applyAlignment="1">
      <alignment horizontal="right" vertical="top" shrinkToFit="1"/>
    </xf>
    <xf numFmtId="10" fontId="21" fillId="6" borderId="0" xfId="0" applyNumberFormat="1" applyFont="1" applyFill="1" applyAlignment="1">
      <alignment horizontal="right" vertical="top" shrinkToFit="1"/>
    </xf>
    <xf numFmtId="0" fontId="0" fillId="0" borderId="0" xfId="0" applyAlignment="1">
      <alignment horizontal="right"/>
    </xf>
    <xf numFmtId="0" fontId="22" fillId="7" borderId="0" xfId="0" applyFont="1" applyFill="1" applyBorder="1" applyAlignment="1">
      <alignment horizontal="center" vertical="center" wrapText="1"/>
    </xf>
    <xf numFmtId="0" fontId="20" fillId="5" borderId="0" xfId="0" applyFont="1" applyFill="1" applyAlignment="1">
      <alignment horizontal="right" vertical="top" wrapText="1"/>
    </xf>
    <xf numFmtId="0" fontId="5" fillId="0" borderId="0" xfId="0" applyFont="1" applyFill="1" applyBorder="1" applyAlignment="1">
      <alignment vertical="center"/>
    </xf>
    <xf numFmtId="10" fontId="3" fillId="0" borderId="1" xfId="0" applyNumberFormat="1" applyFont="1" applyBorder="1"/>
    <xf numFmtId="6" fontId="3" fillId="0" borderId="1" xfId="0" applyNumberFormat="1" applyFont="1" applyBorder="1"/>
    <xf numFmtId="9" fontId="3" fillId="0" borderId="1" xfId="0" applyNumberFormat="1" applyFont="1" applyBorder="1"/>
    <xf numFmtId="6" fontId="3" fillId="0" borderId="0" xfId="0" applyNumberFormat="1" applyFont="1"/>
    <xf numFmtId="9" fontId="3" fillId="0" borderId="0" xfId="0" applyNumberFormat="1" applyFont="1" applyBorder="1"/>
    <xf numFmtId="6" fontId="9" fillId="2" borderId="0" xfId="0" applyNumberFormat="1" applyFont="1" applyFill="1" applyAlignment="1">
      <alignment horizontal="right" vertical="top" wrapText="1"/>
    </xf>
    <xf numFmtId="6" fontId="9" fillId="2" borderId="1" xfId="0" applyNumberFormat="1" applyFont="1" applyFill="1" applyBorder="1" applyAlignment="1">
      <alignment horizontal="right" vertical="top" wrapText="1"/>
    </xf>
    <xf numFmtId="168" fontId="3" fillId="0" borderId="6" xfId="0" applyNumberFormat="1" applyFont="1" applyBorder="1"/>
    <xf numFmtId="0" fontId="11" fillId="3" borderId="0" xfId="0" applyFont="1" applyFill="1" applyAlignment="1">
      <alignment horizontal="centerContinuous" vertical="top" wrapText="1"/>
    </xf>
    <xf numFmtId="0" fontId="9" fillId="2" borderId="0" xfId="0" applyFont="1" applyFill="1" applyAlignment="1">
      <alignment horizontal="right" vertical="top" wrapText="1"/>
    </xf>
    <xf numFmtId="6" fontId="11" fillId="2" borderId="5" xfId="0" applyNumberFormat="1" applyFont="1" applyFill="1" applyBorder="1" applyAlignment="1">
      <alignment horizontal="left" wrapText="1"/>
    </xf>
    <xf numFmtId="6" fontId="13" fillId="2" borderId="0" xfId="0" applyNumberFormat="1" applyFont="1" applyFill="1" applyAlignment="1">
      <alignment horizontal="right" vertical="center" shrinkToFit="1"/>
    </xf>
    <xf numFmtId="6" fontId="13" fillId="2" borderId="0" xfId="0" applyNumberFormat="1" applyFont="1" applyFill="1" applyAlignment="1">
      <alignment horizontal="right" vertical="top" shrinkToFit="1"/>
    </xf>
    <xf numFmtId="6" fontId="13" fillId="2" borderId="1" xfId="0" applyNumberFormat="1" applyFont="1" applyFill="1" applyBorder="1" applyAlignment="1">
      <alignment horizontal="right" vertical="top" shrinkToFit="1"/>
    </xf>
    <xf numFmtId="0" fontId="11" fillId="2" borderId="0" xfId="0" applyFont="1" applyFill="1" applyAlignment="1">
      <alignment horizontal="left" vertical="top" wrapText="1"/>
    </xf>
    <xf numFmtId="6" fontId="11" fillId="2" borderId="0" xfId="0" applyNumberFormat="1" applyFont="1" applyFill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6" fontId="11" fillId="2" borderId="1" xfId="0" applyNumberFormat="1" applyFont="1" applyFill="1" applyBorder="1" applyAlignment="1">
      <alignment horizontal="right" vertical="top" wrapText="1"/>
    </xf>
    <xf numFmtId="6" fontId="13" fillId="2" borderId="0" xfId="0" applyNumberFormat="1" applyFont="1" applyFill="1" applyAlignment="1">
      <alignment vertical="top" shrinkToFit="1"/>
    </xf>
    <xf numFmtId="6" fontId="13" fillId="2" borderId="1" xfId="0" applyNumberFormat="1" applyFont="1" applyFill="1" applyBorder="1" applyAlignment="1">
      <alignment vertical="top" shrinkToFit="1"/>
    </xf>
    <xf numFmtId="10" fontId="14" fillId="2" borderId="0" xfId="0" applyNumberFormat="1" applyFont="1" applyFill="1" applyAlignment="1">
      <alignment horizontal="right" wrapText="1"/>
    </xf>
    <xf numFmtId="6" fontId="22" fillId="6" borderId="1" xfId="0" applyNumberFormat="1" applyFont="1" applyFill="1" applyBorder="1" applyAlignment="1">
      <alignment vertical="top" shrinkToFit="1"/>
    </xf>
    <xf numFmtId="6" fontId="22" fillId="6" borderId="1" xfId="0" applyNumberFormat="1" applyFont="1" applyFill="1" applyBorder="1" applyAlignment="1">
      <alignment horizontal="right" vertical="top" wrapText="1"/>
    </xf>
    <xf numFmtId="0" fontId="2" fillId="0" borderId="6" xfId="1" applyFont="1" applyBorder="1"/>
    <xf numFmtId="8" fontId="2" fillId="0" borderId="6" xfId="1" applyNumberFormat="1" applyFont="1" applyBorder="1"/>
    <xf numFmtId="8" fontId="23" fillId="0" borderId="0" xfId="1" applyNumberFormat="1"/>
    <xf numFmtId="0" fontId="23" fillId="0" borderId="0" xfId="1"/>
    <xf numFmtId="0" fontId="4" fillId="0" borderId="6" xfId="1" applyFont="1" applyBorder="1"/>
    <xf numFmtId="2" fontId="23" fillId="0" borderId="0" xfId="1" applyNumberFormat="1"/>
    <xf numFmtId="4" fontId="2" fillId="0" borderId="6" xfId="1" applyNumberFormat="1" applyFont="1" applyBorder="1"/>
    <xf numFmtId="0" fontId="11" fillId="3" borderId="3" xfId="0" applyFont="1" applyFill="1" applyBorder="1" applyAlignment="1">
      <alignment horizontal="centerContinuous" vertical="top" wrapText="1"/>
    </xf>
    <xf numFmtId="0" fontId="8" fillId="3" borderId="0" xfId="0" applyFont="1" applyFill="1" applyAlignment="1">
      <alignment horizontal="centerContinuous" vertical="top" wrapText="1"/>
    </xf>
    <xf numFmtId="0" fontId="8" fillId="3" borderId="0" xfId="0" applyFont="1" applyFill="1" applyBorder="1" applyAlignment="1">
      <alignment horizontal="centerContinuous" vertical="top" wrapText="1"/>
    </xf>
    <xf numFmtId="0" fontId="11" fillId="3" borderId="0" xfId="0" applyFont="1" applyFill="1" applyBorder="1" applyAlignment="1">
      <alignment horizontal="centerContinuous" vertical="top" wrapText="1"/>
    </xf>
    <xf numFmtId="0" fontId="11" fillId="3" borderId="0" xfId="0" applyFont="1" applyFill="1" applyAlignment="1">
      <alignment horizontal="centerContinuous" vertical="top"/>
    </xf>
    <xf numFmtId="0" fontId="8" fillId="3" borderId="3" xfId="0" applyFont="1" applyFill="1" applyBorder="1" applyAlignment="1">
      <alignment horizontal="centerContinuous" vertical="center" wrapText="1"/>
    </xf>
    <xf numFmtId="0" fontId="8" fillId="3" borderId="3" xfId="0" applyFont="1" applyFill="1" applyBorder="1" applyAlignment="1">
      <alignment horizontal="centerContinuous" vertical="center"/>
    </xf>
    <xf numFmtId="10" fontId="4" fillId="0" borderId="6" xfId="0" applyNumberFormat="1" applyFont="1" applyBorder="1"/>
    <xf numFmtId="0" fontId="7" fillId="3" borderId="0" xfId="0" applyFont="1" applyFill="1" applyAlignment="1">
      <alignment horizontal="left" vertical="top" wrapText="1" indent="2"/>
    </xf>
    <xf numFmtId="0" fontId="8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top" wrapText="1" indent="1"/>
    </xf>
    <xf numFmtId="0" fontId="7" fillId="3" borderId="0" xfId="0" applyFont="1" applyFill="1" applyAlignment="1">
      <alignment horizontal="left" vertical="top" wrapText="1" indent="1"/>
    </xf>
    <xf numFmtId="0" fontId="8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left" vertical="top" wrapText="1"/>
    </xf>
    <xf numFmtId="0" fontId="13" fillId="2" borderId="4" xfId="0" applyFont="1" applyFill="1" applyBorder="1" applyAlignment="1">
      <alignment horizontal="center" vertical="top" wrapText="1"/>
    </xf>
    <xf numFmtId="0" fontId="22" fillId="6" borderId="0" xfId="0" applyFont="1" applyFill="1" applyAlignment="1">
      <alignment horizontal="center" vertical="top" wrapText="1"/>
    </xf>
    <xf numFmtId="0" fontId="21" fillId="6" borderId="0" xfId="0" applyFont="1" applyFill="1" applyBorder="1" applyAlignment="1">
      <alignment horizontal="left" vertical="top" wrapText="1"/>
    </xf>
    <xf numFmtId="0" fontId="20" fillId="5" borderId="0" xfId="0" applyFont="1" applyFill="1" applyBorder="1" applyAlignment="1">
      <alignment horizontal="centerContinuous" vertical="top" wrapText="1"/>
    </xf>
    <xf numFmtId="0" fontId="20" fillId="5" borderId="5" xfId="0" applyFont="1" applyFill="1" applyBorder="1" applyAlignment="1">
      <alignment horizontal="centerContinuous" vertical="top" wrapText="1"/>
    </xf>
    <xf numFmtId="0" fontId="22" fillId="7" borderId="5" xfId="0" applyFont="1" applyFill="1" applyBorder="1" applyAlignment="1">
      <alignment horizontal="centerContinuous" vertical="center" wrapText="1"/>
    </xf>
  </cellXfs>
  <cellStyles count="2">
    <cellStyle name="Normal" xfId="0" builtinId="0"/>
    <cellStyle name="Normal 2" xfId="1" xr:uid="{67AEB9A2-12B0-462D-9159-8B68B5BE05DA}"/>
  </cellStyles>
  <dxfs count="0"/>
  <tableStyles count="0" defaultTableStyle="TableStyleMedium2" defaultPivotStyle="PivotStyleLight16"/>
  <colors>
    <mruColors>
      <color rgb="FFFF5050"/>
      <color rgb="FFFB5B5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'21.&amp; 22. &amp; 23. &amp; 24. &amp; 25.'!$L$1:$N$1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</c:numCache>
            </c:numRef>
          </c:xVal>
          <c:yVal>
            <c:numRef>
              <c:f>'21.&amp; 22. &amp; 23. &amp; 24. &amp; 25.'!$R$12:$T$12</c:f>
              <c:numCache>
                <c:formatCode>"$"#,##0_);[Red]\("$"#,##0\)</c:formatCode>
                <c:ptCount val="3"/>
                <c:pt idx="0">
                  <c:v>-6409.2598363218131</c:v>
                </c:pt>
                <c:pt idx="1">
                  <c:v>13715.276995932334</c:v>
                </c:pt>
                <c:pt idx="2">
                  <c:v>33839.813828186365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C-476B-AC52-1E09BD095DB6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061355760"/>
        <c:axId val="1061351184"/>
      </c:scatterChart>
      <c:valAx>
        <c:axId val="106135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latin typeface="Agency FB" panose="020B0503020202020204" pitchFamily="34" charset="0"/>
                  </a:rPr>
                  <a:t>Grow</a:t>
                </a:r>
                <a:r>
                  <a:rPr lang="en-US" sz="1200" b="1" baseline="0">
                    <a:latin typeface="Agency FB" panose="020B0503020202020204" pitchFamily="34" charset="0"/>
                  </a:rPr>
                  <a:t>th in Sales</a:t>
                </a:r>
                <a:endParaRPr lang="en-US" sz="1200" b="1">
                  <a:latin typeface="Agency FB" panose="020B0503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061351184"/>
        <c:crosses val="autoZero"/>
        <c:crossBetween val="midCat"/>
      </c:valAx>
      <c:valAx>
        <c:axId val="1061351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r>
                  <a:rPr lang="en-US" sz="1100" b="1">
                    <a:latin typeface="Agency FB" panose="020B0503020202020204" pitchFamily="34" charset="0"/>
                  </a:rPr>
                  <a:t>EFN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1061355760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 between EFN and the growth rate</a:t>
            </a:r>
          </a:p>
        </c:rich>
      </c:tx>
      <c:layout>
        <c:manualLayout>
          <c:xMode val="edge"/>
          <c:yMode val="edge"/>
          <c:x val="0.17674724859167307"/>
          <c:y val="2.913163638365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'21.&amp; 22. &amp; 23. &amp; 24. &amp; 25.'!$R$29:$T$29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</c:numCache>
            </c:numRef>
          </c:xVal>
          <c:yVal>
            <c:numRef>
              <c:f>'21.&amp; 22. &amp; 23. &amp; 24. &amp; 25.'!$R$39:$T$39</c:f>
              <c:numCache>
                <c:formatCode>"$"#,##0_);[Red]\("$"#,##0\)</c:formatCode>
                <c:ptCount val="3"/>
                <c:pt idx="0">
                  <c:v>13715.276995932334</c:v>
                </c:pt>
                <c:pt idx="1">
                  <c:v>53964.350660440454</c:v>
                </c:pt>
                <c:pt idx="2">
                  <c:v>74088.887492694717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E-4BF8-BCF0-01F0D5B26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74696"/>
        <c:axId val="89775024"/>
      </c:scatterChart>
      <c:valAx>
        <c:axId val="89774696"/>
        <c:scaling>
          <c:orientation val="minMax"/>
          <c:max val="0.35000000000000003"/>
          <c:min val="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Narrow" panose="020B0606020202030204" pitchFamily="34" charset="0"/>
                  </a:rPr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9775024"/>
        <c:crosses val="autoZero"/>
        <c:crossBetween val="midCat"/>
      </c:valAx>
      <c:valAx>
        <c:axId val="89775024"/>
        <c:scaling>
          <c:orientation val="minMax"/>
          <c:max val="75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Arial Narrow" panose="020B0606020202030204" pitchFamily="34" charset="0"/>
                  </a:rPr>
                  <a:t>EFN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8977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1400">
                <a:latin typeface="Arial Narrow" panose="020B0606020202030204" pitchFamily="34" charset="0"/>
              </a:rPr>
              <a:t>Relationship between EFN and Excess (Deficit) debt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'21.&amp; 22. &amp; 23. &amp; 24. &amp; 25.'!$P$40</c:f>
              <c:strCache>
                <c:ptCount val="1"/>
                <c:pt idx="0">
                  <c:v>EFN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'21.&amp; 22. &amp; 23. &amp; 24. &amp; 25.'!$R$29:$T$29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</c:numCache>
            </c:numRef>
          </c:cat>
          <c:val>
            <c:numRef>
              <c:f>'21.&amp; 22. &amp; 23. &amp; 24. &amp; 25.'!$R$40:$T$40</c:f>
              <c:numCache>
                <c:formatCode>"$"#,##0_);[Red]\("$"#,##0\)</c:formatCode>
                <c:ptCount val="3"/>
                <c:pt idx="0">
                  <c:v>50213.148311364464</c:v>
                </c:pt>
                <c:pt idx="1">
                  <c:v>49402.542518926959</c:v>
                </c:pt>
                <c:pt idx="2">
                  <c:v>48997.239622708119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AC-49FA-B747-0EAF088BEE2C}"/>
            </c:ext>
          </c:extLst>
        </c:ser>
        <c:ser>
          <c:idx val="1"/>
          <c:order val="1"/>
          <c:tx>
            <c:strRef>
              <c:f>'21.&amp; 22. &amp; 23. &amp; 24. &amp; 25.'!$P$41</c:f>
              <c:strCache>
                <c:ptCount val="1"/>
                <c:pt idx="0">
                  <c:v>Excess (Deficit) debt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'21.&amp; 22. &amp; 23. &amp; 24. &amp; 25.'!$R$29:$T$29</c:f>
              <c:numCache>
                <c:formatCode>0%</c:formatCode>
                <c:ptCount val="3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</c:numCache>
            </c:numRef>
          </c:cat>
          <c:val>
            <c:numRef>
              <c:f>'21.&amp; 22. &amp; 23. &amp; 24. &amp; 25.'!$R$41:$T$41</c:f>
              <c:numCache>
                <c:formatCode>"$"#,##0_);[Red]\("$"#,##0\)</c:formatCode>
                <c:ptCount val="3"/>
                <c:pt idx="0">
                  <c:v>-36497.87131543213</c:v>
                </c:pt>
                <c:pt idx="1">
                  <c:v>4561.8081415134948</c:v>
                </c:pt>
                <c:pt idx="2">
                  <c:v>25091.647869986598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AC-49FA-B747-0EAF088BE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80168"/>
        <c:axId val="392372624"/>
      </c:areaChart>
      <c:catAx>
        <c:axId val="392380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2372624"/>
        <c:crosses val="autoZero"/>
        <c:auto val="1"/>
        <c:lblAlgn val="ctr"/>
        <c:lblOffset val="100"/>
        <c:noMultiLvlLbl val="0"/>
      </c:catAx>
      <c:valAx>
        <c:axId val="392372624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39238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98177</xdr:colOff>
      <xdr:row>4</xdr:row>
      <xdr:rowOff>0</xdr:rowOff>
    </xdr:from>
    <xdr:ext cx="44450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9E6EE134-E96E-4998-BCF2-25ED930438B8}"/>
            </a:ext>
          </a:extLst>
        </xdr:cNvPr>
        <xdr:cNvSpPr/>
      </xdr:nvSpPr>
      <xdr:spPr>
        <a:xfrm>
          <a:off x="2155577" y="771013"/>
          <a:ext cx="444500" cy="0"/>
        </a:xfrm>
        <a:custGeom>
          <a:avLst/>
          <a:gdLst/>
          <a:ahLst/>
          <a:cxnLst/>
          <a:rect l="0" t="0" r="0" b="0"/>
          <a:pathLst>
            <a:path w="444500">
              <a:moveTo>
                <a:pt x="0" y="0"/>
              </a:moveTo>
              <a:lnTo>
                <a:pt x="444106" y="0"/>
              </a:lnTo>
            </a:path>
          </a:pathLst>
        </a:custGeom>
        <a:ln w="5295">
          <a:solidFill>
            <a:srgbClr val="231F20"/>
          </a:solidFill>
        </a:ln>
      </xdr:spPr>
    </xdr:sp>
    <xdr:clientData/>
  </xdr:oneCellAnchor>
  <xdr:oneCellAnchor>
    <xdr:from>
      <xdr:col>5</xdr:col>
      <xdr:colOff>95589</xdr:colOff>
      <xdr:row>4</xdr:row>
      <xdr:rowOff>0</xdr:rowOff>
    </xdr:from>
    <xdr:ext cx="466725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A17DB3C8-A9BF-4923-9E8F-1CEAECCDB8E0}"/>
            </a:ext>
          </a:extLst>
        </xdr:cNvPr>
        <xdr:cNvSpPr/>
      </xdr:nvSpPr>
      <xdr:spPr>
        <a:xfrm>
          <a:off x="3343614" y="771013"/>
          <a:ext cx="466725" cy="0"/>
        </a:xfrm>
        <a:custGeom>
          <a:avLst/>
          <a:gdLst/>
          <a:ahLst/>
          <a:cxnLst/>
          <a:rect l="0" t="0" r="0" b="0"/>
          <a:pathLst>
            <a:path w="466725">
              <a:moveTo>
                <a:pt x="0" y="0"/>
              </a:moveTo>
              <a:lnTo>
                <a:pt x="466128" y="0"/>
              </a:lnTo>
            </a:path>
          </a:pathLst>
        </a:custGeom>
        <a:ln w="5295">
          <a:solidFill>
            <a:srgbClr val="231F20"/>
          </a:solidFill>
        </a:ln>
      </xdr:spPr>
    </xdr:sp>
    <xdr:clientData/>
  </xdr:oneCellAnchor>
  <xdr:oneCellAnchor>
    <xdr:from>
      <xdr:col>3</xdr:col>
      <xdr:colOff>98177</xdr:colOff>
      <xdr:row>11</xdr:row>
      <xdr:rowOff>0</xdr:rowOff>
    </xdr:from>
    <xdr:ext cx="444500" cy="0"/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380774D7-E845-4243-8384-7974C39C3121}"/>
            </a:ext>
          </a:extLst>
        </xdr:cNvPr>
        <xdr:cNvSpPr/>
      </xdr:nvSpPr>
      <xdr:spPr>
        <a:xfrm>
          <a:off x="2347542" y="849923"/>
          <a:ext cx="444500" cy="0"/>
        </a:xfrm>
        <a:custGeom>
          <a:avLst/>
          <a:gdLst/>
          <a:ahLst/>
          <a:cxnLst/>
          <a:rect l="0" t="0" r="0" b="0"/>
          <a:pathLst>
            <a:path w="444500">
              <a:moveTo>
                <a:pt x="0" y="0"/>
              </a:moveTo>
              <a:lnTo>
                <a:pt x="444106" y="0"/>
              </a:lnTo>
            </a:path>
          </a:pathLst>
        </a:custGeom>
        <a:ln w="5295">
          <a:solidFill>
            <a:srgbClr val="231F20"/>
          </a:solidFill>
        </a:ln>
      </xdr:spPr>
    </xdr:sp>
    <xdr:clientData/>
  </xdr:oneCellAnchor>
  <xdr:oneCellAnchor>
    <xdr:from>
      <xdr:col>5</xdr:col>
      <xdr:colOff>95589</xdr:colOff>
      <xdr:row>11</xdr:row>
      <xdr:rowOff>0</xdr:rowOff>
    </xdr:from>
    <xdr:ext cx="466725" cy="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65C75D0A-7152-4E7C-ACCF-3FE3EDDF25AC}"/>
            </a:ext>
          </a:extLst>
        </xdr:cNvPr>
        <xdr:cNvSpPr/>
      </xdr:nvSpPr>
      <xdr:spPr>
        <a:xfrm>
          <a:off x="3487954" y="849923"/>
          <a:ext cx="466725" cy="0"/>
        </a:xfrm>
        <a:custGeom>
          <a:avLst/>
          <a:gdLst/>
          <a:ahLst/>
          <a:cxnLst/>
          <a:rect l="0" t="0" r="0" b="0"/>
          <a:pathLst>
            <a:path w="466725">
              <a:moveTo>
                <a:pt x="0" y="0"/>
              </a:moveTo>
              <a:lnTo>
                <a:pt x="466128" y="0"/>
              </a:lnTo>
            </a:path>
          </a:pathLst>
        </a:custGeom>
        <a:ln w="5295">
          <a:solidFill>
            <a:srgbClr val="231F20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69606</xdr:colOff>
      <xdr:row>0</xdr:row>
      <xdr:rowOff>183178</xdr:rowOff>
    </xdr:from>
    <xdr:to>
      <xdr:col>33</xdr:col>
      <xdr:colOff>384664</xdr:colOff>
      <xdr:row>12</xdr:row>
      <xdr:rowOff>68878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DD3E55-5600-46B5-A6DB-D9872AE65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243988</xdr:colOff>
      <xdr:row>27</xdr:row>
      <xdr:rowOff>164855</xdr:rowOff>
    </xdr:from>
    <xdr:to>
      <xdr:col>33</xdr:col>
      <xdr:colOff>494567</xdr:colOff>
      <xdr:row>39</xdr:row>
      <xdr:rowOff>120162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5ED28D-FD02-7D24-A440-121DA5D55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231913</xdr:colOff>
      <xdr:row>40</xdr:row>
      <xdr:rowOff>24848</xdr:rowOff>
    </xdr:from>
    <xdr:to>
      <xdr:col>34</xdr:col>
      <xdr:colOff>182217</xdr:colOff>
      <xdr:row>53</xdr:row>
      <xdr:rowOff>107673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0635E-885D-EEEF-870D-743D07E23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6EB2-21BE-42A8-AB51-D8AC3B44B193}">
  <dimension ref="A1:B4"/>
  <sheetViews>
    <sheetView showGridLines="0" zoomScale="130" zoomScaleNormal="130" workbookViewId="0">
      <selection activeCell="A17" sqref="A17"/>
    </sheetView>
  </sheetViews>
  <sheetFormatPr defaultRowHeight="15.05" x14ac:dyDescent="0.3"/>
  <cols>
    <col min="1" max="1" width="18.88671875" bestFit="1" customWidth="1"/>
  </cols>
  <sheetData>
    <row r="1" spans="1:2" ht="15.65" x14ac:dyDescent="0.3">
      <c r="A1" s="71" t="s">
        <v>0</v>
      </c>
      <c r="B1" s="71">
        <v>1.35</v>
      </c>
    </row>
    <row r="2" spans="1:2" ht="15.65" x14ac:dyDescent="0.3">
      <c r="A2" s="71" t="s">
        <v>1</v>
      </c>
      <c r="B2" s="71">
        <v>1.87</v>
      </c>
    </row>
    <row r="3" spans="1:2" ht="15.65" x14ac:dyDescent="0.3">
      <c r="A3" s="71" t="s">
        <v>2</v>
      </c>
      <c r="B3" s="72">
        <v>6.0999999999999999E-2</v>
      </c>
    </row>
    <row r="4" spans="1:2" ht="15.65" x14ac:dyDescent="0.3">
      <c r="A4" s="73" t="s">
        <v>3</v>
      </c>
      <c r="B4" s="74">
        <f>B3*B2*B1</f>
        <v>0.15399450000000001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9D90-759C-4CF5-8749-8E9596621D97}">
  <dimension ref="A1:B6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24.33203125" bestFit="1" customWidth="1"/>
  </cols>
  <sheetData>
    <row r="1" spans="1:2" ht="15.65" x14ac:dyDescent="0.3">
      <c r="A1" s="73" t="s">
        <v>3</v>
      </c>
      <c r="B1" s="74">
        <v>0.121</v>
      </c>
    </row>
    <row r="2" spans="1:2" ht="15.65" x14ac:dyDescent="0.3">
      <c r="A2" s="71" t="s">
        <v>24</v>
      </c>
      <c r="B2" s="71">
        <v>0.25</v>
      </c>
    </row>
    <row r="3" spans="1:2" ht="15.65" x14ac:dyDescent="0.3">
      <c r="A3" s="71" t="s">
        <v>32</v>
      </c>
      <c r="B3" s="71">
        <f>1-B2</f>
        <v>0.75</v>
      </c>
    </row>
    <row r="4" spans="1:2" ht="15.65" x14ac:dyDescent="0.3">
      <c r="A4" s="1"/>
      <c r="B4" s="1"/>
    </row>
    <row r="5" spans="1:2" ht="15.65" x14ac:dyDescent="0.3">
      <c r="A5" s="2" t="s">
        <v>51</v>
      </c>
      <c r="B5" s="1"/>
    </row>
    <row r="6" spans="1:2" ht="15.65" x14ac:dyDescent="0.3">
      <c r="A6" s="73" t="s">
        <v>36</v>
      </c>
      <c r="B6" s="74">
        <f>(B1*B3)/(1-(B1*B3))</f>
        <v>9.980753368160572E-2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AE1AB-1266-4613-AAA6-2DB5F0032C59}">
  <dimension ref="A1:B2"/>
  <sheetViews>
    <sheetView showGridLines="0" zoomScale="130" zoomScaleNormal="130" workbookViewId="0">
      <selection sqref="A1:B1"/>
    </sheetView>
  </sheetViews>
  <sheetFormatPr defaultRowHeight="15.05" x14ac:dyDescent="0.3"/>
  <sheetData>
    <row r="1" spans="1:2" ht="15.65" x14ac:dyDescent="0.3">
      <c r="A1" s="73" t="s">
        <v>138</v>
      </c>
      <c r="B1" s="74">
        <f>0.08/0.65</f>
        <v>0.12307692307692307</v>
      </c>
    </row>
    <row r="2" spans="1:2" ht="15.65" x14ac:dyDescent="0.3">
      <c r="A2" s="73" t="s">
        <v>139</v>
      </c>
      <c r="B2" s="74">
        <f>0.07/0.55</f>
        <v>0.12727272727272729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240D-4355-448E-817D-195C0EE9D972}">
  <dimension ref="A1:B2"/>
  <sheetViews>
    <sheetView showGridLines="0" zoomScale="130" zoomScaleNormal="130" workbookViewId="0">
      <selection sqref="A1:B1"/>
    </sheetView>
  </sheetViews>
  <sheetFormatPr defaultRowHeight="15.05" x14ac:dyDescent="0.3"/>
  <cols>
    <col min="2" max="2" width="12.33203125" bestFit="1" customWidth="1"/>
  </cols>
  <sheetData>
    <row r="1" spans="1:2" ht="15.65" x14ac:dyDescent="0.3">
      <c r="A1" s="73" t="s">
        <v>56</v>
      </c>
      <c r="B1" s="74">
        <f>-18137/279386</f>
        <v>-6.4917354484476678E-2</v>
      </c>
    </row>
    <row r="2" spans="1:2" ht="15.65" x14ac:dyDescent="0.3">
      <c r="A2" s="73" t="s">
        <v>85</v>
      </c>
      <c r="B2" s="76">
        <f>359815*B1</f>
        <v>-23358.237903831974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85E0-6AE3-4C89-8A31-4472FF6FDB47}">
  <dimension ref="A1:D61"/>
  <sheetViews>
    <sheetView showGridLines="0" topLeftCell="A53" zoomScale="145" zoomScaleNormal="145" workbookViewId="0">
      <selection sqref="A1:D1"/>
    </sheetView>
  </sheetViews>
  <sheetFormatPr defaultRowHeight="15.05" x14ac:dyDescent="0.3"/>
  <cols>
    <col min="1" max="1" width="14.6640625" bestFit="1" customWidth="1"/>
    <col min="2" max="2" width="13.44140625" bestFit="1" customWidth="1"/>
    <col min="3" max="3" width="27.44140625" bestFit="1" customWidth="1"/>
    <col min="4" max="4" width="11.33203125" bestFit="1" customWidth="1"/>
    <col min="6" max="7" width="9.109375" customWidth="1"/>
  </cols>
  <sheetData>
    <row r="1" spans="1:4" x14ac:dyDescent="0.3">
      <c r="A1" s="188" t="s">
        <v>73</v>
      </c>
      <c r="B1" s="188"/>
      <c r="C1" s="188"/>
      <c r="D1" s="188"/>
    </row>
    <row r="2" spans="1:4" x14ac:dyDescent="0.3">
      <c r="A2" s="189" t="s">
        <v>74</v>
      </c>
      <c r="B2" s="189"/>
      <c r="C2" s="189" t="s">
        <v>75</v>
      </c>
      <c r="D2" s="189"/>
    </row>
    <row r="3" spans="1:4" ht="20.2" customHeight="1" x14ac:dyDescent="0.3">
      <c r="A3" s="33" t="s">
        <v>64</v>
      </c>
      <c r="B3" s="147">
        <v>6900000</v>
      </c>
      <c r="C3" s="34" t="s">
        <v>67</v>
      </c>
      <c r="D3" s="147">
        <v>5100000</v>
      </c>
    </row>
    <row r="4" spans="1:4" ht="21" customHeight="1" x14ac:dyDescent="0.3">
      <c r="A4" s="8"/>
      <c r="B4" s="112"/>
      <c r="C4" s="34" t="s">
        <v>68</v>
      </c>
      <c r="D4" s="147">
        <v>5800000</v>
      </c>
    </row>
    <row r="5" spans="1:4" x14ac:dyDescent="0.3">
      <c r="A5" s="33" t="s">
        <v>65</v>
      </c>
      <c r="B5" s="147">
        <v>17300000</v>
      </c>
      <c r="C5" s="8"/>
      <c r="D5" s="112"/>
    </row>
    <row r="6" spans="1:4" x14ac:dyDescent="0.3">
      <c r="A6" s="8"/>
      <c r="B6" s="112"/>
      <c r="C6" s="34" t="s">
        <v>69</v>
      </c>
      <c r="D6" s="147">
        <v>3100000</v>
      </c>
    </row>
    <row r="7" spans="1:4" x14ac:dyDescent="0.3">
      <c r="A7" s="8"/>
      <c r="B7" s="112"/>
      <c r="C7" s="34" t="s">
        <v>72</v>
      </c>
      <c r="D7" s="147">
        <v>10200000</v>
      </c>
    </row>
    <row r="8" spans="1:4" x14ac:dyDescent="0.3">
      <c r="A8" s="8"/>
      <c r="B8" s="112"/>
      <c r="C8" s="35" t="s">
        <v>70</v>
      </c>
      <c r="D8" s="147">
        <v>13300000</v>
      </c>
    </row>
    <row r="9" spans="1:4" x14ac:dyDescent="0.3">
      <c r="A9" s="36" t="s">
        <v>66</v>
      </c>
      <c r="B9" s="148">
        <v>24200000</v>
      </c>
      <c r="C9" s="37" t="s">
        <v>71</v>
      </c>
      <c r="D9" s="148">
        <v>24200000</v>
      </c>
    </row>
    <row r="11" spans="1:4" ht="20.2" customHeight="1" x14ac:dyDescent="0.3">
      <c r="A11" s="188" t="s">
        <v>76</v>
      </c>
      <c r="B11" s="188"/>
    </row>
    <row r="12" spans="1:4" x14ac:dyDescent="0.3">
      <c r="A12" s="33" t="s">
        <v>8</v>
      </c>
      <c r="B12" s="38">
        <v>21860000</v>
      </c>
    </row>
    <row r="13" spans="1:4" x14ac:dyDescent="0.3">
      <c r="A13" s="33" t="s">
        <v>77</v>
      </c>
      <c r="B13" s="38">
        <v>19450000</v>
      </c>
    </row>
    <row r="14" spans="1:4" x14ac:dyDescent="0.3">
      <c r="A14" s="33" t="s">
        <v>78</v>
      </c>
      <c r="B14" s="38">
        <v>2410000</v>
      </c>
    </row>
    <row r="15" spans="1:4" x14ac:dyDescent="0.3">
      <c r="A15" s="33" t="s">
        <v>79</v>
      </c>
      <c r="B15" s="38">
        <v>602500</v>
      </c>
    </row>
    <row r="16" spans="1:4" x14ac:dyDescent="0.3">
      <c r="A16" s="36" t="s">
        <v>62</v>
      </c>
      <c r="B16" s="39">
        <v>1807500</v>
      </c>
    </row>
    <row r="17" spans="1:3" x14ac:dyDescent="0.3">
      <c r="A17" s="33" t="s">
        <v>25</v>
      </c>
      <c r="B17" s="38">
        <v>361500</v>
      </c>
    </row>
    <row r="18" spans="1:3" ht="35.25" customHeight="1" x14ac:dyDescent="0.3">
      <c r="A18" s="33" t="s">
        <v>80</v>
      </c>
      <c r="B18" s="38">
        <v>1446000</v>
      </c>
    </row>
    <row r="20" spans="1:3" ht="15.65" x14ac:dyDescent="0.3">
      <c r="A20" s="2" t="s">
        <v>51</v>
      </c>
      <c r="B20" s="1"/>
    </row>
    <row r="21" spans="1:3" ht="15.65" x14ac:dyDescent="0.3">
      <c r="A21" s="71" t="s">
        <v>54</v>
      </c>
      <c r="B21" s="74"/>
    </row>
    <row r="22" spans="1:3" ht="15.65" x14ac:dyDescent="0.3">
      <c r="A22" s="71" t="s">
        <v>58</v>
      </c>
      <c r="B22" s="77"/>
    </row>
    <row r="23" spans="1:3" ht="30.7" x14ac:dyDescent="0.3">
      <c r="A23" s="85" t="s">
        <v>81</v>
      </c>
      <c r="B23" s="74"/>
    </row>
    <row r="24" spans="1:3" ht="15.65" x14ac:dyDescent="0.3">
      <c r="A24" s="73" t="s">
        <v>11</v>
      </c>
      <c r="B24" s="74">
        <f>B16/B12</f>
        <v>8.2685269899359565E-2</v>
      </c>
    </row>
    <row r="25" spans="1:3" ht="15.65" x14ac:dyDescent="0.3">
      <c r="A25" s="71" t="s">
        <v>82</v>
      </c>
      <c r="B25" s="78">
        <v>0.15</v>
      </c>
    </row>
    <row r="26" spans="1:3" ht="15.65" x14ac:dyDescent="0.3">
      <c r="A26" s="71" t="s">
        <v>160</v>
      </c>
      <c r="B26" s="86">
        <f>1-(B17/B16)</f>
        <v>0.8</v>
      </c>
    </row>
    <row r="27" spans="1:3" ht="15.65" x14ac:dyDescent="0.3">
      <c r="A27" s="73" t="s">
        <v>27</v>
      </c>
      <c r="B27" s="77">
        <f>-B24*(B12)*B26+(B9-D3-B24*(B12)*B26)*B25</f>
        <v>1202100</v>
      </c>
      <c r="C27" s="60"/>
    </row>
    <row r="28" spans="1:3" ht="15.65" x14ac:dyDescent="0.3">
      <c r="A28" s="2"/>
      <c r="B28" s="40"/>
    </row>
    <row r="29" spans="1:3" ht="15.65" x14ac:dyDescent="0.3">
      <c r="A29" s="73" t="s">
        <v>7</v>
      </c>
      <c r="B29" s="77">
        <f>(B12*(1+B25))*B24</f>
        <v>2078624.9999999998</v>
      </c>
      <c r="C29" s="54"/>
    </row>
    <row r="30" spans="1:3" ht="15.65" x14ac:dyDescent="0.3">
      <c r="A30" s="71" t="s">
        <v>63</v>
      </c>
      <c r="B30" s="77">
        <f>B29*B26</f>
        <v>1662900</v>
      </c>
      <c r="C30" s="54"/>
    </row>
    <row r="31" spans="1:3" ht="15.65" x14ac:dyDescent="0.3">
      <c r="A31" s="71" t="s">
        <v>23</v>
      </c>
      <c r="B31" s="78">
        <f>B25</f>
        <v>0.15</v>
      </c>
    </row>
    <row r="32" spans="1:3" ht="15.65" x14ac:dyDescent="0.3">
      <c r="A32" s="2" t="s">
        <v>53</v>
      </c>
    </row>
    <row r="33" spans="1:4" x14ac:dyDescent="0.3">
      <c r="A33" s="187" t="s">
        <v>83</v>
      </c>
      <c r="B33" s="188"/>
      <c r="C33" s="188"/>
      <c r="D33" s="188"/>
    </row>
    <row r="34" spans="1:4" x14ac:dyDescent="0.3">
      <c r="A34" s="189" t="s">
        <v>74</v>
      </c>
      <c r="B34" s="189"/>
      <c r="C34" s="189" t="s">
        <v>75</v>
      </c>
      <c r="D34" s="189"/>
    </row>
    <row r="35" spans="1:4" x14ac:dyDescent="0.3">
      <c r="A35" s="33" t="s">
        <v>64</v>
      </c>
      <c r="B35" s="147">
        <f>$B3*(1+$B$31)</f>
        <v>7934999.9999999991</v>
      </c>
      <c r="C35" s="34" t="s">
        <v>67</v>
      </c>
      <c r="D35" s="147">
        <f>$D$3*(1+$B$31)</f>
        <v>5865000</v>
      </c>
    </row>
    <row r="36" spans="1:4" x14ac:dyDescent="0.3">
      <c r="A36" s="8"/>
      <c r="B36" s="112"/>
      <c r="C36" s="34" t="s">
        <v>68</v>
      </c>
      <c r="D36" s="147">
        <v>5800000</v>
      </c>
    </row>
    <row r="37" spans="1:4" x14ac:dyDescent="0.3">
      <c r="A37" s="33" t="s">
        <v>65</v>
      </c>
      <c r="B37" s="147">
        <f>$B5*(1+$B$31)</f>
        <v>19895000</v>
      </c>
      <c r="C37" s="8"/>
      <c r="D37" s="112"/>
    </row>
    <row r="38" spans="1:4" x14ac:dyDescent="0.3">
      <c r="A38" s="8"/>
      <c r="B38" s="112"/>
      <c r="C38" s="34" t="s">
        <v>69</v>
      </c>
      <c r="D38" s="147">
        <v>3100000</v>
      </c>
    </row>
    <row r="39" spans="1:4" x14ac:dyDescent="0.3">
      <c r="A39" s="8"/>
      <c r="B39" s="112"/>
      <c r="C39" s="34" t="s">
        <v>72</v>
      </c>
      <c r="D39" s="147">
        <f>D7+B30</f>
        <v>11862900</v>
      </c>
    </row>
    <row r="40" spans="1:4" x14ac:dyDescent="0.3">
      <c r="A40" s="8"/>
      <c r="B40" s="112"/>
      <c r="C40" s="35" t="s">
        <v>70</v>
      </c>
      <c r="D40" s="147">
        <f>SUM(D38:D39)</f>
        <v>14962900</v>
      </c>
    </row>
    <row r="41" spans="1:4" x14ac:dyDescent="0.3">
      <c r="A41" s="36" t="s">
        <v>66</v>
      </c>
      <c r="B41" s="148">
        <f>B37+B35</f>
        <v>27830000</v>
      </c>
      <c r="C41" s="37" t="s">
        <v>71</v>
      </c>
      <c r="D41" s="148">
        <f>D40+D36+D35</f>
        <v>26627900</v>
      </c>
    </row>
    <row r="43" spans="1:4" ht="15.65" x14ac:dyDescent="0.3">
      <c r="A43" s="73" t="s">
        <v>27</v>
      </c>
      <c r="B43" s="77">
        <f>B41-D41</f>
        <v>1202100</v>
      </c>
    </row>
    <row r="45" spans="1:4" ht="15.65" x14ac:dyDescent="0.3">
      <c r="A45" s="2" t="s">
        <v>61</v>
      </c>
      <c r="B45" s="1"/>
    </row>
    <row r="46" spans="1:4" ht="15.65" x14ac:dyDescent="0.3">
      <c r="A46" s="73" t="s">
        <v>3</v>
      </c>
      <c r="B46" s="74">
        <f>B16/D8</f>
        <v>0.13590225563909775</v>
      </c>
    </row>
    <row r="47" spans="1:4" ht="15.65" x14ac:dyDescent="0.3">
      <c r="A47" s="71" t="s">
        <v>32</v>
      </c>
      <c r="B47" s="86">
        <f>B26</f>
        <v>0.8</v>
      </c>
    </row>
    <row r="48" spans="1:4" ht="15.65" x14ac:dyDescent="0.3">
      <c r="A48" s="73" t="s">
        <v>84</v>
      </c>
      <c r="B48" s="74">
        <f>(B46*B47)/(1-(B46*B47))</f>
        <v>0.12198414037455713</v>
      </c>
    </row>
    <row r="50" spans="1:4" ht="15.65" x14ac:dyDescent="0.3">
      <c r="A50" s="2" t="s">
        <v>166</v>
      </c>
    </row>
    <row r="51" spans="1:4" x14ac:dyDescent="0.3">
      <c r="A51" s="187" t="s">
        <v>83</v>
      </c>
      <c r="B51" s="188"/>
      <c r="C51" s="188"/>
      <c r="D51" s="188"/>
    </row>
    <row r="52" spans="1:4" x14ac:dyDescent="0.3">
      <c r="A52" s="189" t="s">
        <v>74</v>
      </c>
      <c r="B52" s="189"/>
      <c r="C52" s="189" t="s">
        <v>75</v>
      </c>
      <c r="D52" s="189"/>
    </row>
    <row r="53" spans="1:4" x14ac:dyDescent="0.3">
      <c r="A53" s="33" t="s">
        <v>64</v>
      </c>
      <c r="B53" s="147">
        <f>$B35</f>
        <v>7934999.9999999991</v>
      </c>
      <c r="C53" s="34" t="s">
        <v>67</v>
      </c>
      <c r="D53" s="147">
        <f>$D35</f>
        <v>5865000</v>
      </c>
    </row>
    <row r="54" spans="1:4" x14ac:dyDescent="0.3">
      <c r="A54" s="8"/>
      <c r="B54" s="112"/>
      <c r="C54" s="34" t="s">
        <v>68</v>
      </c>
      <c r="D54" s="147">
        <f>$D36</f>
        <v>5800000</v>
      </c>
    </row>
    <row r="55" spans="1:4" x14ac:dyDescent="0.3">
      <c r="A55" s="33" t="s">
        <v>65</v>
      </c>
      <c r="B55" s="147">
        <f>$B37</f>
        <v>19895000</v>
      </c>
      <c r="C55" s="8"/>
      <c r="D55" s="112"/>
    </row>
    <row r="56" spans="1:4" x14ac:dyDescent="0.3">
      <c r="A56" s="8"/>
      <c r="B56" s="112"/>
      <c r="C56" s="34" t="s">
        <v>69</v>
      </c>
      <c r="D56" s="147">
        <v>3100000</v>
      </c>
    </row>
    <row r="57" spans="1:4" x14ac:dyDescent="0.3">
      <c r="A57" s="8"/>
      <c r="B57" s="112"/>
      <c r="C57" s="34" t="s">
        <v>72</v>
      </c>
      <c r="D57" s="147">
        <f>D7+B29</f>
        <v>12278625</v>
      </c>
    </row>
    <row r="58" spans="1:4" x14ac:dyDescent="0.3">
      <c r="A58" s="8"/>
      <c r="B58" s="112"/>
      <c r="C58" s="35" t="s">
        <v>70</v>
      </c>
      <c r="D58" s="147">
        <f>SUM(D56:D57)</f>
        <v>15378625</v>
      </c>
    </row>
    <row r="59" spans="1:4" x14ac:dyDescent="0.3">
      <c r="A59" s="36" t="s">
        <v>66</v>
      </c>
      <c r="B59" s="148">
        <f>B55+B53</f>
        <v>27830000</v>
      </c>
      <c r="C59" s="37" t="s">
        <v>71</v>
      </c>
      <c r="D59" s="148">
        <f>D58+D54+D53</f>
        <v>27043625</v>
      </c>
    </row>
    <row r="61" spans="1:4" ht="15.65" x14ac:dyDescent="0.3">
      <c r="A61" s="73" t="s">
        <v>27</v>
      </c>
      <c r="B61" s="77">
        <f>B59-D59</f>
        <v>786375</v>
      </c>
    </row>
  </sheetData>
  <mergeCells count="10">
    <mergeCell ref="A51:D51"/>
    <mergeCell ref="A52:B52"/>
    <mergeCell ref="C52:D52"/>
    <mergeCell ref="A1:D1"/>
    <mergeCell ref="A11:B11"/>
    <mergeCell ref="A33:D33"/>
    <mergeCell ref="A34:B34"/>
    <mergeCell ref="C34:D34"/>
    <mergeCell ref="A2:B2"/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C0B5-011A-4593-8D19-9D0FB77F52B1}">
  <dimension ref="A1:C7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25.5546875" bestFit="1" customWidth="1"/>
    <col min="2" max="3" width="14.44140625" bestFit="1" customWidth="1"/>
  </cols>
  <sheetData>
    <row r="1" spans="1:3" ht="15.65" x14ac:dyDescent="0.3">
      <c r="A1" s="73" t="s">
        <v>85</v>
      </c>
      <c r="B1" s="77">
        <v>386000</v>
      </c>
      <c r="C1" s="1"/>
    </row>
    <row r="2" spans="1:3" ht="15.65" x14ac:dyDescent="0.3">
      <c r="A2" s="73" t="s">
        <v>11</v>
      </c>
      <c r="B2" s="74">
        <v>8.5999999999999993E-2</v>
      </c>
      <c r="C2" s="1"/>
    </row>
    <row r="3" spans="1:3" ht="15.65" x14ac:dyDescent="0.3">
      <c r="A3" s="71" t="s">
        <v>86</v>
      </c>
      <c r="B3" s="77">
        <v>191300</v>
      </c>
      <c r="C3" s="1"/>
    </row>
    <row r="4" spans="1:3" ht="15.65" x14ac:dyDescent="0.3">
      <c r="A4" s="71" t="s">
        <v>8</v>
      </c>
      <c r="B4" s="76">
        <f>B1/B2</f>
        <v>4488372.0930232564</v>
      </c>
      <c r="C4" s="4"/>
    </row>
    <row r="5" spans="1:3" ht="15.65" x14ac:dyDescent="0.3">
      <c r="A5" s="71" t="s">
        <v>87</v>
      </c>
      <c r="B5" s="76">
        <f>B4*0.8</f>
        <v>3590697.6744186054</v>
      </c>
      <c r="C5" s="4"/>
    </row>
    <row r="6" spans="1:3" ht="15.65" x14ac:dyDescent="0.3">
      <c r="A6" s="73" t="s">
        <v>88</v>
      </c>
      <c r="B6" s="87">
        <f>B5/B3</f>
        <v>18.769982615883979</v>
      </c>
      <c r="C6" s="1" t="s">
        <v>89</v>
      </c>
    </row>
    <row r="7" spans="1:3" ht="15.65" x14ac:dyDescent="0.3">
      <c r="A7" s="73" t="s">
        <v>90</v>
      </c>
      <c r="B7" s="87">
        <f>365/B6</f>
        <v>19.445942357512951</v>
      </c>
      <c r="C7" s="1" t="s"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6BD3-EE6F-4F70-A169-29C6DEC8DE63}">
  <dimension ref="A1:D6"/>
  <sheetViews>
    <sheetView showGridLines="0" zoomScale="160" zoomScaleNormal="160" workbookViewId="0">
      <selection activeCell="B5" sqref="B5"/>
    </sheetView>
  </sheetViews>
  <sheetFormatPr defaultRowHeight="15.05" x14ac:dyDescent="0.3"/>
  <cols>
    <col min="1" max="1" width="14.88671875" style="168" bestFit="1" customWidth="1"/>
    <col min="2" max="2" width="11.5546875" style="168" bestFit="1" customWidth="1"/>
    <col min="3" max="3" width="10.44140625" style="168" bestFit="1" customWidth="1"/>
    <col min="4" max="4" width="11.5546875" style="168" bestFit="1" customWidth="1"/>
    <col min="5" max="16384" width="8.88671875" style="168"/>
  </cols>
  <sheetData>
    <row r="1" spans="1:4" ht="15.65" x14ac:dyDescent="0.3">
      <c r="A1" s="165" t="s">
        <v>92</v>
      </c>
      <c r="B1" s="166">
        <f>1450*(1+0.29)</f>
        <v>1870.5</v>
      </c>
      <c r="C1" s="167"/>
    </row>
    <row r="2" spans="1:4" ht="15.65" x14ac:dyDescent="0.3">
      <c r="A2" s="169" t="s">
        <v>85</v>
      </c>
      <c r="B2" s="166">
        <f>7380*0.081</f>
        <v>597.78</v>
      </c>
      <c r="C2" s="167"/>
      <c r="D2" s="170">
        <f>1/0.34</f>
        <v>2.9411764705882351</v>
      </c>
    </row>
    <row r="3" spans="1:4" ht="15.65" x14ac:dyDescent="0.3">
      <c r="A3" s="165" t="s">
        <v>37</v>
      </c>
      <c r="B3" s="166">
        <f>B2/0.143</f>
        <v>4180.2797202797201</v>
      </c>
      <c r="C3" s="167"/>
    </row>
    <row r="4" spans="1:4" ht="15.65" x14ac:dyDescent="0.3">
      <c r="A4" s="165" t="s">
        <v>48</v>
      </c>
      <c r="B4" s="171">
        <f>B3/(D2-1)</f>
        <v>2153.4774316592502</v>
      </c>
    </row>
    <row r="5" spans="1:4" ht="15.65" x14ac:dyDescent="0.3">
      <c r="A5" s="165" t="s">
        <v>93</v>
      </c>
      <c r="B5" s="166">
        <f>B3+B4+1450</f>
        <v>7783.7571519389703</v>
      </c>
    </row>
    <row r="6" spans="1:4" ht="15.65" x14ac:dyDescent="0.3">
      <c r="A6" s="165" t="s">
        <v>94</v>
      </c>
      <c r="B6" s="166">
        <f>B5-B1</f>
        <v>5913.2571519389703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BB64-C480-4FAF-9215-AF05FCF6D4A1}">
  <dimension ref="A1:C6"/>
  <sheetViews>
    <sheetView showGridLines="0" zoomScale="160" zoomScaleNormal="160" workbookViewId="0">
      <selection activeCell="B6" sqref="B6"/>
    </sheetView>
  </sheetViews>
  <sheetFormatPr defaultRowHeight="15.05" x14ac:dyDescent="0.3"/>
  <cols>
    <col min="1" max="1" width="21.109375" bestFit="1" customWidth="1"/>
    <col min="2" max="3" width="11.5546875" bestFit="1" customWidth="1"/>
  </cols>
  <sheetData>
    <row r="1" spans="1:3" ht="15.65" x14ac:dyDescent="0.3">
      <c r="A1" s="73" t="s">
        <v>85</v>
      </c>
      <c r="B1" s="77">
        <v>13150</v>
      </c>
      <c r="C1" s="1"/>
    </row>
    <row r="2" spans="1:3" ht="15.65" x14ac:dyDescent="0.3">
      <c r="A2" s="71" t="s">
        <v>141</v>
      </c>
      <c r="B2" s="77">
        <v>3460</v>
      </c>
      <c r="C2" s="1"/>
    </row>
    <row r="3" spans="1:3" ht="15.65" x14ac:dyDescent="0.3">
      <c r="A3" s="71" t="s">
        <v>140</v>
      </c>
      <c r="B3" s="77">
        <v>4380</v>
      </c>
      <c r="C3" s="1"/>
    </row>
    <row r="4" spans="1:3" ht="15.65" x14ac:dyDescent="0.3">
      <c r="A4" s="71" t="s">
        <v>142</v>
      </c>
      <c r="B4" s="78">
        <v>0.24</v>
      </c>
      <c r="C4" s="4"/>
    </row>
    <row r="5" spans="1:3" ht="15.65" x14ac:dyDescent="0.3">
      <c r="A5" s="73" t="s">
        <v>167</v>
      </c>
      <c r="B5" s="108">
        <f>(B1/(1-B4))+B2+B3</f>
        <v>25142.631578947367</v>
      </c>
      <c r="C5" s="4"/>
    </row>
    <row r="6" spans="1:3" ht="15.65" x14ac:dyDescent="0.3">
      <c r="A6" s="88" t="s">
        <v>143</v>
      </c>
      <c r="B6" s="87">
        <f>B5/B2</f>
        <v>7.2666565257073312</v>
      </c>
      <c r="C6" s="1" t="s">
        <v>89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BCB0-1F15-49DD-B8D3-4DE1E0E2CB1B}">
  <dimension ref="A1:N14"/>
  <sheetViews>
    <sheetView showGridLines="0" topLeftCell="F4" zoomScale="145" zoomScaleNormal="145" workbookViewId="0">
      <selection sqref="A1:B1"/>
    </sheetView>
  </sheetViews>
  <sheetFormatPr defaultRowHeight="15.05" x14ac:dyDescent="0.3"/>
  <cols>
    <col min="1" max="1" width="31.33203125" bestFit="1" customWidth="1"/>
    <col min="2" max="2" width="9" bestFit="1" customWidth="1"/>
    <col min="3" max="3" width="12.88671875" bestFit="1" customWidth="1"/>
    <col min="4" max="4" width="9" bestFit="1" customWidth="1"/>
    <col min="5" max="5" width="12.88671875" bestFit="1" customWidth="1"/>
    <col min="6" max="6" width="13.6640625" bestFit="1" customWidth="1"/>
    <col min="7" max="7" width="31.44140625" bestFit="1" customWidth="1"/>
    <col min="8" max="8" width="9" bestFit="1" customWidth="1"/>
    <col min="9" max="9" width="12.5546875" customWidth="1"/>
    <col min="10" max="10" width="9" bestFit="1" customWidth="1"/>
    <col min="11" max="11" width="12.88671875" bestFit="1" customWidth="1"/>
    <col min="12" max="12" width="13.6640625" bestFit="1" customWidth="1"/>
    <col min="13" max="13" width="9.109375" customWidth="1"/>
  </cols>
  <sheetData>
    <row r="1" spans="1:14" ht="41.95" customHeight="1" x14ac:dyDescent="0.3">
      <c r="A1" s="150" t="s">
        <v>106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</row>
    <row r="2" spans="1:14" ht="16.45" customHeight="1" x14ac:dyDescent="0.3">
      <c r="A2" s="190" t="s">
        <v>107</v>
      </c>
      <c r="B2" s="190"/>
      <c r="C2" s="190"/>
      <c r="D2" s="190"/>
      <c r="E2" s="190"/>
      <c r="F2" s="190"/>
      <c r="G2" s="191" t="s">
        <v>110</v>
      </c>
      <c r="H2" s="191"/>
      <c r="I2" s="191"/>
      <c r="J2" s="191"/>
      <c r="K2" s="191"/>
      <c r="L2" s="191"/>
    </row>
    <row r="3" spans="1:14" ht="28.8" x14ac:dyDescent="0.3">
      <c r="A3" s="47"/>
      <c r="B3" s="47"/>
      <c r="C3" s="15" t="s">
        <v>108</v>
      </c>
      <c r="D3" s="9"/>
      <c r="E3" s="15" t="s">
        <v>108</v>
      </c>
      <c r="F3" s="15" t="s">
        <v>109</v>
      </c>
      <c r="G3" s="49"/>
      <c r="H3" s="50"/>
      <c r="I3" s="15" t="s">
        <v>108</v>
      </c>
      <c r="J3" s="50"/>
      <c r="K3" s="15" t="s">
        <v>108</v>
      </c>
      <c r="L3" s="15" t="s">
        <v>109</v>
      </c>
    </row>
    <row r="4" spans="1:14" x14ac:dyDescent="0.3">
      <c r="A4" s="42" t="s">
        <v>46</v>
      </c>
      <c r="B4" s="111">
        <v>2018</v>
      </c>
      <c r="C4" s="111"/>
      <c r="D4" s="111">
        <v>2019</v>
      </c>
      <c r="E4" s="43"/>
      <c r="F4" s="43"/>
      <c r="G4" s="42" t="s">
        <v>99</v>
      </c>
      <c r="H4" s="115">
        <v>2018</v>
      </c>
      <c r="I4" s="115"/>
      <c r="J4" s="115">
        <v>2019</v>
      </c>
      <c r="K4" s="44"/>
      <c r="L4" s="44"/>
    </row>
    <row r="5" spans="1:14" ht="15.05" customHeight="1" x14ac:dyDescent="0.3">
      <c r="A5" s="19" t="s">
        <v>95</v>
      </c>
      <c r="B5" s="109">
        <v>11459</v>
      </c>
      <c r="C5" s="52">
        <f>$B5/$B$10</f>
        <v>2.8985250633001045E-2</v>
      </c>
      <c r="D5" s="109">
        <v>14453</v>
      </c>
      <c r="E5" s="52">
        <f>$D5/$D$10</f>
        <v>3.1298724922906342E-2</v>
      </c>
      <c r="F5" s="48">
        <f>D5/B5-1</f>
        <v>0.26127934374727291</v>
      </c>
      <c r="G5" s="19" t="s">
        <v>100</v>
      </c>
      <c r="H5" s="109">
        <v>58483</v>
      </c>
      <c r="I5" s="52">
        <f>$H5/$H$13</f>
        <v>0.14793126911334323</v>
      </c>
      <c r="J5" s="109">
        <v>66623</v>
      </c>
      <c r="K5" s="48">
        <f>$J5/$J$13</f>
        <v>0.14427557950174977</v>
      </c>
      <c r="L5" s="48">
        <f>J5/H5-1</f>
        <v>0.13918574628524527</v>
      </c>
    </row>
    <row r="6" spans="1:14" x14ac:dyDescent="0.3">
      <c r="A6" s="19" t="s">
        <v>86</v>
      </c>
      <c r="B6" s="109">
        <v>29247</v>
      </c>
      <c r="C6" s="52">
        <f t="shared" ref="C6:C10" si="0">$B6/$B$10</f>
        <v>7.3979546667543555E-2</v>
      </c>
      <c r="D6" s="109">
        <v>33304</v>
      </c>
      <c r="E6" s="52">
        <f t="shared" ref="E6:E10" si="1">$D6/$D$10</f>
        <v>7.2121548109906106E-2</v>
      </c>
      <c r="F6" s="48">
        <f t="shared" ref="F6:F9" si="2">D6/B6-1</f>
        <v>0.13871508188874082</v>
      </c>
      <c r="G6" s="19" t="s">
        <v>101</v>
      </c>
      <c r="H6" s="109">
        <v>24973</v>
      </c>
      <c r="I6" s="52">
        <f t="shared" ref="I6:I13" si="3">$H6/$H$13</f>
        <v>6.3168571782697885E-2</v>
      </c>
      <c r="J6" s="109">
        <v>24735</v>
      </c>
      <c r="K6" s="48">
        <f t="shared" ref="K6:K13" si="4">$J6/$J$13</f>
        <v>5.356493191504106E-2</v>
      </c>
      <c r="L6" s="48">
        <f t="shared" ref="L6:L13" si="5">J6/H6-1</f>
        <v>-9.5302927161333706E-3</v>
      </c>
    </row>
    <row r="7" spans="1:14" x14ac:dyDescent="0.3">
      <c r="A7" s="19" t="s">
        <v>96</v>
      </c>
      <c r="B7" s="109">
        <v>52655</v>
      </c>
      <c r="C7" s="52">
        <f t="shared" si="0"/>
        <v>0.13318949053849988</v>
      </c>
      <c r="D7" s="109">
        <v>60689</v>
      </c>
      <c r="E7" s="52">
        <f t="shared" si="1"/>
        <v>0.13142519316724993</v>
      </c>
      <c r="F7" s="48">
        <f t="shared" si="2"/>
        <v>0.15257810274427874</v>
      </c>
      <c r="G7" s="21" t="s">
        <v>39</v>
      </c>
      <c r="H7" s="110">
        <f>H5+H6</f>
        <v>83456</v>
      </c>
      <c r="I7" s="52">
        <f t="shared" si="3"/>
        <v>0.21109984089604111</v>
      </c>
      <c r="J7" s="110">
        <f>J5+J6</f>
        <v>91358</v>
      </c>
      <c r="K7" s="48">
        <f t="shared" si="4"/>
        <v>0.19784051141679082</v>
      </c>
      <c r="L7" s="48">
        <f t="shared" si="5"/>
        <v>9.4684624233128734E-2</v>
      </c>
    </row>
    <row r="8" spans="1:14" x14ac:dyDescent="0.3">
      <c r="A8" s="21" t="s">
        <v>39</v>
      </c>
      <c r="B8" s="110">
        <f>B5+B6+B7</f>
        <v>93361</v>
      </c>
      <c r="C8" s="52">
        <f t="shared" si="0"/>
        <v>0.23615428783904446</v>
      </c>
      <c r="D8" s="110">
        <f>D5+D6+D7</f>
        <v>108446</v>
      </c>
      <c r="E8" s="52">
        <f t="shared" si="1"/>
        <v>0.23484546620006236</v>
      </c>
      <c r="F8" s="48">
        <f t="shared" si="2"/>
        <v>0.16157710392990654</v>
      </c>
      <c r="G8" s="19" t="s">
        <v>48</v>
      </c>
      <c r="H8" s="109">
        <v>34500</v>
      </c>
      <c r="I8" s="52">
        <f t="shared" si="3"/>
        <v>8.7266877287593692E-2</v>
      </c>
      <c r="J8" s="109">
        <v>44700</v>
      </c>
      <c r="K8" s="48">
        <f t="shared" si="4"/>
        <v>9.6800180173937142E-2</v>
      </c>
      <c r="L8" s="48">
        <f t="shared" si="5"/>
        <v>0.29565217391304355</v>
      </c>
    </row>
    <row r="9" spans="1:14" x14ac:dyDescent="0.3">
      <c r="A9" s="19" t="s">
        <v>97</v>
      </c>
      <c r="B9" s="109">
        <v>301978</v>
      </c>
      <c r="C9" s="52">
        <f t="shared" si="0"/>
        <v>0.76384571216095554</v>
      </c>
      <c r="D9" s="109">
        <v>353330</v>
      </c>
      <c r="E9" s="52">
        <f t="shared" si="1"/>
        <v>0.76515453379993759</v>
      </c>
      <c r="F9" s="48">
        <f t="shared" si="2"/>
        <v>0.17005212300233796</v>
      </c>
      <c r="G9" s="21" t="s">
        <v>102</v>
      </c>
      <c r="H9" s="112"/>
      <c r="I9" s="52"/>
      <c r="J9" s="112"/>
      <c r="K9" s="48"/>
      <c r="L9" s="48"/>
    </row>
    <row r="10" spans="1:14" ht="18.8" customHeight="1" x14ac:dyDescent="0.3">
      <c r="A10" s="45" t="s">
        <v>98</v>
      </c>
      <c r="B10" s="110">
        <f>B8+B9</f>
        <v>395339</v>
      </c>
      <c r="C10" s="52">
        <f t="shared" si="0"/>
        <v>1</v>
      </c>
      <c r="D10" s="110">
        <f>D8+D9</f>
        <v>461776</v>
      </c>
      <c r="E10" s="52">
        <f t="shared" si="1"/>
        <v>1</v>
      </c>
      <c r="F10" s="48">
        <f>D10/B10-1</f>
        <v>0.16805071090886559</v>
      </c>
      <c r="G10" s="19" t="s">
        <v>103</v>
      </c>
      <c r="H10" s="113">
        <f>54000</f>
        <v>54000</v>
      </c>
      <c r="I10" s="52">
        <f t="shared" si="3"/>
        <v>0.13659163401536403</v>
      </c>
      <c r="J10" s="113">
        <f>56500</f>
        <v>56500</v>
      </c>
      <c r="K10" s="48">
        <f t="shared" si="4"/>
        <v>0.12235369529815322</v>
      </c>
      <c r="L10" s="48">
        <f t="shared" si="5"/>
        <v>4.629629629629628E-2</v>
      </c>
    </row>
    <row r="11" spans="1:14" ht="18.8" customHeight="1" x14ac:dyDescent="0.3">
      <c r="A11" s="51"/>
      <c r="B11" s="51"/>
      <c r="C11" s="51"/>
      <c r="D11" s="51"/>
      <c r="E11" s="51"/>
      <c r="F11" s="51"/>
      <c r="G11" s="19" t="s">
        <v>104</v>
      </c>
      <c r="H11" s="109">
        <v>223383</v>
      </c>
      <c r="I11" s="52">
        <f t="shared" si="3"/>
        <v>0.56504164780100119</v>
      </c>
      <c r="J11" s="109">
        <v>269218</v>
      </c>
      <c r="K11" s="48">
        <f t="shared" si="4"/>
        <v>0.58300561311111876</v>
      </c>
      <c r="L11" s="48">
        <f t="shared" si="5"/>
        <v>0.20518571243111605</v>
      </c>
      <c r="N11" s="41"/>
    </row>
    <row r="12" spans="1:14" x14ac:dyDescent="0.3">
      <c r="A12" s="51"/>
      <c r="B12" s="51"/>
      <c r="C12" s="51"/>
      <c r="D12" s="51"/>
      <c r="E12" s="51"/>
      <c r="F12" s="51"/>
      <c r="G12" s="21" t="s">
        <v>39</v>
      </c>
      <c r="H12" s="110">
        <f>H10+H11</f>
        <v>277383</v>
      </c>
      <c r="I12" s="52">
        <f t="shared" si="3"/>
        <v>0.7016332818163652</v>
      </c>
      <c r="J12" s="110">
        <f>J10+J11</f>
        <v>325718</v>
      </c>
      <c r="K12" s="48">
        <f t="shared" si="4"/>
        <v>0.70535930840927208</v>
      </c>
      <c r="L12" s="48">
        <f t="shared" si="5"/>
        <v>0.17425364928636577</v>
      </c>
    </row>
    <row r="13" spans="1:14" ht="18.8" customHeight="1" x14ac:dyDescent="0.3">
      <c r="A13" s="51"/>
      <c r="B13" s="53"/>
      <c r="C13" s="51"/>
      <c r="D13" s="51"/>
      <c r="E13" s="51"/>
      <c r="F13" s="51"/>
      <c r="G13" s="21" t="s">
        <v>105</v>
      </c>
      <c r="H13" s="114">
        <f>H7+H8+H12</f>
        <v>395339</v>
      </c>
      <c r="I13" s="52">
        <f t="shared" si="3"/>
        <v>1</v>
      </c>
      <c r="J13" s="114">
        <f>J7+J8+J12</f>
        <v>461776</v>
      </c>
      <c r="K13" s="48">
        <f t="shared" si="4"/>
        <v>1</v>
      </c>
      <c r="L13" s="48">
        <f t="shared" si="5"/>
        <v>0.16805071090886559</v>
      </c>
    </row>
    <row r="14" spans="1:14" x14ac:dyDescent="0.3">
      <c r="H14" s="46"/>
      <c r="I14" s="46"/>
      <c r="J14" s="46"/>
      <c r="K14" s="46"/>
      <c r="L14" s="46"/>
    </row>
  </sheetData>
  <mergeCells count="2">
    <mergeCell ref="A2:F2"/>
    <mergeCell ref="G2:L2"/>
  </mergeCells>
  <pageMargins left="0.7" right="0.7" top="0.75" bottom="0.75" header="0.3" footer="0.3"/>
  <ignoredErrors>
    <ignoredError sqref="C8 C10 I7 I12:I13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8D6C-79A8-4DB7-AF0E-E2DC8FDB4F7B}">
  <dimension ref="A1:C8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21.33203125" bestFit="1" customWidth="1"/>
    <col min="2" max="3" width="12.6640625" bestFit="1" customWidth="1"/>
  </cols>
  <sheetData>
    <row r="1" spans="1:3" ht="15.65" x14ac:dyDescent="0.3">
      <c r="A1" s="71" t="s">
        <v>111</v>
      </c>
      <c r="B1" s="76">
        <f>530000/0.9</f>
        <v>588888.88888888888</v>
      </c>
    </row>
    <row r="2" spans="1:3" ht="15.65" x14ac:dyDescent="0.3">
      <c r="A2" s="71" t="s">
        <v>112</v>
      </c>
      <c r="B2" s="76">
        <f>B1-530000</f>
        <v>58888.888888888876</v>
      </c>
    </row>
    <row r="4" spans="1:3" ht="15.65" x14ac:dyDescent="0.3">
      <c r="A4" s="71" t="s">
        <v>49</v>
      </c>
      <c r="B4" s="77">
        <v>620000</v>
      </c>
    </row>
    <row r="5" spans="1:3" ht="15.65" x14ac:dyDescent="0.3">
      <c r="A5" s="71" t="s">
        <v>82</v>
      </c>
      <c r="B5" s="77">
        <v>605000</v>
      </c>
      <c r="C5" s="104"/>
    </row>
    <row r="6" spans="1:3" ht="15.65" x14ac:dyDescent="0.3">
      <c r="A6" s="73" t="s">
        <v>113</v>
      </c>
      <c r="B6" s="149">
        <f>B4/B1</f>
        <v>1.0528301886792453</v>
      </c>
      <c r="C6" s="89"/>
    </row>
    <row r="7" spans="1:3" ht="15.65" x14ac:dyDescent="0.3">
      <c r="A7" s="71" t="s">
        <v>168</v>
      </c>
      <c r="B7" s="77">
        <f>B5*B6</f>
        <v>636962.26415094337</v>
      </c>
      <c r="C7" s="54"/>
    </row>
    <row r="8" spans="1:3" ht="15.65" x14ac:dyDescent="0.3">
      <c r="A8" s="73" t="s">
        <v>114</v>
      </c>
      <c r="B8" s="77">
        <f>B7-B4</f>
        <v>16962.264150943374</v>
      </c>
      <c r="C8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6E3F-FD50-43FB-A64E-A72007472F96}">
  <dimension ref="A1:Z82"/>
  <sheetViews>
    <sheetView showGridLines="0" topLeftCell="A31" zoomScale="130" zoomScaleNormal="130" workbookViewId="0">
      <selection activeCell="B32" sqref="B32"/>
    </sheetView>
  </sheetViews>
  <sheetFormatPr defaultRowHeight="15.05" x14ac:dyDescent="0.3"/>
  <cols>
    <col min="1" max="1" width="43.88671875" bestFit="1" customWidth="1"/>
    <col min="2" max="2" width="13.44140625" bestFit="1" customWidth="1"/>
    <col min="3" max="3" width="2" customWidth="1"/>
    <col min="4" max="4" width="31.44140625" bestFit="1" customWidth="1"/>
    <col min="5" max="5" width="9" bestFit="1" customWidth="1"/>
    <col min="6" max="6" width="3.44140625" customWidth="1"/>
    <col min="7" max="7" width="31.44140625" bestFit="1" customWidth="1"/>
    <col min="8" max="8" width="9" bestFit="1" customWidth="1"/>
    <col min="9" max="9" width="2" customWidth="1"/>
    <col min="10" max="10" width="34" bestFit="1" customWidth="1"/>
    <col min="11" max="14" width="14.44140625" customWidth="1"/>
    <col min="16" max="16" width="22" bestFit="1" customWidth="1"/>
    <col min="17" max="17" width="15.6640625" bestFit="1" customWidth="1"/>
    <col min="18" max="18" width="12.33203125" bestFit="1" customWidth="1"/>
    <col min="19" max="19" width="10.44140625" bestFit="1" customWidth="1"/>
    <col min="20" max="20" width="11.5546875" bestFit="1" customWidth="1"/>
    <col min="21" max="21" width="7.33203125" bestFit="1" customWidth="1"/>
    <col min="22" max="22" width="32.33203125" customWidth="1"/>
    <col min="23" max="24" width="9" bestFit="1" customWidth="1"/>
    <col min="25" max="25" width="9" customWidth="1"/>
    <col min="26" max="26" width="9" bestFit="1" customWidth="1"/>
  </cols>
  <sheetData>
    <row r="1" spans="1:26" ht="33.85" customHeight="1" x14ac:dyDescent="0.3">
      <c r="A1" s="150" t="s">
        <v>115</v>
      </c>
      <c r="B1" s="150"/>
      <c r="D1" s="172" t="s">
        <v>125</v>
      </c>
      <c r="E1" s="172"/>
      <c r="F1" s="172"/>
      <c r="G1" s="172"/>
      <c r="H1" s="172"/>
      <c r="J1" s="173" t="s">
        <v>152</v>
      </c>
      <c r="K1" s="150"/>
      <c r="L1" s="68">
        <v>0.15</v>
      </c>
      <c r="M1" s="68">
        <v>0.2</v>
      </c>
      <c r="N1" s="68">
        <v>0.25</v>
      </c>
      <c r="P1" s="174" t="s">
        <v>153</v>
      </c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6" ht="16.45" customHeight="1" x14ac:dyDescent="0.3">
      <c r="A2" s="91" t="s">
        <v>13</v>
      </c>
      <c r="B2" s="94">
        <v>891600</v>
      </c>
      <c r="D2" s="192" t="s">
        <v>126</v>
      </c>
      <c r="E2" s="192"/>
      <c r="F2" s="192" t="s">
        <v>127</v>
      </c>
      <c r="G2" s="192"/>
      <c r="H2" s="192"/>
      <c r="J2" s="91" t="s">
        <v>13</v>
      </c>
      <c r="K2" s="94">
        <v>891600</v>
      </c>
      <c r="L2" s="94">
        <f>$K2*(1+L$1)</f>
        <v>1025339.9999999999</v>
      </c>
      <c r="M2" s="94">
        <f t="shared" ref="M2:N4" si="0">$K2*(1+M$1)</f>
        <v>1069920</v>
      </c>
      <c r="N2" s="94">
        <f t="shared" si="0"/>
        <v>1114500</v>
      </c>
      <c r="P2" s="195" t="s">
        <v>44</v>
      </c>
      <c r="Q2" s="192"/>
      <c r="R2" s="68">
        <v>0.15</v>
      </c>
      <c r="S2" s="68">
        <v>0.2</v>
      </c>
      <c r="T2" s="68">
        <v>0.25</v>
      </c>
      <c r="U2" s="63"/>
      <c r="V2" s="195" t="s">
        <v>127</v>
      </c>
      <c r="W2" s="192"/>
      <c r="X2" s="68">
        <v>0.15</v>
      </c>
      <c r="Y2" s="68">
        <v>0.2</v>
      </c>
      <c r="Z2" s="68">
        <v>0.25</v>
      </c>
    </row>
    <row r="3" spans="1:26" ht="16.45" customHeight="1" x14ac:dyDescent="0.3">
      <c r="A3" s="92" t="s">
        <v>16</v>
      </c>
      <c r="B3" s="95">
        <v>727900</v>
      </c>
      <c r="D3" s="56" t="s">
        <v>132</v>
      </c>
      <c r="E3" s="55"/>
      <c r="F3" s="194"/>
      <c r="G3" s="57" t="s">
        <v>123</v>
      </c>
      <c r="H3" s="55"/>
      <c r="J3" s="92" t="s">
        <v>16</v>
      </c>
      <c r="K3" s="95">
        <v>727900</v>
      </c>
      <c r="L3" s="94">
        <f t="shared" ref="L3:L4" si="1">$K3*(1+L$1)</f>
        <v>837084.99999999988</v>
      </c>
      <c r="M3" s="94">
        <f t="shared" si="0"/>
        <v>873480</v>
      </c>
      <c r="N3" s="94">
        <f t="shared" si="0"/>
        <v>909875</v>
      </c>
      <c r="P3" s="56" t="s">
        <v>132</v>
      </c>
      <c r="Q3" s="55"/>
      <c r="R3" s="19"/>
      <c r="S3" s="59"/>
      <c r="T3" s="59"/>
      <c r="U3" s="59"/>
      <c r="V3" s="57" t="s">
        <v>123</v>
      </c>
      <c r="W3" s="55"/>
      <c r="X3" s="62"/>
      <c r="Y3" s="62"/>
      <c r="Z3" s="62"/>
    </row>
    <row r="4" spans="1:26" x14ac:dyDescent="0.3">
      <c r="A4" s="92" t="s">
        <v>116</v>
      </c>
      <c r="B4" s="95">
        <v>18240</v>
      </c>
      <c r="D4" s="5" t="s">
        <v>128</v>
      </c>
      <c r="E4" s="95">
        <v>24280</v>
      </c>
      <c r="F4" s="194"/>
      <c r="G4" s="19" t="s">
        <v>100</v>
      </c>
      <c r="H4" s="95">
        <v>65200</v>
      </c>
      <c r="J4" s="92" t="s">
        <v>116</v>
      </c>
      <c r="K4" s="95">
        <v>18240</v>
      </c>
      <c r="L4" s="94">
        <f t="shared" si="1"/>
        <v>20976</v>
      </c>
      <c r="M4" s="94">
        <f t="shared" si="0"/>
        <v>21888</v>
      </c>
      <c r="N4" s="94">
        <f t="shared" si="0"/>
        <v>22800</v>
      </c>
      <c r="P4" s="5" t="s">
        <v>128</v>
      </c>
      <c r="Q4" s="95">
        <v>24280</v>
      </c>
      <c r="R4" s="63">
        <f>$Q4*(1+R$2)</f>
        <v>27921.999999999996</v>
      </c>
      <c r="S4" s="63">
        <f t="shared" ref="S4:T6" si="2">$Q4*(1+S$2)</f>
        <v>29136</v>
      </c>
      <c r="T4" s="63">
        <f t="shared" si="2"/>
        <v>30350</v>
      </c>
      <c r="U4" s="63"/>
      <c r="V4" s="19" t="s">
        <v>100</v>
      </c>
      <c r="W4" s="95">
        <v>65200</v>
      </c>
      <c r="X4" s="95">
        <f>$W$4*(1+X$2)</f>
        <v>74980</v>
      </c>
      <c r="Y4" s="95">
        <f t="shared" ref="Y4:Z4" si="3">$W$4*(1+Y$2)</f>
        <v>78240</v>
      </c>
      <c r="Z4" s="95">
        <f t="shared" si="3"/>
        <v>81500</v>
      </c>
    </row>
    <row r="5" spans="1:26" x14ac:dyDescent="0.3">
      <c r="A5" s="92" t="s">
        <v>117</v>
      </c>
      <c r="B5" s="95">
        <v>145460</v>
      </c>
      <c r="D5" s="5" t="s">
        <v>129</v>
      </c>
      <c r="E5" s="95">
        <f>37070</f>
        <v>37070</v>
      </c>
      <c r="F5" s="194"/>
      <c r="G5" s="19" t="s">
        <v>101</v>
      </c>
      <c r="H5" s="95">
        <v>16320</v>
      </c>
      <c r="J5" s="93" t="s">
        <v>218</v>
      </c>
      <c r="K5" s="154">
        <v>145460</v>
      </c>
      <c r="L5" s="153">
        <f>L$2-L$3-L$4</f>
        <v>167279</v>
      </c>
      <c r="M5" s="153">
        <f t="shared" ref="M5:N5" si="4">M$2-M$3-M$4</f>
        <v>174552</v>
      </c>
      <c r="N5" s="153">
        <f t="shared" si="4"/>
        <v>181825</v>
      </c>
      <c r="P5" s="5" t="s">
        <v>129</v>
      </c>
      <c r="Q5" s="95">
        <f>37070</f>
        <v>37070</v>
      </c>
      <c r="R5" s="63">
        <f t="shared" ref="R5:R6" si="5">$Q5*(1+R$2)</f>
        <v>42630.5</v>
      </c>
      <c r="S5" s="63">
        <f t="shared" si="2"/>
        <v>44484</v>
      </c>
      <c r="T5" s="63">
        <f t="shared" si="2"/>
        <v>46337.5</v>
      </c>
      <c r="U5" s="63"/>
      <c r="V5" s="19" t="s">
        <v>101</v>
      </c>
      <c r="W5" s="95">
        <v>16320</v>
      </c>
      <c r="X5" s="95">
        <f>W$5</f>
        <v>16320</v>
      </c>
      <c r="Y5" s="95">
        <f t="shared" ref="Y5:Z5" si="6">X$5</f>
        <v>16320</v>
      </c>
      <c r="Z5" s="95">
        <f t="shared" si="6"/>
        <v>16320</v>
      </c>
    </row>
    <row r="6" spans="1:26" x14ac:dyDescent="0.3">
      <c r="A6" s="92" t="s">
        <v>118</v>
      </c>
      <c r="B6" s="95">
        <v>13400</v>
      </c>
      <c r="D6" s="5" t="s">
        <v>130</v>
      </c>
      <c r="E6" s="95">
        <v>83400</v>
      </c>
      <c r="F6" s="194"/>
      <c r="G6" s="21" t="s">
        <v>39</v>
      </c>
      <c r="H6" s="95">
        <v>81520</v>
      </c>
      <c r="J6" s="92" t="s">
        <v>118</v>
      </c>
      <c r="K6" s="95">
        <v>13400</v>
      </c>
      <c r="L6" s="95">
        <f>K$6</f>
        <v>13400</v>
      </c>
      <c r="M6" s="95">
        <f t="shared" ref="M6:N6" si="7">L$6</f>
        <v>13400</v>
      </c>
      <c r="N6" s="95">
        <f t="shared" si="7"/>
        <v>13400</v>
      </c>
      <c r="P6" s="5" t="s">
        <v>130</v>
      </c>
      <c r="Q6" s="95">
        <v>83400</v>
      </c>
      <c r="R6" s="63">
        <f t="shared" si="5"/>
        <v>95909.999999999985</v>
      </c>
      <c r="S6" s="63">
        <f t="shared" si="2"/>
        <v>100080</v>
      </c>
      <c r="T6" s="63">
        <f t="shared" si="2"/>
        <v>104250</v>
      </c>
      <c r="U6" s="63"/>
      <c r="V6" s="21" t="s">
        <v>39</v>
      </c>
      <c r="W6" s="154">
        <v>81520</v>
      </c>
      <c r="X6" s="154">
        <f>SUM(X$4:X$5)</f>
        <v>91300</v>
      </c>
      <c r="Y6" s="154">
        <f t="shared" ref="Y6:Z6" si="8">SUM(Y$4:Y$5)</f>
        <v>94560</v>
      </c>
      <c r="Z6" s="154">
        <f t="shared" si="8"/>
        <v>97820</v>
      </c>
    </row>
    <row r="7" spans="1:26" x14ac:dyDescent="0.3">
      <c r="A7" s="92" t="s">
        <v>119</v>
      </c>
      <c r="B7" s="95">
        <v>132060</v>
      </c>
      <c r="D7" s="58" t="s">
        <v>21</v>
      </c>
      <c r="E7" s="95">
        <v>144750</v>
      </c>
      <c r="F7" s="194"/>
      <c r="G7" s="19" t="s">
        <v>48</v>
      </c>
      <c r="H7" s="95">
        <v>155000</v>
      </c>
      <c r="J7" s="93" t="s">
        <v>219</v>
      </c>
      <c r="K7" s="154">
        <v>132060</v>
      </c>
      <c r="L7" s="154">
        <f>L$5-L$6</f>
        <v>153879</v>
      </c>
      <c r="M7" s="154">
        <f t="shared" ref="M7:N7" si="9">M$5-M$6</f>
        <v>161152</v>
      </c>
      <c r="N7" s="154">
        <f t="shared" si="9"/>
        <v>168425</v>
      </c>
      <c r="P7" s="58" t="s">
        <v>21</v>
      </c>
      <c r="Q7" s="95">
        <v>144750</v>
      </c>
      <c r="R7" s="63">
        <f>SUM(R$4:R$6)</f>
        <v>166462.5</v>
      </c>
      <c r="S7" s="63">
        <f t="shared" ref="S7:T7" si="10">SUM(S$4:S$6)</f>
        <v>173700</v>
      </c>
      <c r="T7" s="63">
        <f t="shared" si="10"/>
        <v>180937.5</v>
      </c>
      <c r="U7" s="63"/>
      <c r="V7" s="19" t="s">
        <v>48</v>
      </c>
      <c r="W7" s="95">
        <v>155000</v>
      </c>
      <c r="X7" s="95">
        <f>W$7</f>
        <v>155000</v>
      </c>
      <c r="Y7" s="95">
        <f t="shared" ref="Y7:Z7" si="11">X$7</f>
        <v>155000</v>
      </c>
      <c r="Z7" s="95">
        <f t="shared" si="11"/>
        <v>155000</v>
      </c>
    </row>
    <row r="8" spans="1:26" x14ac:dyDescent="0.3">
      <c r="A8" s="92" t="s">
        <v>120</v>
      </c>
      <c r="B8" s="95">
        <v>29053</v>
      </c>
      <c r="D8" s="17" t="s">
        <v>29</v>
      </c>
      <c r="E8" s="95"/>
      <c r="F8" s="194"/>
      <c r="G8" s="21" t="s">
        <v>124</v>
      </c>
      <c r="H8" s="151"/>
      <c r="J8" s="92" t="s">
        <v>120</v>
      </c>
      <c r="K8" s="95">
        <v>29053</v>
      </c>
      <c r="L8" s="95">
        <f>L$7*0.22</f>
        <v>33853.379999999997</v>
      </c>
      <c r="M8" s="95">
        <f t="shared" ref="M8:N8" si="12">M$7*0.22</f>
        <v>35453.440000000002</v>
      </c>
      <c r="N8" s="95">
        <f t="shared" si="12"/>
        <v>37053.5</v>
      </c>
      <c r="P8" s="17" t="s">
        <v>29</v>
      </c>
      <c r="Q8" s="95"/>
      <c r="R8" s="19"/>
      <c r="S8" s="59"/>
      <c r="T8" s="59"/>
      <c r="U8" s="59"/>
      <c r="V8" s="21" t="s">
        <v>124</v>
      </c>
      <c r="W8" s="151"/>
      <c r="X8" s="17"/>
      <c r="Y8" s="17"/>
      <c r="Z8" s="17"/>
    </row>
    <row r="9" spans="1:26" ht="18" customHeight="1" x14ac:dyDescent="0.3">
      <c r="A9" s="93" t="s">
        <v>20</v>
      </c>
      <c r="B9" s="96">
        <v>103007</v>
      </c>
      <c r="D9" s="5" t="s">
        <v>131</v>
      </c>
      <c r="E9" s="95">
        <v>396500</v>
      </c>
      <c r="F9" s="194"/>
      <c r="G9" s="19" t="s">
        <v>103</v>
      </c>
      <c r="H9" s="95">
        <v>130000</v>
      </c>
      <c r="J9" s="93" t="s">
        <v>20</v>
      </c>
      <c r="K9" s="155">
        <v>103007</v>
      </c>
      <c r="L9" s="155">
        <f>L$7-L$8</f>
        <v>120025.62</v>
      </c>
      <c r="M9" s="155">
        <f t="shared" ref="M9:N9" si="13">M$7-M$8</f>
        <v>125698.56</v>
      </c>
      <c r="N9" s="155">
        <f t="shared" si="13"/>
        <v>131371.5</v>
      </c>
      <c r="P9" s="5" t="s">
        <v>131</v>
      </c>
      <c r="Q9" s="95">
        <v>396500</v>
      </c>
      <c r="R9" s="63">
        <f t="shared" ref="R9:T9" si="14">$Q9*(1+R$2)</f>
        <v>455974.99999999994</v>
      </c>
      <c r="S9" s="63">
        <f t="shared" si="14"/>
        <v>475800</v>
      </c>
      <c r="T9" s="63">
        <f t="shared" si="14"/>
        <v>495625</v>
      </c>
      <c r="U9" s="63"/>
      <c r="V9" s="19" t="s">
        <v>103</v>
      </c>
      <c r="W9" s="95">
        <v>130000</v>
      </c>
      <c r="X9" s="12">
        <f>W$9</f>
        <v>130000</v>
      </c>
      <c r="Y9" s="12">
        <f t="shared" ref="Y9:Z9" si="15">X$9</f>
        <v>130000</v>
      </c>
      <c r="Z9" s="12">
        <f t="shared" si="15"/>
        <v>130000</v>
      </c>
    </row>
    <row r="10" spans="1:26" ht="16.45" customHeight="1" x14ac:dyDescent="0.3">
      <c r="A10" s="92" t="s">
        <v>121</v>
      </c>
      <c r="B10" s="95">
        <v>36224</v>
      </c>
      <c r="D10" s="47" t="s">
        <v>133</v>
      </c>
      <c r="E10" s="96">
        <v>541250</v>
      </c>
      <c r="F10" s="194"/>
      <c r="G10" s="19" t="s">
        <v>104</v>
      </c>
      <c r="H10" s="95">
        <v>174730</v>
      </c>
      <c r="J10" s="92" t="s">
        <v>121</v>
      </c>
      <c r="K10" s="95">
        <v>36224</v>
      </c>
      <c r="L10" s="95">
        <f>L$9*($K$10/$K$9)</f>
        <v>42208.86016367819</v>
      </c>
      <c r="M10" s="95">
        <f t="shared" ref="M10:N10" si="16">M$9*($K$10/$K$9)</f>
        <v>44203.83699593231</v>
      </c>
      <c r="N10" s="95">
        <f t="shared" si="16"/>
        <v>46198.81382818643</v>
      </c>
      <c r="P10" s="47" t="s">
        <v>133</v>
      </c>
      <c r="Q10" s="96">
        <v>541250</v>
      </c>
      <c r="R10" s="64">
        <f>R$9+R$7</f>
        <v>622437.5</v>
      </c>
      <c r="S10" s="64">
        <f t="shared" ref="S10:T10" si="17">S$9+S$7</f>
        <v>649500</v>
      </c>
      <c r="T10" s="64">
        <f t="shared" si="17"/>
        <v>676562.5</v>
      </c>
      <c r="U10" s="67"/>
      <c r="V10" s="19" t="s">
        <v>104</v>
      </c>
      <c r="W10" s="95">
        <v>174730</v>
      </c>
      <c r="X10" s="12">
        <f>$W$10+L$11</f>
        <v>252546.75983632181</v>
      </c>
      <c r="Y10" s="12">
        <f t="shared" ref="Y10:Z10" si="18">$W$10+M$11</f>
        <v>256224.7230040677</v>
      </c>
      <c r="Z10" s="12">
        <f t="shared" si="18"/>
        <v>259902.68617181358</v>
      </c>
    </row>
    <row r="11" spans="1:26" x14ac:dyDescent="0.3">
      <c r="A11" s="92" t="s">
        <v>122</v>
      </c>
      <c r="B11" s="95">
        <v>66783</v>
      </c>
      <c r="D11" s="59"/>
      <c r="E11" s="59"/>
      <c r="F11" s="194"/>
      <c r="G11" s="21" t="s">
        <v>39</v>
      </c>
      <c r="H11" s="95">
        <v>304730</v>
      </c>
      <c r="J11" s="92" t="s">
        <v>122</v>
      </c>
      <c r="K11" s="95">
        <v>66783</v>
      </c>
      <c r="L11" s="95">
        <f>L$9-L$10</f>
        <v>77816.759836321813</v>
      </c>
      <c r="M11" s="95">
        <f t="shared" ref="M11:N11" si="19">M$9-M$10</f>
        <v>81494.723004067695</v>
      </c>
      <c r="N11" s="95">
        <f t="shared" si="19"/>
        <v>85172.686171813577</v>
      </c>
      <c r="P11" s="59"/>
      <c r="Q11" s="59"/>
      <c r="R11" s="19"/>
      <c r="S11" s="59"/>
      <c r="T11" s="59"/>
      <c r="U11" s="59"/>
      <c r="V11" s="21" t="s">
        <v>39</v>
      </c>
      <c r="W11" s="95">
        <v>304730</v>
      </c>
      <c r="X11" s="12">
        <f>SUM(X$9:X$10)</f>
        <v>382546.75983632181</v>
      </c>
      <c r="Y11" s="12">
        <f>SUM(Y$9:Y$10)</f>
        <v>386224.72300406767</v>
      </c>
      <c r="Z11" s="12">
        <f>SUM(Z$9:Z$10)</f>
        <v>389902.68617181358</v>
      </c>
    </row>
    <row r="12" spans="1:26" ht="15.65" thickBot="1" x14ac:dyDescent="0.35">
      <c r="D12" s="59"/>
      <c r="E12" s="59"/>
      <c r="F12" s="194"/>
      <c r="G12" s="21" t="s">
        <v>105</v>
      </c>
      <c r="H12" s="96">
        <v>541250</v>
      </c>
      <c r="P12" s="59"/>
      <c r="Q12" s="65" t="s">
        <v>27</v>
      </c>
      <c r="R12" s="66">
        <f>R$10-X$12</f>
        <v>-6409.2598363218131</v>
      </c>
      <c r="S12" s="66">
        <f t="shared" ref="S12:T12" si="20">S$10-Y$12</f>
        <v>13715.276995932334</v>
      </c>
      <c r="T12" s="66">
        <f t="shared" si="20"/>
        <v>33839.813828186365</v>
      </c>
      <c r="U12" s="67"/>
      <c r="V12" s="21" t="s">
        <v>105</v>
      </c>
      <c r="W12" s="96">
        <v>541250</v>
      </c>
      <c r="X12" s="16">
        <f>X$11+X$7+X$6</f>
        <v>628846.75983632181</v>
      </c>
      <c r="Y12" s="16">
        <f>Y$11+Y$7+Y$6</f>
        <v>635784.72300406767</v>
      </c>
      <c r="Z12" s="16">
        <f>Z$11+Z$7+Z$6</f>
        <v>642722.68617181364</v>
      </c>
    </row>
    <row r="13" spans="1:26" ht="36.799999999999997" customHeight="1" x14ac:dyDescent="0.3">
      <c r="A13" s="173" t="s">
        <v>144</v>
      </c>
      <c r="B13" s="176"/>
      <c r="H13" s="60"/>
    </row>
    <row r="14" spans="1:26" ht="32.25" customHeight="1" x14ac:dyDescent="0.3">
      <c r="A14" s="91" t="s">
        <v>13</v>
      </c>
      <c r="B14" s="97">
        <f>$B2*(1+0.2)</f>
        <v>1069920</v>
      </c>
      <c r="D14" s="177" t="s">
        <v>145</v>
      </c>
      <c r="E14" s="178"/>
      <c r="F14" s="178"/>
      <c r="G14" s="178"/>
      <c r="H14" s="178"/>
      <c r="J14" s="173" t="s">
        <v>154</v>
      </c>
      <c r="K14" s="150"/>
      <c r="L14" s="68">
        <v>0.2</v>
      </c>
      <c r="M14" s="68">
        <v>0.3</v>
      </c>
      <c r="N14" s="68">
        <v>0.35</v>
      </c>
      <c r="P14" s="174" t="s">
        <v>155</v>
      </c>
      <c r="Q14" s="174"/>
      <c r="R14" s="174"/>
      <c r="S14" s="174"/>
      <c r="T14" s="174"/>
      <c r="U14" s="174"/>
      <c r="V14" s="174"/>
      <c r="W14" s="174"/>
      <c r="X14" s="174"/>
      <c r="Y14" s="174"/>
      <c r="Z14" s="174"/>
    </row>
    <row r="15" spans="1:26" ht="16.45" customHeight="1" x14ac:dyDescent="0.3">
      <c r="A15" s="92" t="s">
        <v>16</v>
      </c>
      <c r="B15" s="97">
        <f>$B3*(1+0.2)</f>
        <v>873480</v>
      </c>
      <c r="D15" s="192" t="s">
        <v>126</v>
      </c>
      <c r="E15" s="192"/>
      <c r="F15" s="192" t="s">
        <v>127</v>
      </c>
      <c r="G15" s="192"/>
      <c r="H15" s="192"/>
      <c r="J15" s="91" t="s">
        <v>13</v>
      </c>
      <c r="K15" s="94">
        <v>891600</v>
      </c>
      <c r="L15" s="94">
        <f>$K15*(1+L$14)</f>
        <v>1069920</v>
      </c>
      <c r="M15" s="94">
        <f t="shared" ref="M15:N17" si="21">$K15*(1+M$14)</f>
        <v>1159080</v>
      </c>
      <c r="N15" s="94">
        <f t="shared" si="21"/>
        <v>1203660</v>
      </c>
      <c r="P15" s="195" t="s">
        <v>44</v>
      </c>
      <c r="Q15" s="195"/>
      <c r="R15" s="68">
        <v>0.2</v>
      </c>
      <c r="S15" s="68">
        <v>0.3</v>
      </c>
      <c r="T15" s="68">
        <v>0.35</v>
      </c>
      <c r="U15" s="63"/>
      <c r="V15" s="195" t="s">
        <v>127</v>
      </c>
      <c r="W15" s="195"/>
      <c r="X15" s="68">
        <v>0.2</v>
      </c>
      <c r="Y15" s="68">
        <v>0.3</v>
      </c>
      <c r="Z15" s="68">
        <v>0.35</v>
      </c>
    </row>
    <row r="16" spans="1:26" ht="19.600000000000001" customHeight="1" x14ac:dyDescent="0.3">
      <c r="A16" s="92" t="s">
        <v>116</v>
      </c>
      <c r="B16" s="97">
        <f>$B4*(1+0.2)</f>
        <v>21888</v>
      </c>
      <c r="D16" s="56" t="s">
        <v>132</v>
      </c>
      <c r="E16" s="55"/>
      <c r="F16" s="193"/>
      <c r="G16" s="57" t="s">
        <v>123</v>
      </c>
      <c r="H16" s="55"/>
      <c r="J16" s="92" t="s">
        <v>16</v>
      </c>
      <c r="K16" s="95">
        <v>727900</v>
      </c>
      <c r="L16" s="94">
        <f t="shared" ref="L16:L17" si="22">$K16*(1+L$14)</f>
        <v>873480</v>
      </c>
      <c r="M16" s="94">
        <f t="shared" si="21"/>
        <v>946270</v>
      </c>
      <c r="N16" s="94">
        <f t="shared" si="21"/>
        <v>982665.00000000012</v>
      </c>
      <c r="P16" s="56" t="s">
        <v>132</v>
      </c>
      <c r="Q16" s="55"/>
      <c r="R16" s="19"/>
      <c r="S16" s="69"/>
      <c r="T16" s="69"/>
      <c r="U16" s="69"/>
      <c r="V16" s="57" t="s">
        <v>123</v>
      </c>
      <c r="W16" s="55"/>
      <c r="X16" s="62"/>
      <c r="Y16" s="62"/>
      <c r="Z16" s="62"/>
    </row>
    <row r="17" spans="1:26" x14ac:dyDescent="0.3">
      <c r="A17" s="93" t="s">
        <v>218</v>
      </c>
      <c r="B17" s="98">
        <f>B14-B15-B16</f>
        <v>174552</v>
      </c>
      <c r="D17" s="5" t="s">
        <v>128</v>
      </c>
      <c r="E17" s="95">
        <f>$E4*(1+0.2)</f>
        <v>29136</v>
      </c>
      <c r="F17" s="194"/>
      <c r="G17" s="19" t="s">
        <v>100</v>
      </c>
      <c r="H17" s="95">
        <f>$H$4*(1+0.2)</f>
        <v>78240</v>
      </c>
      <c r="J17" s="92" t="s">
        <v>116</v>
      </c>
      <c r="K17" s="95">
        <v>18240</v>
      </c>
      <c r="L17" s="94">
        <f t="shared" si="22"/>
        <v>21888</v>
      </c>
      <c r="M17" s="94">
        <f t="shared" si="21"/>
        <v>23712</v>
      </c>
      <c r="N17" s="94">
        <f t="shared" si="21"/>
        <v>24624</v>
      </c>
      <c r="P17" s="5" t="s">
        <v>128</v>
      </c>
      <c r="Q17" s="95">
        <v>24280</v>
      </c>
      <c r="R17" s="157">
        <f>$Q17*(1+R$15)</f>
        <v>29136</v>
      </c>
      <c r="S17" s="157">
        <f t="shared" ref="S17:T19" si="23">$Q17*(1+S$15)</f>
        <v>31564</v>
      </c>
      <c r="T17" s="157">
        <f t="shared" si="23"/>
        <v>32778</v>
      </c>
      <c r="U17" s="63"/>
      <c r="V17" s="19" t="s">
        <v>100</v>
      </c>
      <c r="W17" s="95">
        <v>65200</v>
      </c>
      <c r="X17" s="98">
        <f>$W$17*(1+X$15)</f>
        <v>78240</v>
      </c>
      <c r="Y17" s="98">
        <f t="shared" ref="Y17:Z17" si="24">$W$17*(1+Y$15)</f>
        <v>84760</v>
      </c>
      <c r="Z17" s="98">
        <f t="shared" si="24"/>
        <v>88020</v>
      </c>
    </row>
    <row r="18" spans="1:26" x14ac:dyDescent="0.3">
      <c r="A18" s="92" t="s">
        <v>118</v>
      </c>
      <c r="B18" s="98">
        <f>B6</f>
        <v>13400</v>
      </c>
      <c r="D18" s="5" t="s">
        <v>129</v>
      </c>
      <c r="E18" s="95">
        <f t="shared" ref="E18:E22" si="25">$E5*(1+0.2)</f>
        <v>44484</v>
      </c>
      <c r="F18" s="194"/>
      <c r="G18" s="19" t="s">
        <v>101</v>
      </c>
      <c r="H18" s="95">
        <f>$H5</f>
        <v>16320</v>
      </c>
      <c r="J18" s="93" t="s">
        <v>218</v>
      </c>
      <c r="K18" s="154">
        <v>145460</v>
      </c>
      <c r="L18" s="153">
        <f>L$15-L$16-L$17</f>
        <v>174552</v>
      </c>
      <c r="M18" s="153">
        <f t="shared" ref="M18:N18" si="26">M$15-M$16-M$17</f>
        <v>189098</v>
      </c>
      <c r="N18" s="153">
        <f t="shared" si="26"/>
        <v>196370.99999999988</v>
      </c>
      <c r="P18" s="5" t="s">
        <v>129</v>
      </c>
      <c r="Q18" s="95">
        <f>37070</f>
        <v>37070</v>
      </c>
      <c r="R18" s="157">
        <f t="shared" ref="R18:R19" si="27">$Q18*(1+R$15)</f>
        <v>44484</v>
      </c>
      <c r="S18" s="157">
        <f t="shared" si="23"/>
        <v>48191</v>
      </c>
      <c r="T18" s="157">
        <f t="shared" si="23"/>
        <v>50044.5</v>
      </c>
      <c r="U18" s="63"/>
      <c r="V18" s="19" t="s">
        <v>101</v>
      </c>
      <c r="W18" s="95">
        <v>16320</v>
      </c>
      <c r="X18" s="98">
        <f>W$18</f>
        <v>16320</v>
      </c>
      <c r="Y18" s="98">
        <f t="shared" ref="Y18:Z18" si="28">X$18</f>
        <v>16320</v>
      </c>
      <c r="Z18" s="98">
        <f t="shared" si="28"/>
        <v>16320</v>
      </c>
    </row>
    <row r="19" spans="1:26" x14ac:dyDescent="0.3">
      <c r="A19" s="93" t="s">
        <v>219</v>
      </c>
      <c r="B19" s="98">
        <f>B17-B18</f>
        <v>161152</v>
      </c>
      <c r="D19" s="5" t="s">
        <v>130</v>
      </c>
      <c r="E19" s="95">
        <f t="shared" si="25"/>
        <v>100080</v>
      </c>
      <c r="F19" s="194"/>
      <c r="G19" s="21" t="s">
        <v>39</v>
      </c>
      <c r="H19" s="95">
        <f>SUM(H17:H18)</f>
        <v>94560</v>
      </c>
      <c r="J19" s="92" t="s">
        <v>118</v>
      </c>
      <c r="K19" s="95">
        <v>13400</v>
      </c>
      <c r="L19" s="95">
        <f>K$19</f>
        <v>13400</v>
      </c>
      <c r="M19" s="95">
        <f t="shared" ref="M19:N19" si="29">L$19</f>
        <v>13400</v>
      </c>
      <c r="N19" s="95">
        <f t="shared" si="29"/>
        <v>13400</v>
      </c>
      <c r="P19" s="5" t="s">
        <v>130</v>
      </c>
      <c r="Q19" s="95">
        <v>83400</v>
      </c>
      <c r="R19" s="157">
        <f t="shared" si="27"/>
        <v>100080</v>
      </c>
      <c r="S19" s="157">
        <f t="shared" si="23"/>
        <v>108420</v>
      </c>
      <c r="T19" s="157">
        <f t="shared" si="23"/>
        <v>112590.00000000001</v>
      </c>
      <c r="U19" s="63"/>
      <c r="V19" s="21" t="s">
        <v>39</v>
      </c>
      <c r="W19" s="95">
        <v>81520</v>
      </c>
      <c r="X19" s="98">
        <f>SUM(X$17:X$18)</f>
        <v>94560</v>
      </c>
      <c r="Y19" s="98">
        <f t="shared" ref="Y19:Z19" si="30">SUM(Y$17:Y$18)</f>
        <v>101080</v>
      </c>
      <c r="Z19" s="98">
        <f t="shared" si="30"/>
        <v>104340</v>
      </c>
    </row>
    <row r="20" spans="1:26" x14ac:dyDescent="0.3">
      <c r="A20" s="92" t="s">
        <v>120</v>
      </c>
      <c r="B20" s="98">
        <f>B19*0.22</f>
        <v>35453.440000000002</v>
      </c>
      <c r="D20" s="58" t="s">
        <v>21</v>
      </c>
      <c r="E20" s="96">
        <f>SUM(E17:E19)</f>
        <v>173700</v>
      </c>
      <c r="F20" s="194"/>
      <c r="G20" s="19" t="s">
        <v>48</v>
      </c>
      <c r="H20" s="95">
        <f>$H7</f>
        <v>155000</v>
      </c>
      <c r="J20" s="93" t="s">
        <v>219</v>
      </c>
      <c r="K20" s="154">
        <v>132060</v>
      </c>
      <c r="L20" s="154">
        <f>L$18-L$19</f>
        <v>161152</v>
      </c>
      <c r="M20" s="154">
        <f t="shared" ref="M20:N20" si="31">M$18-M$19</f>
        <v>175698</v>
      </c>
      <c r="N20" s="154">
        <f t="shared" si="31"/>
        <v>182970.99999999988</v>
      </c>
      <c r="P20" s="58" t="s">
        <v>21</v>
      </c>
      <c r="Q20" s="95">
        <v>144750</v>
      </c>
      <c r="R20" s="157">
        <f>SUM(R$17:R$19)</f>
        <v>173700</v>
      </c>
      <c r="S20" s="157">
        <f t="shared" ref="S20:T20" si="32">SUM(S$17:S$19)</f>
        <v>188175</v>
      </c>
      <c r="T20" s="157">
        <f t="shared" si="32"/>
        <v>195412.5</v>
      </c>
      <c r="U20" s="63"/>
      <c r="V20" s="19" t="s">
        <v>48</v>
      </c>
      <c r="W20" s="95">
        <v>155000</v>
      </c>
      <c r="X20" s="98">
        <f>W$20</f>
        <v>155000</v>
      </c>
      <c r="Y20" s="98">
        <f t="shared" ref="Y20:Z20" si="33">X$20</f>
        <v>155000</v>
      </c>
      <c r="Z20" s="98">
        <f t="shared" si="33"/>
        <v>155000</v>
      </c>
    </row>
    <row r="21" spans="1:26" x14ac:dyDescent="0.3">
      <c r="A21" s="93" t="s">
        <v>20</v>
      </c>
      <c r="B21" s="99">
        <f>B19-B20</f>
        <v>125698.56</v>
      </c>
      <c r="D21" s="17" t="s">
        <v>29</v>
      </c>
      <c r="E21" s="95"/>
      <c r="F21" s="194"/>
      <c r="G21" s="21" t="s">
        <v>124</v>
      </c>
      <c r="H21" s="151"/>
      <c r="J21" s="92" t="s">
        <v>120</v>
      </c>
      <c r="K21" s="95">
        <v>29053</v>
      </c>
      <c r="L21" s="95">
        <f>L$20*0.22</f>
        <v>35453.440000000002</v>
      </c>
      <c r="M21" s="95">
        <f t="shared" ref="M21:N21" si="34">M$20*0.22</f>
        <v>38653.56</v>
      </c>
      <c r="N21" s="95">
        <f t="shared" si="34"/>
        <v>40253.619999999974</v>
      </c>
      <c r="P21" s="17" t="s">
        <v>29</v>
      </c>
      <c r="Q21" s="95"/>
      <c r="R21" s="158"/>
      <c r="S21" s="158"/>
      <c r="T21" s="158"/>
      <c r="U21" s="69"/>
      <c r="V21" s="21" t="s">
        <v>124</v>
      </c>
      <c r="W21" s="151"/>
      <c r="X21" s="92"/>
      <c r="Y21" s="92"/>
      <c r="Z21" s="92"/>
    </row>
    <row r="22" spans="1:26" x14ac:dyDescent="0.3">
      <c r="A22" s="92" t="s">
        <v>121</v>
      </c>
      <c r="B22" s="98">
        <f>B24</f>
        <v>44203.83699593231</v>
      </c>
      <c r="D22" s="5" t="s">
        <v>131</v>
      </c>
      <c r="E22" s="95">
        <f t="shared" si="25"/>
        <v>475800</v>
      </c>
      <c r="F22" s="194"/>
      <c r="G22" s="19" t="s">
        <v>103</v>
      </c>
      <c r="H22" s="95">
        <f>$H9</f>
        <v>130000</v>
      </c>
      <c r="J22" s="93" t="s">
        <v>20</v>
      </c>
      <c r="K22" s="155">
        <v>103007</v>
      </c>
      <c r="L22" s="155">
        <f>L$20-L$21</f>
        <v>125698.56</v>
      </c>
      <c r="M22" s="155">
        <f t="shared" ref="M22:N22" si="35">M$20-M$21</f>
        <v>137044.44</v>
      </c>
      <c r="N22" s="155">
        <f t="shared" si="35"/>
        <v>142717.37999999992</v>
      </c>
      <c r="P22" s="5" t="s">
        <v>131</v>
      </c>
      <c r="Q22" s="95">
        <v>396500</v>
      </c>
      <c r="R22" s="157">
        <f t="shared" ref="R22:T22" si="36">$Q22*(1+R$15)</f>
        <v>475800</v>
      </c>
      <c r="S22" s="157">
        <f t="shared" si="36"/>
        <v>515450</v>
      </c>
      <c r="T22" s="157">
        <f t="shared" si="36"/>
        <v>535275</v>
      </c>
      <c r="U22" s="63"/>
      <c r="V22" s="19" t="s">
        <v>103</v>
      </c>
      <c r="W22" s="95">
        <v>130000</v>
      </c>
      <c r="X22" s="98">
        <f>W$22</f>
        <v>130000</v>
      </c>
      <c r="Y22" s="98">
        <f t="shared" ref="Y22:Z22" si="37">X$22</f>
        <v>130000</v>
      </c>
      <c r="Z22" s="98">
        <f t="shared" si="37"/>
        <v>130000</v>
      </c>
    </row>
    <row r="23" spans="1:26" x14ac:dyDescent="0.3">
      <c r="A23" s="92" t="s">
        <v>122</v>
      </c>
      <c r="B23" s="98">
        <f>B25</f>
        <v>81494.723004067695</v>
      </c>
      <c r="D23" s="47" t="s">
        <v>133</v>
      </c>
      <c r="E23" s="96">
        <f>E22+E20</f>
        <v>649500</v>
      </c>
      <c r="F23" s="194"/>
      <c r="G23" s="19" t="s">
        <v>104</v>
      </c>
      <c r="H23" s="95">
        <f>H10+B25</f>
        <v>256224.7230040677</v>
      </c>
      <c r="J23" s="92" t="s">
        <v>121</v>
      </c>
      <c r="K23" s="95">
        <v>36224</v>
      </c>
      <c r="L23" s="95">
        <f>L$22*($K$23/$K$22)</f>
        <v>44203.83699593231</v>
      </c>
      <c r="M23" s="95">
        <f t="shared" ref="M23:N23" si="38">M$22*($K$23/$K$22)</f>
        <v>48193.790660440551</v>
      </c>
      <c r="N23" s="95">
        <f t="shared" si="38"/>
        <v>50188.767492694642</v>
      </c>
      <c r="P23" s="47" t="s">
        <v>133</v>
      </c>
      <c r="Q23" s="96">
        <v>541250</v>
      </c>
      <c r="R23" s="159">
        <f>R$22+R$20</f>
        <v>649500</v>
      </c>
      <c r="S23" s="159">
        <f t="shared" ref="S23:T23" si="39">S$22+S$20</f>
        <v>703625</v>
      </c>
      <c r="T23" s="159">
        <f t="shared" si="39"/>
        <v>730687.5</v>
      </c>
      <c r="U23" s="67"/>
      <c r="V23" s="19" t="s">
        <v>104</v>
      </c>
      <c r="W23" s="95">
        <v>174730</v>
      </c>
      <c r="X23" s="98">
        <f>$W$23+L$24</f>
        <v>256224.7230040677</v>
      </c>
      <c r="Y23" s="98">
        <f t="shared" ref="Y23:Z23" si="40">$W$23+M$24</f>
        <v>263580.64933955949</v>
      </c>
      <c r="Z23" s="98">
        <f t="shared" si="40"/>
        <v>267258.61250730528</v>
      </c>
    </row>
    <row r="24" spans="1:26" ht="15.65" x14ac:dyDescent="0.3">
      <c r="A24" s="71" t="s">
        <v>134</v>
      </c>
      <c r="B24" s="77">
        <f>B21*(B10/B9)</f>
        <v>44203.83699593231</v>
      </c>
      <c r="C24" s="61"/>
      <c r="D24" s="59"/>
      <c r="E24" s="59"/>
      <c r="F24" s="194"/>
      <c r="G24" s="21" t="s">
        <v>39</v>
      </c>
      <c r="H24" s="95">
        <f>SUM(H22:H23)</f>
        <v>386224.72300406767</v>
      </c>
      <c r="J24" s="92" t="s">
        <v>122</v>
      </c>
      <c r="K24" s="95">
        <v>66783</v>
      </c>
      <c r="L24" s="95">
        <f>L$22-L$23</f>
        <v>81494.723004067695</v>
      </c>
      <c r="M24" s="95">
        <f t="shared" ref="M24:N24" si="41">M$22-M$23</f>
        <v>88850.649339559459</v>
      </c>
      <c r="N24" s="95">
        <f t="shared" si="41"/>
        <v>92528.612507305283</v>
      </c>
      <c r="P24" s="69"/>
      <c r="Q24" s="69"/>
      <c r="R24" s="19"/>
      <c r="S24" s="69"/>
      <c r="T24" s="69"/>
      <c r="U24" s="69"/>
      <c r="V24" s="21" t="s">
        <v>39</v>
      </c>
      <c r="W24" s="154">
        <f>SUM(W22:W23)</f>
        <v>304730</v>
      </c>
      <c r="X24" s="160">
        <f>SUM(X$22:X$23)</f>
        <v>386224.72300406767</v>
      </c>
      <c r="Y24" s="160">
        <f t="shared" ref="Y24:Z24" si="42">SUM(Y$22:Y$23)</f>
        <v>393580.64933955949</v>
      </c>
      <c r="Z24" s="160">
        <f t="shared" si="42"/>
        <v>397258.61250730528</v>
      </c>
    </row>
    <row r="25" spans="1:26" ht="16.3" thickBot="1" x14ac:dyDescent="0.35">
      <c r="A25" s="71" t="s">
        <v>135</v>
      </c>
      <c r="B25" s="77">
        <f>B21-B24</f>
        <v>81494.723004067695</v>
      </c>
      <c r="C25" s="61"/>
      <c r="D25" s="59"/>
      <c r="E25" s="59"/>
      <c r="F25" s="194"/>
      <c r="G25" s="21" t="s">
        <v>105</v>
      </c>
      <c r="H25" s="96">
        <f>H24+H20+H19</f>
        <v>635784.72300406767</v>
      </c>
      <c r="P25" s="69"/>
      <c r="Q25" s="65" t="s">
        <v>27</v>
      </c>
      <c r="R25" s="66">
        <f>R$23-X$25</f>
        <v>13715.276995932334</v>
      </c>
      <c r="S25" s="66">
        <f t="shared" ref="S25:T25" si="43">S$23-Y$25</f>
        <v>53964.350660440512</v>
      </c>
      <c r="T25" s="66">
        <f t="shared" si="43"/>
        <v>74088.887492694659</v>
      </c>
      <c r="U25" s="67"/>
      <c r="V25" s="21" t="s">
        <v>105</v>
      </c>
      <c r="W25" s="155">
        <v>541250</v>
      </c>
      <c r="X25" s="161">
        <f>X$24+X$20+X$19</f>
        <v>635784.72300406767</v>
      </c>
      <c r="Y25" s="161">
        <f t="shared" ref="Y25:Z25" si="44">Y$24+Y$20+Y$19</f>
        <v>649660.64933955949</v>
      </c>
      <c r="Z25" s="161">
        <f t="shared" si="44"/>
        <v>656598.61250730534</v>
      </c>
    </row>
    <row r="26" spans="1:26" ht="15.65" x14ac:dyDescent="0.3">
      <c r="A26" s="73" t="s">
        <v>27</v>
      </c>
      <c r="B26" s="77">
        <f>E23-H25</f>
        <v>13715.276995932334</v>
      </c>
      <c r="C26" s="104"/>
      <c r="R26" s="61"/>
      <c r="S26" s="61"/>
      <c r="T26" s="61"/>
    </row>
    <row r="27" spans="1:26" ht="16.45" customHeight="1" x14ac:dyDescent="0.3">
      <c r="A27" s="71" t="s">
        <v>146</v>
      </c>
      <c r="B27" s="77">
        <f>B2/0.8</f>
        <v>1114500</v>
      </c>
      <c r="C27" s="54"/>
    </row>
    <row r="28" spans="1:26" ht="40.549999999999997" customHeight="1" x14ac:dyDescent="0.3">
      <c r="A28" s="71" t="s">
        <v>170</v>
      </c>
      <c r="B28" s="90">
        <f>E9/B27</f>
        <v>0.35576491700314045</v>
      </c>
      <c r="C28" s="61"/>
      <c r="P28" s="174" t="s">
        <v>156</v>
      </c>
      <c r="Q28" s="175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5.65" x14ac:dyDescent="0.3">
      <c r="A29" s="73" t="s">
        <v>220</v>
      </c>
      <c r="B29" s="77">
        <f>B14*B28</f>
        <v>380640</v>
      </c>
      <c r="C29" s="54"/>
      <c r="P29" s="195" t="s">
        <v>44</v>
      </c>
      <c r="Q29" s="192"/>
      <c r="R29" s="68">
        <v>0.2</v>
      </c>
      <c r="S29" s="68">
        <v>0.3</v>
      </c>
      <c r="T29" s="68">
        <v>0.35</v>
      </c>
      <c r="U29" s="63"/>
      <c r="V29" s="195" t="s">
        <v>127</v>
      </c>
      <c r="W29" s="192"/>
      <c r="X29" s="68">
        <v>0.2</v>
      </c>
      <c r="Y29" s="68">
        <v>0.3</v>
      </c>
      <c r="Z29" s="68">
        <v>0.35</v>
      </c>
    </row>
    <row r="30" spans="1:26" ht="17.25" customHeight="1" x14ac:dyDescent="0.3">
      <c r="A30" s="73" t="s">
        <v>171</v>
      </c>
      <c r="B30" s="77">
        <f>(B29+E20)-H25</f>
        <v>-81444.723004067666</v>
      </c>
      <c r="P30" s="56" t="s">
        <v>132</v>
      </c>
      <c r="Q30" s="55"/>
      <c r="R30" s="19"/>
      <c r="S30" s="69"/>
      <c r="T30" s="69"/>
      <c r="U30" s="69"/>
      <c r="V30" s="57" t="s">
        <v>123</v>
      </c>
      <c r="W30" s="55"/>
      <c r="X30" s="62"/>
      <c r="Y30" s="62"/>
      <c r="Z30" s="62"/>
    </row>
    <row r="31" spans="1:26" ht="16.45" customHeight="1" x14ac:dyDescent="0.3">
      <c r="A31" s="73" t="s">
        <v>169</v>
      </c>
      <c r="B31" s="77">
        <f>(E9+E20)-H25</f>
        <v>-65584.723004067666</v>
      </c>
      <c r="P31" s="5" t="s">
        <v>128</v>
      </c>
      <c r="Q31" s="95">
        <v>24280</v>
      </c>
      <c r="R31" s="63">
        <f>R17</f>
        <v>29136</v>
      </c>
      <c r="S31" s="63">
        <f t="shared" ref="S31:T31" si="45">S17</f>
        <v>31564</v>
      </c>
      <c r="T31" s="63">
        <f t="shared" si="45"/>
        <v>32778</v>
      </c>
      <c r="U31" s="63"/>
      <c r="V31" s="19" t="s">
        <v>100</v>
      </c>
      <c r="W31" s="95">
        <v>65200</v>
      </c>
      <c r="X31" s="95">
        <f>X17</f>
        <v>78240</v>
      </c>
      <c r="Y31" s="95">
        <f t="shared" ref="Y31:Z31" si="46">Y17</f>
        <v>84760</v>
      </c>
      <c r="Z31" s="95">
        <f t="shared" si="46"/>
        <v>88020</v>
      </c>
    </row>
    <row r="32" spans="1:26" ht="16.45" customHeight="1" x14ac:dyDescent="0.3">
      <c r="A32" s="73" t="s">
        <v>147</v>
      </c>
      <c r="B32" s="179">
        <f>(H7+H6)/H11</f>
        <v>0.77616250451219115</v>
      </c>
      <c r="C32" s="61"/>
      <c r="P32" s="5" t="s">
        <v>129</v>
      </c>
      <c r="Q32" s="95">
        <f>37070</f>
        <v>37070</v>
      </c>
      <c r="R32" s="63">
        <f t="shared" ref="R32:T32" si="47">R18</f>
        <v>44484</v>
      </c>
      <c r="S32" s="63">
        <f t="shared" si="47"/>
        <v>48191</v>
      </c>
      <c r="T32" s="63">
        <f t="shared" si="47"/>
        <v>50044.5</v>
      </c>
      <c r="U32" s="63"/>
      <c r="V32" s="19" t="s">
        <v>101</v>
      </c>
      <c r="W32" s="95">
        <v>16320</v>
      </c>
      <c r="X32" s="95">
        <f t="shared" ref="X32:Z32" si="48">X18</f>
        <v>16320</v>
      </c>
      <c r="Y32" s="95">
        <f t="shared" si="48"/>
        <v>16320</v>
      </c>
      <c r="Z32" s="95">
        <f t="shared" si="48"/>
        <v>16320</v>
      </c>
    </row>
    <row r="33" spans="1:26" ht="15.65" x14ac:dyDescent="0.3">
      <c r="A33" s="73" t="s">
        <v>172</v>
      </c>
      <c r="B33" s="77">
        <f>B32*H24</f>
        <v>299773.14831136446</v>
      </c>
      <c r="P33" s="5" t="s">
        <v>130</v>
      </c>
      <c r="Q33" s="95">
        <v>83400</v>
      </c>
      <c r="R33" s="63">
        <f t="shared" ref="R33:T33" si="49">R19</f>
        <v>100080</v>
      </c>
      <c r="S33" s="63">
        <f t="shared" si="49"/>
        <v>108420</v>
      </c>
      <c r="T33" s="63">
        <f t="shared" si="49"/>
        <v>112590.00000000001</v>
      </c>
      <c r="U33" s="63"/>
      <c r="V33" s="21" t="s">
        <v>39</v>
      </c>
      <c r="W33" s="95">
        <v>81520</v>
      </c>
      <c r="X33" s="95">
        <f t="shared" ref="X33:Z33" si="50">X19</f>
        <v>94560</v>
      </c>
      <c r="Y33" s="95">
        <f t="shared" si="50"/>
        <v>101080</v>
      </c>
      <c r="Z33" s="95">
        <f t="shared" si="50"/>
        <v>104340</v>
      </c>
    </row>
    <row r="34" spans="1:26" ht="14.25" customHeight="1" x14ac:dyDescent="0.3">
      <c r="A34" s="71" t="s">
        <v>173</v>
      </c>
      <c r="B34" s="77">
        <f>H4*0.2</f>
        <v>13040</v>
      </c>
      <c r="C34" s="60"/>
      <c r="P34" s="58" t="s">
        <v>21</v>
      </c>
      <c r="Q34" s="95">
        <v>144750</v>
      </c>
      <c r="R34" s="63">
        <f t="shared" ref="R34:T34" si="51">R20</f>
        <v>173700</v>
      </c>
      <c r="S34" s="63">
        <f t="shared" si="51"/>
        <v>188175</v>
      </c>
      <c r="T34" s="63">
        <f t="shared" si="51"/>
        <v>195412.5</v>
      </c>
      <c r="U34" s="63"/>
      <c r="V34" s="19" t="s">
        <v>48</v>
      </c>
      <c r="W34" s="95">
        <v>155000</v>
      </c>
      <c r="X34" s="95">
        <f>$B$32*X$24</f>
        <v>299773.14831136446</v>
      </c>
      <c r="Y34" s="95">
        <f t="shared" ref="Y34:Z34" si="52">$B$32*Y$24</f>
        <v>305482.54251892696</v>
      </c>
      <c r="Z34" s="95">
        <f t="shared" si="52"/>
        <v>308337.23962270812</v>
      </c>
    </row>
    <row r="35" spans="1:26" ht="14.25" customHeight="1" x14ac:dyDescent="0.3">
      <c r="A35" s="73" t="s">
        <v>174</v>
      </c>
      <c r="B35" s="77">
        <f>B33-(H7+H6+B34)</f>
        <v>50213.148311364464</v>
      </c>
      <c r="C35" s="60"/>
      <c r="P35" s="17" t="s">
        <v>29</v>
      </c>
      <c r="Q35" s="95"/>
      <c r="R35" s="63"/>
      <c r="S35" s="63"/>
      <c r="T35" s="63"/>
      <c r="U35" s="63"/>
      <c r="V35" s="19" t="s">
        <v>179</v>
      </c>
      <c r="W35" s="95"/>
      <c r="X35" s="95">
        <f>X$34-X$33</f>
        <v>205213.14831136446</v>
      </c>
      <c r="Y35" s="95">
        <f t="shared" ref="Y35:Z35" si="53">Y$34-Y$33</f>
        <v>204402.54251892696</v>
      </c>
      <c r="Z35" s="95">
        <f t="shared" si="53"/>
        <v>203997.23962270812</v>
      </c>
    </row>
    <row r="36" spans="1:26" ht="14.25" customHeight="1" x14ac:dyDescent="0.3">
      <c r="A36" s="71" t="s">
        <v>176</v>
      </c>
      <c r="B36" s="78">
        <f>(H7+H6)/E10</f>
        <v>0.43698845265588915</v>
      </c>
      <c r="P36" s="5" t="s">
        <v>131</v>
      </c>
      <c r="Q36" s="95">
        <v>396500</v>
      </c>
      <c r="R36" s="63">
        <f t="shared" ref="R36:T36" si="54">R22</f>
        <v>475800</v>
      </c>
      <c r="S36" s="63">
        <f t="shared" si="54"/>
        <v>515450</v>
      </c>
      <c r="T36" s="63">
        <f t="shared" si="54"/>
        <v>535275</v>
      </c>
      <c r="U36" s="63"/>
      <c r="V36" s="21" t="s">
        <v>124</v>
      </c>
      <c r="W36" s="151"/>
      <c r="X36" s="151"/>
      <c r="Y36" s="151"/>
      <c r="Z36" s="151"/>
    </row>
    <row r="37" spans="1:26" ht="15.65" x14ac:dyDescent="0.3">
      <c r="A37" s="71" t="s">
        <v>177</v>
      </c>
      <c r="B37" s="78">
        <f>1-B36</f>
        <v>0.56301154734411085</v>
      </c>
      <c r="P37" s="47" t="s">
        <v>133</v>
      </c>
      <c r="Q37" s="96">
        <v>541250</v>
      </c>
      <c r="R37" s="63">
        <f t="shared" ref="R37:T37" si="55">R23</f>
        <v>649500</v>
      </c>
      <c r="S37" s="63">
        <f t="shared" si="55"/>
        <v>703625</v>
      </c>
      <c r="T37" s="63">
        <f t="shared" si="55"/>
        <v>730687.5</v>
      </c>
      <c r="U37" s="63"/>
      <c r="V37" s="19" t="s">
        <v>103</v>
      </c>
      <c r="W37" s="95">
        <v>130000</v>
      </c>
      <c r="X37" s="95">
        <f>X22</f>
        <v>130000</v>
      </c>
      <c r="Y37" s="95">
        <f t="shared" ref="Y37:Z37" si="56">Y22</f>
        <v>130000</v>
      </c>
      <c r="Z37" s="95">
        <f t="shared" si="56"/>
        <v>130000</v>
      </c>
    </row>
    <row r="38" spans="1:26" ht="14.25" customHeight="1" thickBot="1" x14ac:dyDescent="0.35">
      <c r="A38" s="73" t="s">
        <v>221</v>
      </c>
      <c r="B38" s="77">
        <f>$B36*$E$23</f>
        <v>283824</v>
      </c>
      <c r="P38" s="69"/>
      <c r="Q38" s="65" t="s">
        <v>223</v>
      </c>
      <c r="R38" s="66">
        <f>R$40</f>
        <v>50213.148311364464</v>
      </c>
      <c r="S38" s="66">
        <f t="shared" ref="S38:T38" si="57">S$40</f>
        <v>49402.542518926959</v>
      </c>
      <c r="T38" s="66">
        <f t="shared" si="57"/>
        <v>48997.239622708119</v>
      </c>
      <c r="U38" s="63"/>
      <c r="V38" s="19" t="s">
        <v>104</v>
      </c>
      <c r="W38" s="95">
        <v>174730</v>
      </c>
      <c r="X38" s="95">
        <f t="shared" ref="X38:Z38" si="58">X23</f>
        <v>256224.7230040677</v>
      </c>
      <c r="Y38" s="95">
        <f t="shared" si="58"/>
        <v>263580.64933955949</v>
      </c>
      <c r="Z38" s="95">
        <f t="shared" si="58"/>
        <v>267258.61250730528</v>
      </c>
    </row>
    <row r="39" spans="1:26" ht="14.25" customHeight="1" thickBot="1" x14ac:dyDescent="0.35">
      <c r="A39" s="73" t="s">
        <v>222</v>
      </c>
      <c r="B39" s="77">
        <f>$B37*$E$23</f>
        <v>365676</v>
      </c>
      <c r="P39" s="69"/>
      <c r="Q39" s="65" t="s">
        <v>178</v>
      </c>
      <c r="R39" s="66">
        <f>R$40+R$41</f>
        <v>13715.276995932334</v>
      </c>
      <c r="S39" s="66">
        <f t="shared" ref="S39:T39" si="59">S$40+S$41</f>
        <v>53964.350660440454</v>
      </c>
      <c r="T39" s="66">
        <f t="shared" si="59"/>
        <v>74088.887492694717</v>
      </c>
      <c r="U39" s="63"/>
      <c r="V39" s="21" t="s">
        <v>180</v>
      </c>
      <c r="W39" s="154">
        <f>SUM(W37:W38)</f>
        <v>304730</v>
      </c>
      <c r="X39" s="154">
        <f t="shared" ref="X39:Z39" si="60">X24</f>
        <v>386224.72300406767</v>
      </c>
      <c r="Y39" s="154">
        <f t="shared" si="60"/>
        <v>393580.64933955949</v>
      </c>
      <c r="Z39" s="154">
        <f t="shared" si="60"/>
        <v>397258.61250730528</v>
      </c>
    </row>
    <row r="40" spans="1:26" ht="14.25" customHeight="1" thickBot="1" x14ac:dyDescent="0.35">
      <c r="A40" s="71" t="s">
        <v>150</v>
      </c>
      <c r="B40" s="77">
        <f>(E50+E49)-B38</f>
        <v>15949.148311364464</v>
      </c>
      <c r="P40" s="65" t="s">
        <v>224</v>
      </c>
      <c r="Q40" s="65"/>
      <c r="R40" s="66">
        <f>X$35-X$20</f>
        <v>50213.148311364464</v>
      </c>
      <c r="S40" s="66">
        <f t="shared" ref="S40:T40" si="61">Y$35-Y$20</f>
        <v>49402.542518926959</v>
      </c>
      <c r="T40" s="66">
        <f t="shared" si="61"/>
        <v>48997.239622708119</v>
      </c>
      <c r="U40" s="63"/>
      <c r="V40" s="21" t="s">
        <v>105</v>
      </c>
      <c r="W40" s="155">
        <v>541250</v>
      </c>
      <c r="X40" s="155">
        <f>X$39+X$35+X$33</f>
        <v>685997.87131543213</v>
      </c>
      <c r="Y40" s="155">
        <f>Y$39+Y$35+Y$33</f>
        <v>699063.19185848651</v>
      </c>
      <c r="Z40" s="155">
        <f>Z$39+Z$35+Z$33</f>
        <v>705595.8521300134</v>
      </c>
    </row>
    <row r="41" spans="1:26" ht="14.25" customHeight="1" thickBot="1" x14ac:dyDescent="0.35">
      <c r="A41" s="71" t="s">
        <v>151</v>
      </c>
      <c r="B41" s="77">
        <f>E54-B39</f>
        <v>20548.723004067666</v>
      </c>
      <c r="C41" s="60"/>
      <c r="P41" s="65" t="s">
        <v>136</v>
      </c>
      <c r="Q41" s="65"/>
      <c r="R41" s="66">
        <f>R$37-X$40</f>
        <v>-36497.87131543213</v>
      </c>
      <c r="S41" s="66">
        <f t="shared" ref="S41:T41" si="62">S$37-Y$40</f>
        <v>4561.8081415134948</v>
      </c>
      <c r="T41" s="66">
        <f t="shared" si="62"/>
        <v>25091.647869986598</v>
      </c>
    </row>
    <row r="42" spans="1:26" ht="14.25" customHeight="1" x14ac:dyDescent="0.3">
      <c r="B42" s="40"/>
      <c r="P42" s="65" t="s">
        <v>225</v>
      </c>
      <c r="Q42" s="156"/>
      <c r="R42" s="157">
        <f>($B$36*R$37)-(X$33+X$35)</f>
        <v>-15949.148311364464</v>
      </c>
      <c r="S42" s="157">
        <f>($B$36*S$37)-(Y$33+Y$35)</f>
        <v>1993.457481073041</v>
      </c>
      <c r="T42" s="157">
        <f>($B$36*T$37)-(Z$33+Z$35)</f>
        <v>10964.760377291881</v>
      </c>
    </row>
    <row r="43" spans="1:26" x14ac:dyDescent="0.3">
      <c r="P43" s="65" t="s">
        <v>226</v>
      </c>
      <c r="Q43" s="156"/>
      <c r="R43" s="157">
        <f>($B$37*R$37)-X$39</f>
        <v>-20548.723004067666</v>
      </c>
      <c r="S43" s="157">
        <f t="shared" ref="S43:T43" si="63">($B$37*S$37)-Y$39</f>
        <v>2568.350660440512</v>
      </c>
      <c r="T43" s="157">
        <f t="shared" si="63"/>
        <v>14126.887492694717</v>
      </c>
      <c r="U43" s="101"/>
    </row>
    <row r="44" spans="1:26" ht="34.450000000000003" customHeight="1" x14ac:dyDescent="0.3">
      <c r="A44" s="177" t="s">
        <v>148</v>
      </c>
      <c r="B44" s="178"/>
      <c r="C44" s="178"/>
      <c r="D44" s="178"/>
      <c r="E44" s="178"/>
      <c r="P44" s="42" t="s">
        <v>227</v>
      </c>
      <c r="Q44" s="8"/>
      <c r="R44" s="162">
        <f>(X$35+X$33+R$42)/(X$39+R$43)</f>
        <v>0.77616250451219115</v>
      </c>
      <c r="S44" s="162">
        <f t="shared" ref="S44:T44" si="64">(Y$35+Y$33+S$42)/(Y$39+S$43)</f>
        <v>0.77616250451219115</v>
      </c>
      <c r="T44" s="162">
        <f t="shared" si="64"/>
        <v>0.77616250451219115</v>
      </c>
      <c r="U44" s="102"/>
    </row>
    <row r="45" spans="1:26" x14ac:dyDescent="0.3">
      <c r="A45" s="192" t="s">
        <v>126</v>
      </c>
      <c r="B45" s="192"/>
      <c r="C45" s="192" t="s">
        <v>127</v>
      </c>
      <c r="D45" s="192"/>
      <c r="E45" s="192"/>
      <c r="S45" s="60"/>
      <c r="T45" s="54"/>
      <c r="U45" s="116"/>
    </row>
    <row r="46" spans="1:26" ht="16.45" customHeight="1" x14ac:dyDescent="0.3">
      <c r="A46" s="56" t="s">
        <v>132</v>
      </c>
      <c r="B46" s="55"/>
      <c r="C46" s="193"/>
      <c r="D46" s="57" t="s">
        <v>123</v>
      </c>
      <c r="E46" s="55"/>
      <c r="S46" s="60"/>
      <c r="T46" s="60"/>
      <c r="U46" s="103"/>
      <c r="V46" s="60"/>
    </row>
    <row r="47" spans="1:26" x14ac:dyDescent="0.3">
      <c r="A47" s="5" t="s">
        <v>128</v>
      </c>
      <c r="B47" s="95">
        <f>$E17</f>
        <v>29136</v>
      </c>
      <c r="C47" s="194"/>
      <c r="D47" s="19" t="s">
        <v>100</v>
      </c>
      <c r="E47" s="95">
        <f>$H17</f>
        <v>78240</v>
      </c>
      <c r="S47" s="60"/>
      <c r="T47" s="60"/>
      <c r="U47" s="102"/>
    </row>
    <row r="48" spans="1:26" x14ac:dyDescent="0.3">
      <c r="A48" s="5" t="s">
        <v>129</v>
      </c>
      <c r="B48" s="95">
        <f t="shared" ref="B48:B49" si="65">$E18</f>
        <v>44484</v>
      </c>
      <c r="C48" s="194"/>
      <c r="D48" s="19" t="s">
        <v>101</v>
      </c>
      <c r="E48" s="95">
        <f>$H18</f>
        <v>16320</v>
      </c>
      <c r="T48" s="60"/>
      <c r="U48" s="118"/>
    </row>
    <row r="49" spans="1:6" x14ac:dyDescent="0.3">
      <c r="A49" s="5" t="s">
        <v>130</v>
      </c>
      <c r="B49" s="95">
        <f t="shared" si="65"/>
        <v>100080</v>
      </c>
      <c r="C49" s="194"/>
      <c r="D49" s="21" t="s">
        <v>39</v>
      </c>
      <c r="E49" s="95">
        <f>SUM(E47:E48)</f>
        <v>94560</v>
      </c>
    </row>
    <row r="50" spans="1:6" x14ac:dyDescent="0.3">
      <c r="A50" s="58" t="s">
        <v>21</v>
      </c>
      <c r="B50" s="96">
        <f>SUM(B47:B49)</f>
        <v>173700</v>
      </c>
      <c r="C50" s="194"/>
      <c r="D50" s="19" t="s">
        <v>48</v>
      </c>
      <c r="E50" s="95">
        <f>$H20+B35</f>
        <v>205213.14831136446</v>
      </c>
      <c r="F50" s="104"/>
    </row>
    <row r="51" spans="1:6" x14ac:dyDescent="0.3">
      <c r="A51" s="17" t="s">
        <v>29</v>
      </c>
      <c r="B51" s="95"/>
      <c r="C51" s="194"/>
      <c r="D51" s="21" t="s">
        <v>124</v>
      </c>
      <c r="E51" s="151"/>
    </row>
    <row r="52" spans="1:6" x14ac:dyDescent="0.3">
      <c r="A52" s="5" t="s">
        <v>131</v>
      </c>
      <c r="B52" s="95">
        <f t="shared" ref="B52" si="66">$E22</f>
        <v>475800</v>
      </c>
      <c r="C52" s="194"/>
      <c r="D52" s="19" t="s">
        <v>103</v>
      </c>
      <c r="E52" s="95">
        <f>$H22</f>
        <v>130000</v>
      </c>
    </row>
    <row r="53" spans="1:6" x14ac:dyDescent="0.3">
      <c r="A53" s="47" t="s">
        <v>133</v>
      </c>
      <c r="B53" s="96">
        <f>B52+B50</f>
        <v>649500</v>
      </c>
      <c r="C53" s="194"/>
      <c r="D53" s="19" t="s">
        <v>104</v>
      </c>
      <c r="E53" s="95">
        <f>$H23</f>
        <v>256224.7230040677</v>
      </c>
    </row>
    <row r="54" spans="1:6" x14ac:dyDescent="0.3">
      <c r="A54" s="70"/>
      <c r="B54" s="70"/>
      <c r="C54" s="194"/>
      <c r="D54" s="21" t="s">
        <v>39</v>
      </c>
      <c r="E54" s="95">
        <f>SUM(E52:E53)</f>
        <v>386224.72300406767</v>
      </c>
    </row>
    <row r="55" spans="1:6" x14ac:dyDescent="0.3">
      <c r="A55" s="65" t="s">
        <v>149</v>
      </c>
      <c r="B55" s="100">
        <f>B53-E55</f>
        <v>-36497.87131543213</v>
      </c>
      <c r="C55" s="194"/>
      <c r="D55" s="21" t="s">
        <v>105</v>
      </c>
      <c r="E55" s="96">
        <f>E54+E50+E49</f>
        <v>685997.87131543213</v>
      </c>
    </row>
    <row r="56" spans="1:6" x14ac:dyDescent="0.3">
      <c r="E56" s="61"/>
    </row>
    <row r="57" spans="1:6" ht="32.25" customHeight="1" x14ac:dyDescent="0.3">
      <c r="A57" s="177" t="s">
        <v>148</v>
      </c>
      <c r="B57" s="178"/>
      <c r="C57" s="178"/>
      <c r="D57" s="178"/>
      <c r="E57" s="178"/>
    </row>
    <row r="58" spans="1:6" x14ac:dyDescent="0.3">
      <c r="A58" s="192" t="s">
        <v>126</v>
      </c>
      <c r="B58" s="192"/>
      <c r="C58" s="192" t="s">
        <v>127</v>
      </c>
      <c r="D58" s="192"/>
      <c r="E58" s="192"/>
    </row>
    <row r="59" spans="1:6" ht="21.8" customHeight="1" x14ac:dyDescent="0.3">
      <c r="A59" s="56" t="s">
        <v>132</v>
      </c>
      <c r="B59" s="152"/>
      <c r="C59" s="193"/>
      <c r="D59" s="57" t="s">
        <v>123</v>
      </c>
      <c r="E59" s="55"/>
    </row>
    <row r="60" spans="1:6" x14ac:dyDescent="0.3">
      <c r="A60" s="5" t="s">
        <v>128</v>
      </c>
      <c r="B60" s="95">
        <f>B47</f>
        <v>29136</v>
      </c>
      <c r="C60" s="194"/>
      <c r="D60" s="19" t="s">
        <v>100</v>
      </c>
      <c r="E60" s="95">
        <f>$E47</f>
        <v>78240</v>
      </c>
    </row>
    <row r="61" spans="1:6" x14ac:dyDescent="0.3">
      <c r="A61" s="65" t="s">
        <v>175</v>
      </c>
      <c r="B61" s="95">
        <f>-B55</f>
        <v>36497.87131543213</v>
      </c>
      <c r="C61" s="194"/>
      <c r="D61" s="19" t="s">
        <v>101</v>
      </c>
      <c r="E61" s="95">
        <f>$E48</f>
        <v>16320</v>
      </c>
    </row>
    <row r="62" spans="1:6" x14ac:dyDescent="0.3">
      <c r="A62" s="5" t="s">
        <v>129</v>
      </c>
      <c r="B62" s="95">
        <f>$B48</f>
        <v>44484</v>
      </c>
      <c r="C62" s="194"/>
      <c r="D62" s="21" t="s">
        <v>39</v>
      </c>
      <c r="E62" s="95">
        <f>SUM(E60:E61)</f>
        <v>94560</v>
      </c>
    </row>
    <row r="63" spans="1:6" x14ac:dyDescent="0.3">
      <c r="A63" s="5" t="s">
        <v>130</v>
      </c>
      <c r="B63" s="95">
        <f>$B49</f>
        <v>100080</v>
      </c>
      <c r="C63" s="194"/>
      <c r="D63" s="19" t="s">
        <v>48</v>
      </c>
      <c r="E63" s="95">
        <f>$E50</f>
        <v>205213.14831136446</v>
      </c>
    </row>
    <row r="64" spans="1:6" x14ac:dyDescent="0.3">
      <c r="A64" s="58" t="s">
        <v>21</v>
      </c>
      <c r="B64" s="96">
        <f>SUM(B60:B63)</f>
        <v>210197.87131543213</v>
      </c>
      <c r="C64" s="194"/>
      <c r="D64" s="21" t="s">
        <v>124</v>
      </c>
      <c r="E64" s="151"/>
    </row>
    <row r="65" spans="1:5" x14ac:dyDescent="0.3">
      <c r="A65" s="17" t="s">
        <v>29</v>
      </c>
      <c r="B65" s="95"/>
      <c r="C65" s="194"/>
      <c r="D65" s="19" t="s">
        <v>103</v>
      </c>
      <c r="E65" s="95">
        <f>$E52</f>
        <v>130000</v>
      </c>
    </row>
    <row r="66" spans="1:5" x14ac:dyDescent="0.3">
      <c r="A66" s="5" t="s">
        <v>131</v>
      </c>
      <c r="B66" s="95">
        <f>$B52</f>
        <v>475800</v>
      </c>
      <c r="C66" s="194"/>
      <c r="D66" s="19" t="s">
        <v>104</v>
      </c>
      <c r="E66" s="95">
        <f>$E53</f>
        <v>256224.7230040677</v>
      </c>
    </row>
    <row r="67" spans="1:5" x14ac:dyDescent="0.3">
      <c r="A67" s="47" t="s">
        <v>133</v>
      </c>
      <c r="B67" s="96">
        <f>B66+B64</f>
        <v>685997.87131543213</v>
      </c>
      <c r="C67" s="194"/>
      <c r="D67" s="21" t="s">
        <v>39</v>
      </c>
      <c r="E67" s="95">
        <f>SUM(E65:E66)</f>
        <v>386224.72300406767</v>
      </c>
    </row>
    <row r="68" spans="1:5" x14ac:dyDescent="0.3">
      <c r="A68" s="70"/>
      <c r="B68" s="70"/>
      <c r="C68" s="194"/>
      <c r="D68" s="21" t="s">
        <v>105</v>
      </c>
      <c r="E68" s="96">
        <f>E67+E63+E62</f>
        <v>685997.87131543213</v>
      </c>
    </row>
    <row r="70" spans="1:5" ht="35.25" customHeight="1" x14ac:dyDescent="0.3">
      <c r="A70" s="177" t="s">
        <v>148</v>
      </c>
      <c r="B70" s="178"/>
      <c r="C70" s="178"/>
      <c r="D70" s="178"/>
      <c r="E70" s="178"/>
    </row>
    <row r="71" spans="1:5" x14ac:dyDescent="0.3">
      <c r="A71" s="192" t="s">
        <v>126</v>
      </c>
      <c r="B71" s="192"/>
      <c r="C71" s="192" t="s">
        <v>127</v>
      </c>
      <c r="D71" s="192"/>
      <c r="E71" s="192"/>
    </row>
    <row r="72" spans="1:5" ht="20.2" customHeight="1" x14ac:dyDescent="0.3">
      <c r="A72" s="56" t="s">
        <v>132</v>
      </c>
      <c r="B72" s="55"/>
      <c r="C72" s="193"/>
      <c r="D72" s="57" t="s">
        <v>123</v>
      </c>
      <c r="E72" s="55"/>
    </row>
    <row r="73" spans="1:5" x14ac:dyDescent="0.3">
      <c r="A73" s="5" t="s">
        <v>128</v>
      </c>
      <c r="B73" s="95">
        <f>$B47</f>
        <v>29136</v>
      </c>
      <c r="C73" s="194"/>
      <c r="D73" s="19" t="s">
        <v>100</v>
      </c>
      <c r="E73" s="95">
        <f>$E47</f>
        <v>78240</v>
      </c>
    </row>
    <row r="74" spans="1:5" x14ac:dyDescent="0.3">
      <c r="A74" s="5" t="s">
        <v>129</v>
      </c>
      <c r="B74" s="95">
        <f t="shared" ref="B74:B75" si="67">$B48</f>
        <v>44484</v>
      </c>
      <c r="C74" s="194"/>
      <c r="D74" s="19" t="s">
        <v>101</v>
      </c>
      <c r="E74" s="95">
        <f>$E48</f>
        <v>16320</v>
      </c>
    </row>
    <row r="75" spans="1:5" x14ac:dyDescent="0.3">
      <c r="A75" s="5" t="s">
        <v>130</v>
      </c>
      <c r="B75" s="95">
        <f t="shared" si="67"/>
        <v>100080</v>
      </c>
      <c r="C75" s="194"/>
      <c r="D75" s="21" t="s">
        <v>39</v>
      </c>
      <c r="E75" s="95">
        <f>SUM(E73:E74)</f>
        <v>94560</v>
      </c>
    </row>
    <row r="76" spans="1:5" x14ac:dyDescent="0.3">
      <c r="A76" s="58" t="s">
        <v>21</v>
      </c>
      <c r="B76" s="96">
        <f>SUM(B73:B75)</f>
        <v>173700</v>
      </c>
      <c r="C76" s="194"/>
      <c r="D76" s="19" t="s">
        <v>48</v>
      </c>
      <c r="E76" s="95">
        <f>$E50-B40</f>
        <v>189264</v>
      </c>
    </row>
    <row r="77" spans="1:5" x14ac:dyDescent="0.3">
      <c r="A77" s="17" t="s">
        <v>29</v>
      </c>
      <c r="B77" s="95"/>
      <c r="C77" s="194"/>
      <c r="D77" s="21" t="s">
        <v>124</v>
      </c>
      <c r="E77" s="151"/>
    </row>
    <row r="78" spans="1:5" x14ac:dyDescent="0.3">
      <c r="A78" s="5" t="s">
        <v>131</v>
      </c>
      <c r="B78" s="95">
        <f t="shared" ref="B78" si="68">$B52</f>
        <v>475800</v>
      </c>
      <c r="C78" s="194"/>
      <c r="D78" s="19" t="s">
        <v>103</v>
      </c>
      <c r="E78" s="95">
        <f>$E52</f>
        <v>130000</v>
      </c>
    </row>
    <row r="79" spans="1:5" x14ac:dyDescent="0.3">
      <c r="A79" s="47" t="s">
        <v>133</v>
      </c>
      <c r="B79" s="96">
        <f>B78+B76</f>
        <v>649500</v>
      </c>
      <c r="C79" s="194"/>
      <c r="D79" s="19" t="s">
        <v>104</v>
      </c>
      <c r="E79" s="95">
        <f>$E53-B41</f>
        <v>235676.00000000003</v>
      </c>
    </row>
    <row r="80" spans="1:5" x14ac:dyDescent="0.3">
      <c r="A80" s="70"/>
      <c r="B80" s="70"/>
      <c r="C80" s="194"/>
      <c r="D80" s="21" t="s">
        <v>39</v>
      </c>
      <c r="E80" s="95">
        <f>SUM(E78:E79)</f>
        <v>365676</v>
      </c>
    </row>
    <row r="81" spans="1:5" x14ac:dyDescent="0.3">
      <c r="C81" s="194"/>
      <c r="D81" s="21" t="s">
        <v>105</v>
      </c>
      <c r="E81" s="96">
        <f>E80+E76+E75</f>
        <v>649500</v>
      </c>
    </row>
    <row r="82" spans="1:5" x14ac:dyDescent="0.3">
      <c r="A82" s="61"/>
      <c r="E82" s="61"/>
    </row>
  </sheetData>
  <mergeCells count="21">
    <mergeCell ref="F16:F25"/>
    <mergeCell ref="F2:H2"/>
    <mergeCell ref="F3:F12"/>
    <mergeCell ref="D2:E2"/>
    <mergeCell ref="V2:W2"/>
    <mergeCell ref="P2:Q2"/>
    <mergeCell ref="D15:E15"/>
    <mergeCell ref="F15:H15"/>
    <mergeCell ref="P15:Q15"/>
    <mergeCell ref="V15:W15"/>
    <mergeCell ref="A45:B45"/>
    <mergeCell ref="C45:E45"/>
    <mergeCell ref="C46:C55"/>
    <mergeCell ref="P29:Q29"/>
    <mergeCell ref="V29:W29"/>
    <mergeCell ref="A71:B71"/>
    <mergeCell ref="C71:E71"/>
    <mergeCell ref="C72:C81"/>
    <mergeCell ref="A58:B58"/>
    <mergeCell ref="C58:E58"/>
    <mergeCell ref="C59:C68"/>
  </mergeCells>
  <pageMargins left="0.7" right="0.7" top="0.75" bottom="0.75" header="0.3" footer="0.3"/>
  <pageSetup orientation="portrait" horizontalDpi="1200" verticalDpi="1200" r:id="rId1"/>
  <ignoredErrors>
    <ignoredError sqref="B20 H19 E49 E62 E7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7B3-087D-47E4-A4A0-442B7805E03A}">
  <dimension ref="A1:C7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16.44140625" bestFit="1" customWidth="1"/>
    <col min="2" max="3" width="12.6640625" bestFit="1" customWidth="1"/>
  </cols>
  <sheetData>
    <row r="1" spans="1:3" ht="15.65" x14ac:dyDescent="0.3">
      <c r="A1" s="71" t="s">
        <v>4</v>
      </c>
      <c r="B1" s="71">
        <v>0.85</v>
      </c>
    </row>
    <row r="2" spans="1:3" ht="15.65" x14ac:dyDescent="0.3">
      <c r="A2" s="71" t="s">
        <v>5</v>
      </c>
      <c r="B2" s="72">
        <v>7.2999999999999995E-2</v>
      </c>
    </row>
    <row r="3" spans="1:3" ht="15.65" x14ac:dyDescent="0.3">
      <c r="A3" s="71" t="s">
        <v>6</v>
      </c>
      <c r="B3" s="75">
        <v>910000</v>
      </c>
    </row>
    <row r="4" spans="1:3" ht="15.65" x14ac:dyDescent="0.3">
      <c r="A4" s="1"/>
      <c r="B4" s="1"/>
    </row>
    <row r="5" spans="1:3" ht="15.65" x14ac:dyDescent="0.3">
      <c r="A5" s="73" t="s">
        <v>0</v>
      </c>
      <c r="B5" s="71">
        <f>1+B1</f>
        <v>1.85</v>
      </c>
    </row>
    <row r="6" spans="1:3" ht="15.65" x14ac:dyDescent="0.3">
      <c r="A6" s="73" t="s">
        <v>3</v>
      </c>
      <c r="B6" s="74">
        <f>B5*B2</f>
        <v>0.13505</v>
      </c>
      <c r="C6" s="61"/>
    </row>
    <row r="7" spans="1:3" ht="15.65" x14ac:dyDescent="0.3">
      <c r="A7" s="73" t="s">
        <v>7</v>
      </c>
      <c r="B7" s="76">
        <f>B3*B6</f>
        <v>122895.5</v>
      </c>
      <c r="C7" s="54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7B45-5842-4C56-8C85-0359AAD17715}">
  <dimension ref="A1:B5"/>
  <sheetViews>
    <sheetView showGridLines="0" zoomScale="130" zoomScaleNormal="130" workbookViewId="0">
      <selection activeCell="B5" sqref="B5"/>
    </sheetView>
  </sheetViews>
  <sheetFormatPr defaultRowHeight="15.05" x14ac:dyDescent="0.3"/>
  <cols>
    <col min="1" max="1" width="33.109375" bestFit="1" customWidth="1"/>
    <col min="2" max="2" width="6.77734375" bestFit="1" customWidth="1"/>
  </cols>
  <sheetData>
    <row r="1" spans="1:2" ht="15.65" x14ac:dyDescent="0.3">
      <c r="A1" s="73" t="s">
        <v>3</v>
      </c>
      <c r="B1" s="74">
        <f>0.042*(1/0.8)*(1+0.37)</f>
        <v>7.1925000000000017E-2</v>
      </c>
    </row>
    <row r="2" spans="1:2" ht="15.65" x14ac:dyDescent="0.3">
      <c r="A2" s="73" t="s">
        <v>33</v>
      </c>
      <c r="B2" s="78">
        <f>(B1*B3)/(1-(B1*B3))</f>
        <v>0.10973107644599514</v>
      </c>
    </row>
    <row r="3" spans="1:2" ht="15.65" x14ac:dyDescent="0.3">
      <c r="A3" s="105" t="s">
        <v>157</v>
      </c>
      <c r="B3" s="87">
        <v>1.3747762505019834</v>
      </c>
    </row>
    <row r="4" spans="1:2" ht="15.65" x14ac:dyDescent="0.3">
      <c r="A4" s="71" t="s">
        <v>24</v>
      </c>
      <c r="B4" s="78">
        <f>1-B3</f>
        <v>-0.37477625050198338</v>
      </c>
    </row>
    <row r="5" spans="1:2" ht="15.65" x14ac:dyDescent="0.3">
      <c r="A5" s="73" t="s">
        <v>158</v>
      </c>
      <c r="B5" s="74">
        <f>(B1*1)/(1-(B1*1))</f>
        <v>7.7499124531961339E-2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D4A2-7B05-4B15-84F3-E14BAAD33D02}">
  <dimension ref="A1:B9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30.109375" bestFit="1" customWidth="1"/>
    <col min="2" max="2" width="22" bestFit="1" customWidth="1"/>
  </cols>
  <sheetData>
    <row r="1" spans="1:2" ht="15.65" x14ac:dyDescent="0.3">
      <c r="A1" s="71" t="s">
        <v>104</v>
      </c>
      <c r="B1" s="77">
        <f>80000-44000</f>
        <v>36000</v>
      </c>
    </row>
    <row r="2" spans="1:2" ht="15.65" x14ac:dyDescent="0.3">
      <c r="A2" s="71" t="s">
        <v>159</v>
      </c>
      <c r="B2" s="77">
        <f>260000+B1</f>
        <v>296000</v>
      </c>
    </row>
    <row r="3" spans="1:2" ht="15.65" x14ac:dyDescent="0.3">
      <c r="A3" s="73" t="s">
        <v>161</v>
      </c>
      <c r="B3" s="74">
        <f>80000/B2</f>
        <v>0.27027027027027029</v>
      </c>
    </row>
    <row r="4" spans="1:2" ht="15.65" x14ac:dyDescent="0.3">
      <c r="A4" s="71" t="s">
        <v>160</v>
      </c>
      <c r="B4" s="78">
        <f>B1/80000</f>
        <v>0.45</v>
      </c>
    </row>
    <row r="5" spans="1:2" ht="15.65" x14ac:dyDescent="0.3">
      <c r="A5" s="73" t="s">
        <v>33</v>
      </c>
      <c r="B5" s="74">
        <f>(B3*B4)/(1-(B3*B4))</f>
        <v>0.13846153846153847</v>
      </c>
    </row>
    <row r="6" spans="1:2" ht="15.65" x14ac:dyDescent="0.3">
      <c r="A6" s="73" t="s">
        <v>162</v>
      </c>
      <c r="B6" s="74">
        <f>80000/260000</f>
        <v>0.30769230769230771</v>
      </c>
    </row>
    <row r="7" spans="1:2" ht="15.65" x14ac:dyDescent="0.3">
      <c r="A7" s="73" t="s">
        <v>163</v>
      </c>
      <c r="B7" s="74">
        <f>B6*B4</f>
        <v>0.13846153846153847</v>
      </c>
    </row>
    <row r="8" spans="1:2" ht="15.65" x14ac:dyDescent="0.3">
      <c r="A8" s="73" t="s">
        <v>164</v>
      </c>
      <c r="B8" s="74">
        <f>B3*B4</f>
        <v>0.12162162162162163</v>
      </c>
    </row>
    <row r="9" spans="1:2" x14ac:dyDescent="0.3">
      <c r="B9" s="6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0FF2-33F4-4417-8CA4-E03FE337CAF0}">
  <dimension ref="A1:O67"/>
  <sheetViews>
    <sheetView showGridLines="0" tabSelected="1" topLeftCell="A63" zoomScale="130" zoomScaleNormal="130" workbookViewId="0">
      <selection activeCell="A68" sqref="A68"/>
    </sheetView>
  </sheetViews>
  <sheetFormatPr defaultRowHeight="15.05" x14ac:dyDescent="0.3"/>
  <cols>
    <col min="1" max="1" width="40.109375" bestFit="1" customWidth="1"/>
    <col min="2" max="2" width="11.5546875" bestFit="1" customWidth="1"/>
    <col min="3" max="3" width="21.6640625" bestFit="1" customWidth="1"/>
    <col min="4" max="4" width="14.44140625" bestFit="1" customWidth="1"/>
    <col min="5" max="5" width="28.6640625" customWidth="1"/>
    <col min="6" max="6" width="18.33203125" customWidth="1"/>
    <col min="7" max="7" width="25.5546875" bestFit="1" customWidth="1"/>
    <col min="8" max="8" width="20.5546875" customWidth="1"/>
    <col min="10" max="10" width="27.109375" customWidth="1"/>
    <col min="11" max="11" width="16" customWidth="1"/>
    <col min="12" max="12" width="14.109375" customWidth="1"/>
    <col min="13" max="14" width="19" customWidth="1"/>
    <col min="15" max="15" width="19.88671875" customWidth="1"/>
  </cols>
  <sheetData>
    <row r="1" spans="1:15" ht="33.049999999999997" customHeight="1" x14ac:dyDescent="0.3">
      <c r="A1" s="198" t="s">
        <v>181</v>
      </c>
      <c r="B1" s="198"/>
      <c r="C1" s="198"/>
      <c r="E1" s="199" t="s">
        <v>200</v>
      </c>
      <c r="F1" s="199"/>
      <c r="G1" s="199"/>
      <c r="H1" s="199"/>
      <c r="J1" s="200" t="s">
        <v>201</v>
      </c>
      <c r="K1" s="200"/>
      <c r="L1" s="200"/>
      <c r="M1" s="200"/>
      <c r="N1" s="139" t="s">
        <v>211</v>
      </c>
      <c r="O1" s="139" t="s">
        <v>212</v>
      </c>
    </row>
    <row r="2" spans="1:15" x14ac:dyDescent="0.3">
      <c r="A2" s="119" t="s">
        <v>8</v>
      </c>
      <c r="B2" s="197" t="s">
        <v>191</v>
      </c>
      <c r="C2" s="120">
        <v>231900000</v>
      </c>
      <c r="E2" s="133" t="s">
        <v>192</v>
      </c>
      <c r="F2" s="123"/>
      <c r="G2" s="196" t="s">
        <v>193</v>
      </c>
      <c r="H2" s="196"/>
      <c r="J2" s="134"/>
      <c r="K2" s="140" t="s">
        <v>202</v>
      </c>
      <c r="L2" s="140" t="s">
        <v>203</v>
      </c>
      <c r="M2" s="140" t="s">
        <v>204</v>
      </c>
      <c r="N2" s="135"/>
      <c r="O2" s="135"/>
    </row>
    <row r="3" spans="1:15" ht="15.05" customHeight="1" x14ac:dyDescent="0.3">
      <c r="A3" s="119" t="s">
        <v>182</v>
      </c>
      <c r="B3" s="197"/>
      <c r="C3" s="120">
        <v>170157000</v>
      </c>
      <c r="E3" s="127" t="s">
        <v>196</v>
      </c>
      <c r="F3" s="125"/>
      <c r="G3" s="127" t="s">
        <v>198</v>
      </c>
      <c r="H3" s="126"/>
      <c r="J3" s="124" t="s">
        <v>205</v>
      </c>
      <c r="K3" s="136">
        <v>0.5</v>
      </c>
      <c r="L3" s="136">
        <v>1.43</v>
      </c>
      <c r="M3" s="136">
        <v>1.89</v>
      </c>
      <c r="N3" s="136">
        <f>F7/H6</f>
        <v>0.76495302048816505</v>
      </c>
      <c r="O3" s="136">
        <f>N3</f>
        <v>0.76495302048816505</v>
      </c>
    </row>
    <row r="4" spans="1:15" x14ac:dyDescent="0.3">
      <c r="A4" s="119" t="s">
        <v>183</v>
      </c>
      <c r="B4" s="197"/>
      <c r="C4" s="120">
        <v>27711200</v>
      </c>
      <c r="E4" s="124" t="s">
        <v>194</v>
      </c>
      <c r="F4" s="128">
        <v>3614200</v>
      </c>
      <c r="G4" s="124" t="s">
        <v>100</v>
      </c>
      <c r="H4" s="128">
        <v>6977700</v>
      </c>
      <c r="J4" s="124" t="s">
        <v>206</v>
      </c>
      <c r="K4" s="136">
        <v>0.21</v>
      </c>
      <c r="L4" s="136">
        <v>0.38</v>
      </c>
      <c r="M4" s="136">
        <v>0.62</v>
      </c>
      <c r="N4" s="136">
        <f>(F7-F6)/H6</f>
        <v>0.44457384440948206</v>
      </c>
      <c r="O4" s="136">
        <f>N4</f>
        <v>0.44457384440948206</v>
      </c>
    </row>
    <row r="5" spans="1:15" x14ac:dyDescent="0.3">
      <c r="A5" s="119" t="s">
        <v>184</v>
      </c>
      <c r="B5" s="197"/>
      <c r="C5" s="120">
        <v>7566900</v>
      </c>
      <c r="E5" s="124" t="s">
        <v>86</v>
      </c>
      <c r="F5" s="128">
        <v>6501900</v>
      </c>
      <c r="G5" s="124" t="s">
        <v>101</v>
      </c>
      <c r="H5" s="128">
        <v>15776900</v>
      </c>
      <c r="J5" s="124" t="s">
        <v>1</v>
      </c>
      <c r="K5" s="136">
        <v>0.68</v>
      </c>
      <c r="L5" s="136">
        <v>0.85</v>
      </c>
      <c r="M5" s="136">
        <v>1.38</v>
      </c>
      <c r="N5" s="136">
        <f>C2/F10</f>
        <v>1.7971798458563728</v>
      </c>
      <c r="O5" s="136">
        <f>N5</f>
        <v>1.7971798458563728</v>
      </c>
    </row>
    <row r="6" spans="1:15" x14ac:dyDescent="0.3">
      <c r="A6" s="122" t="s">
        <v>185</v>
      </c>
      <c r="B6" s="197"/>
      <c r="C6" s="121">
        <v>26464900</v>
      </c>
      <c r="E6" s="124" t="s">
        <v>96</v>
      </c>
      <c r="F6" s="128">
        <v>7290100</v>
      </c>
      <c r="G6" s="127" t="s">
        <v>39</v>
      </c>
      <c r="H6" s="131">
        <f>SUM(H4:H5)</f>
        <v>22754600</v>
      </c>
      <c r="J6" s="124" t="s">
        <v>207</v>
      </c>
      <c r="K6" s="136">
        <v>6.85</v>
      </c>
      <c r="L6" s="136">
        <v>9.15</v>
      </c>
      <c r="M6" s="136">
        <v>16.13</v>
      </c>
      <c r="N6" s="136">
        <f>C3/F6</f>
        <v>23.340832087351341</v>
      </c>
      <c r="O6" s="136">
        <f>N6</f>
        <v>23.340832087351341</v>
      </c>
    </row>
    <row r="7" spans="1:15" x14ac:dyDescent="0.3">
      <c r="A7" s="119" t="s">
        <v>186</v>
      </c>
      <c r="B7" s="197"/>
      <c r="C7" s="120">
        <v>4170100</v>
      </c>
      <c r="E7" s="127" t="s">
        <v>39</v>
      </c>
      <c r="F7" s="131">
        <f>SUM(F4:F6)</f>
        <v>17406200</v>
      </c>
      <c r="G7" s="124" t="s">
        <v>48</v>
      </c>
      <c r="H7" s="128">
        <v>40100000</v>
      </c>
      <c r="J7" s="124" t="s">
        <v>88</v>
      </c>
      <c r="K7" s="136">
        <v>6.27</v>
      </c>
      <c r="L7" s="136">
        <v>11.81</v>
      </c>
      <c r="M7" s="136">
        <v>21.45</v>
      </c>
      <c r="N7" s="136">
        <f>C2/F5</f>
        <v>35.666497485350433</v>
      </c>
      <c r="O7" s="136">
        <f>N7</f>
        <v>35.666497485350433</v>
      </c>
    </row>
    <row r="8" spans="1:15" x14ac:dyDescent="0.3">
      <c r="A8" s="122" t="s">
        <v>187</v>
      </c>
      <c r="B8" s="197"/>
      <c r="C8" s="121">
        <v>22294800</v>
      </c>
      <c r="E8" s="124" t="s">
        <v>49</v>
      </c>
      <c r="F8" s="128"/>
      <c r="G8" s="124" t="s">
        <v>197</v>
      </c>
      <c r="H8" s="128"/>
      <c r="J8" s="124" t="s">
        <v>208</v>
      </c>
      <c r="K8" s="136">
        <v>0.44</v>
      </c>
      <c r="L8" s="136">
        <v>0.52</v>
      </c>
      <c r="M8" s="136">
        <v>0.61</v>
      </c>
      <c r="N8" s="136">
        <f>(F10-H11)/F10</f>
        <v>0.4871109113383526</v>
      </c>
      <c r="O8" s="136">
        <f>(F27-H28)/F27</f>
        <v>0.48132502066433885</v>
      </c>
    </row>
    <row r="9" spans="1:15" x14ac:dyDescent="0.3">
      <c r="A9" s="119" t="s">
        <v>188</v>
      </c>
      <c r="B9" s="197"/>
      <c r="C9" s="120">
        <v>4681908</v>
      </c>
      <c r="E9" s="124" t="s">
        <v>195</v>
      </c>
      <c r="F9" s="128">
        <v>111629300</v>
      </c>
      <c r="G9" s="124" t="s">
        <v>50</v>
      </c>
      <c r="H9" s="128">
        <v>6140000</v>
      </c>
      <c r="J9" s="124" t="s">
        <v>209</v>
      </c>
      <c r="K9" s="136">
        <v>0.79</v>
      </c>
      <c r="L9" s="136">
        <v>1.08</v>
      </c>
      <c r="M9" s="136">
        <v>1.56</v>
      </c>
      <c r="N9" s="136">
        <f>(H7+H6)/H11</f>
        <v>0.94973927522895574</v>
      </c>
      <c r="O9" s="136">
        <f>(H24+H23)/H28</f>
        <v>0.85143735298252732</v>
      </c>
    </row>
    <row r="10" spans="1:15" x14ac:dyDescent="0.3">
      <c r="A10" s="122" t="s">
        <v>189</v>
      </c>
      <c r="B10" s="197"/>
      <c r="C10" s="121">
        <v>17612892</v>
      </c>
      <c r="E10" s="127" t="s">
        <v>9</v>
      </c>
      <c r="F10" s="131">
        <v>129035500</v>
      </c>
      <c r="G10" s="124" t="s">
        <v>104</v>
      </c>
      <c r="H10" s="128">
        <v>60040900</v>
      </c>
      <c r="J10" s="124" t="s">
        <v>0</v>
      </c>
      <c r="K10" s="136">
        <v>1.79</v>
      </c>
      <c r="L10" s="136">
        <v>2.08</v>
      </c>
      <c r="M10" s="136">
        <v>2.56</v>
      </c>
      <c r="N10" s="136">
        <f>F10/H11</f>
        <v>1.9497392752289557</v>
      </c>
      <c r="O10" s="136">
        <f>F27/H28</f>
        <v>1.9279896656685434</v>
      </c>
    </row>
    <row r="11" spans="1:15" x14ac:dyDescent="0.3">
      <c r="A11" s="119" t="s">
        <v>25</v>
      </c>
      <c r="B11" s="197"/>
      <c r="C11" s="120">
        <v>7925000</v>
      </c>
      <c r="E11" s="130"/>
      <c r="F11" s="130"/>
      <c r="G11" s="127" t="s">
        <v>6</v>
      </c>
      <c r="H11" s="131">
        <f>SUM(H9:H10)</f>
        <v>66180900</v>
      </c>
      <c r="J11" s="124" t="s">
        <v>210</v>
      </c>
      <c r="K11" s="136">
        <v>5.18</v>
      </c>
      <c r="L11" s="136">
        <v>8.06</v>
      </c>
      <c r="M11" s="136">
        <v>9.83</v>
      </c>
      <c r="N11" s="136">
        <f>C6/C7</f>
        <v>6.3463466103930362</v>
      </c>
      <c r="O11" s="136">
        <f>C23/C24</f>
        <v>7.7458470517978757</v>
      </c>
    </row>
    <row r="12" spans="1:15" x14ac:dyDescent="0.3">
      <c r="A12" s="119" t="s">
        <v>190</v>
      </c>
      <c r="B12" s="197"/>
      <c r="C12" s="120">
        <v>9687892</v>
      </c>
      <c r="E12" s="130"/>
      <c r="F12" s="130"/>
      <c r="G12" s="127" t="s">
        <v>199</v>
      </c>
      <c r="H12" s="132">
        <f>H6+H7+H11</f>
        <v>129035500</v>
      </c>
      <c r="J12" s="124" t="s">
        <v>2</v>
      </c>
      <c r="K12" s="137">
        <v>4.0500000000000001E-2</v>
      </c>
      <c r="L12" s="137">
        <v>6.9800000000000001E-2</v>
      </c>
      <c r="M12" s="137">
        <v>9.8699999999999996E-2</v>
      </c>
      <c r="N12" s="137">
        <f>C10/C2</f>
        <v>7.5950375161707634E-2</v>
      </c>
      <c r="O12" s="137">
        <f>C27/C19</f>
        <v>8.1803395955754518E-2</v>
      </c>
    </row>
    <row r="13" spans="1:15" x14ac:dyDescent="0.3">
      <c r="H13" s="129"/>
      <c r="J13" s="124" t="s">
        <v>5</v>
      </c>
      <c r="K13" s="137">
        <v>6.0499999999999998E-2</v>
      </c>
      <c r="L13" s="137">
        <v>0.1053</v>
      </c>
      <c r="M13" s="137">
        <v>0.1583</v>
      </c>
      <c r="N13" s="137">
        <f>C10/F10</f>
        <v>0.13649648352585142</v>
      </c>
      <c r="O13" s="137">
        <f>C27/F27</f>
        <v>0.14701541453429076</v>
      </c>
    </row>
    <row r="14" spans="1:15" ht="15.65" x14ac:dyDescent="0.3">
      <c r="A14" s="141" t="s">
        <v>3</v>
      </c>
      <c r="B14" s="1"/>
      <c r="C14" s="117">
        <f>N14</f>
        <v>0.26613255486099463</v>
      </c>
      <c r="J14" s="124" t="s">
        <v>10</v>
      </c>
      <c r="K14" s="137">
        <v>9.9299999999999999E-2</v>
      </c>
      <c r="L14" s="137">
        <v>0.16539999999999999</v>
      </c>
      <c r="M14" s="137">
        <v>0.28139999999999998</v>
      </c>
      <c r="N14" s="137">
        <f>C10/H11</f>
        <v>0.26613255486099463</v>
      </c>
      <c r="O14" s="137">
        <f>C27/H28</f>
        <v>0.2834441999160896</v>
      </c>
    </row>
    <row r="15" spans="1:15" ht="15.65" x14ac:dyDescent="0.3">
      <c r="A15" s="1" t="s">
        <v>160</v>
      </c>
      <c r="B15" s="1"/>
      <c r="C15" s="3">
        <f>1-(C11/C10)</f>
        <v>0.55004550076160119</v>
      </c>
      <c r="K15" s="138"/>
      <c r="L15" s="138"/>
      <c r="M15" s="138"/>
      <c r="N15" s="138"/>
    </row>
    <row r="16" spans="1:15" ht="15.65" x14ac:dyDescent="0.3">
      <c r="A16" s="2" t="s">
        <v>33</v>
      </c>
      <c r="B16" s="1"/>
      <c r="C16" s="142">
        <f>(C14*C15)/(1-(C14*C15))</f>
        <v>0.17148833710536351</v>
      </c>
      <c r="K16" s="138"/>
      <c r="L16" s="138"/>
      <c r="M16" s="138"/>
      <c r="N16" s="138"/>
    </row>
    <row r="18" spans="1:8" ht="35.25" customHeight="1" x14ac:dyDescent="0.3">
      <c r="A18" s="198" t="s">
        <v>213</v>
      </c>
      <c r="B18" s="198"/>
      <c r="C18" s="198"/>
      <c r="E18" s="199" t="s">
        <v>214</v>
      </c>
      <c r="F18" s="199"/>
      <c r="G18" s="199"/>
      <c r="H18" s="199"/>
    </row>
    <row r="19" spans="1:8" x14ac:dyDescent="0.3">
      <c r="A19" s="119" t="s">
        <v>8</v>
      </c>
      <c r="B19" s="197" t="s">
        <v>191</v>
      </c>
      <c r="C19" s="120">
        <f>$C2*(1+$C$16)</f>
        <v>271668145.37473381</v>
      </c>
      <c r="E19" s="133" t="s">
        <v>192</v>
      </c>
      <c r="F19" s="123"/>
      <c r="G19" s="196" t="s">
        <v>193</v>
      </c>
      <c r="H19" s="196"/>
    </row>
    <row r="20" spans="1:8" ht="19.600000000000001" customHeight="1" x14ac:dyDescent="0.3">
      <c r="A20" s="119" t="s">
        <v>182</v>
      </c>
      <c r="B20" s="197"/>
      <c r="C20" s="120">
        <f t="shared" ref="C20:C21" si="0">$C3*(1+$C$16)</f>
        <v>199336940.97683734</v>
      </c>
      <c r="E20" s="127" t="s">
        <v>196</v>
      </c>
      <c r="F20" s="125"/>
      <c r="G20" s="127" t="s">
        <v>198</v>
      </c>
      <c r="H20" s="126"/>
    </row>
    <row r="21" spans="1:8" x14ac:dyDescent="0.3">
      <c r="A21" s="119" t="s">
        <v>183</v>
      </c>
      <c r="B21" s="197"/>
      <c r="C21" s="120">
        <f t="shared" si="0"/>
        <v>32463347.607194148</v>
      </c>
      <c r="E21" s="124" t="s">
        <v>194</v>
      </c>
      <c r="F21" s="128">
        <f>$F4*(1+$C$16)</f>
        <v>4233993.1479662051</v>
      </c>
      <c r="G21" s="124" t="s">
        <v>100</v>
      </c>
      <c r="H21" s="128">
        <f>$H4*(1+$C$16)</f>
        <v>8174294.1698200945</v>
      </c>
    </row>
    <row r="22" spans="1:8" x14ac:dyDescent="0.3">
      <c r="A22" s="119" t="s">
        <v>184</v>
      </c>
      <c r="B22" s="197"/>
      <c r="C22" s="120">
        <f>C5</f>
        <v>7566900</v>
      </c>
      <c r="E22" s="124" t="s">
        <v>86</v>
      </c>
      <c r="F22" s="128">
        <f t="shared" ref="F22:F23" si="1">$F5*(1+$C$16)</f>
        <v>7616900.019025363</v>
      </c>
      <c r="G22" s="124" t="s">
        <v>101</v>
      </c>
      <c r="H22" s="128">
        <f>$H5*(1+$C$16)</f>
        <v>18482454.34567761</v>
      </c>
    </row>
    <row r="23" spans="1:8" x14ac:dyDescent="0.3">
      <c r="A23" s="122" t="s">
        <v>185</v>
      </c>
      <c r="B23" s="197"/>
      <c r="C23" s="163">
        <f>C19-C20-C21-C22</f>
        <v>32300956.790702321</v>
      </c>
      <c r="E23" s="124" t="s">
        <v>96</v>
      </c>
      <c r="F23" s="128">
        <f t="shared" si="1"/>
        <v>8540267.1263318099</v>
      </c>
      <c r="G23" s="127" t="s">
        <v>39</v>
      </c>
      <c r="H23" s="164">
        <f>SUM(H21:H22)</f>
        <v>26656748.515497707</v>
      </c>
    </row>
    <row r="24" spans="1:8" x14ac:dyDescent="0.3">
      <c r="A24" s="119" t="s">
        <v>186</v>
      </c>
      <c r="B24" s="197"/>
      <c r="C24" s="120">
        <f>C7</f>
        <v>4170100</v>
      </c>
      <c r="E24" s="127" t="s">
        <v>39</v>
      </c>
      <c r="F24" s="164">
        <f>SUM(F21:F23)</f>
        <v>20391160.293323379</v>
      </c>
      <c r="G24" s="124" t="s">
        <v>48</v>
      </c>
      <c r="H24" s="128">
        <f>$H7</f>
        <v>40100000</v>
      </c>
    </row>
    <row r="25" spans="1:8" x14ac:dyDescent="0.3">
      <c r="A25" s="122" t="s">
        <v>187</v>
      </c>
      <c r="B25" s="197"/>
      <c r="C25" s="163">
        <f>C23-C24</f>
        <v>28130856.790702321</v>
      </c>
      <c r="E25" s="124" t="s">
        <v>49</v>
      </c>
      <c r="F25" s="128"/>
      <c r="G25" s="124" t="s">
        <v>197</v>
      </c>
      <c r="H25" s="128"/>
    </row>
    <row r="26" spans="1:8" x14ac:dyDescent="0.3">
      <c r="A26" s="119" t="s">
        <v>188</v>
      </c>
      <c r="B26" s="197"/>
      <c r="C26" s="120">
        <f>C25*0.21</f>
        <v>5907479.9260474872</v>
      </c>
      <c r="E26" s="124" t="s">
        <v>195</v>
      </c>
      <c r="F26" s="128">
        <f t="shared" ref="F26" si="2">$F9*(1+$C$16)</f>
        <v>130772423.02923575</v>
      </c>
      <c r="G26" s="124" t="s">
        <v>50</v>
      </c>
      <c r="H26" s="128">
        <f>$H9</f>
        <v>6140000</v>
      </c>
    </row>
    <row r="27" spans="1:8" x14ac:dyDescent="0.3">
      <c r="A27" s="122" t="s">
        <v>189</v>
      </c>
      <c r="B27" s="197"/>
      <c r="C27" s="163">
        <f>C25-C26</f>
        <v>22223376.864654832</v>
      </c>
      <c r="E27" s="127" t="s">
        <v>9</v>
      </c>
      <c r="F27" s="131">
        <f>F26+F24</f>
        <v>151163583.32255912</v>
      </c>
      <c r="G27" s="124" t="s">
        <v>104</v>
      </c>
      <c r="H27" s="128">
        <f>$H10+C29</f>
        <v>72264768.456132844</v>
      </c>
    </row>
    <row r="28" spans="1:8" x14ac:dyDescent="0.3">
      <c r="A28" s="119" t="s">
        <v>25</v>
      </c>
      <c r="B28" s="197"/>
      <c r="C28" s="120">
        <f>(1-C15)*C27</f>
        <v>9999508.4085219819</v>
      </c>
      <c r="E28" s="130"/>
      <c r="F28" s="130"/>
      <c r="G28" s="127" t="s">
        <v>6</v>
      </c>
      <c r="H28" s="164">
        <f>SUM(H26:H27)</f>
        <v>78404768.456132844</v>
      </c>
    </row>
    <row r="29" spans="1:8" x14ac:dyDescent="0.3">
      <c r="A29" s="119" t="s">
        <v>190</v>
      </c>
      <c r="B29" s="197"/>
      <c r="C29" s="120">
        <f>C27-C28</f>
        <v>12223868.45613285</v>
      </c>
      <c r="E29" s="130"/>
      <c r="F29" s="130"/>
      <c r="G29" s="127" t="s">
        <v>199</v>
      </c>
      <c r="H29" s="132">
        <f>H28+H24+H23</f>
        <v>145161516.97163054</v>
      </c>
    </row>
    <row r="31" spans="1:8" ht="15.65" x14ac:dyDescent="0.3">
      <c r="A31" s="141" t="s">
        <v>27</v>
      </c>
      <c r="B31" s="145"/>
      <c r="C31" s="143">
        <f>F27-H29</f>
        <v>6002066.3509285748</v>
      </c>
    </row>
    <row r="33" spans="1:8" ht="15.65" x14ac:dyDescent="0.3">
      <c r="A33" s="1" t="s">
        <v>215</v>
      </c>
      <c r="B33" s="1"/>
      <c r="C33" s="144">
        <v>0.2</v>
      </c>
    </row>
    <row r="34" spans="1:8" x14ac:dyDescent="0.3">
      <c r="C34" s="61"/>
    </row>
    <row r="35" spans="1:8" ht="33.85" customHeight="1" x14ac:dyDescent="0.3">
      <c r="A35" s="198" t="s">
        <v>213</v>
      </c>
      <c r="B35" s="198"/>
      <c r="C35" s="198"/>
      <c r="E35" s="199" t="s">
        <v>214</v>
      </c>
      <c r="F35" s="199"/>
      <c r="G35" s="199"/>
      <c r="H35" s="199"/>
    </row>
    <row r="36" spans="1:8" x14ac:dyDescent="0.3">
      <c r="A36" s="119" t="s">
        <v>8</v>
      </c>
      <c r="B36" s="197" t="s">
        <v>191</v>
      </c>
      <c r="C36" s="120">
        <f>$C2*(1+$C$33)</f>
        <v>278280000</v>
      </c>
      <c r="E36" s="133" t="s">
        <v>192</v>
      </c>
      <c r="F36" s="123"/>
      <c r="G36" s="196" t="s">
        <v>193</v>
      </c>
      <c r="H36" s="196"/>
    </row>
    <row r="37" spans="1:8" ht="17.25" customHeight="1" x14ac:dyDescent="0.3">
      <c r="A37" s="119" t="s">
        <v>182</v>
      </c>
      <c r="B37" s="197"/>
      <c r="C37" s="120">
        <f t="shared" ref="C37:C38" si="3">$C3*(1+$C$33)</f>
        <v>204188400</v>
      </c>
      <c r="E37" s="127" t="s">
        <v>196</v>
      </c>
      <c r="F37" s="125"/>
      <c r="G37" s="127" t="s">
        <v>198</v>
      </c>
      <c r="H37" s="126"/>
    </row>
    <row r="38" spans="1:8" x14ac:dyDescent="0.3">
      <c r="A38" s="119" t="s">
        <v>183</v>
      </c>
      <c r="B38" s="197"/>
      <c r="C38" s="120">
        <f t="shared" si="3"/>
        <v>33253440</v>
      </c>
      <c r="E38" s="124" t="s">
        <v>194</v>
      </c>
      <c r="F38" s="128">
        <f>$F4*(1+$C$33)</f>
        <v>4337040</v>
      </c>
      <c r="G38" s="124" t="s">
        <v>100</v>
      </c>
      <c r="H38" s="128">
        <f>$H4*(1+$C$33)</f>
        <v>8373240</v>
      </c>
    </row>
    <row r="39" spans="1:8" x14ac:dyDescent="0.3">
      <c r="A39" s="119" t="s">
        <v>184</v>
      </c>
      <c r="B39" s="197"/>
      <c r="C39" s="120">
        <f>C5</f>
        <v>7566900</v>
      </c>
      <c r="E39" s="124" t="s">
        <v>86</v>
      </c>
      <c r="F39" s="128">
        <f t="shared" ref="F39:F40" si="4">$F5*(1+$C$33)</f>
        <v>7802280</v>
      </c>
      <c r="G39" s="124" t="s">
        <v>101</v>
      </c>
      <c r="H39" s="128">
        <f>$H5*(1+$C$33)</f>
        <v>18932280</v>
      </c>
    </row>
    <row r="40" spans="1:8" x14ac:dyDescent="0.3">
      <c r="A40" s="122" t="s">
        <v>185</v>
      </c>
      <c r="B40" s="197"/>
      <c r="C40" s="163">
        <f>C36-C37-C38-C39</f>
        <v>33271260</v>
      </c>
      <c r="E40" s="124" t="s">
        <v>96</v>
      </c>
      <c r="F40" s="128">
        <f t="shared" si="4"/>
        <v>8748120</v>
      </c>
      <c r="G40" s="127" t="s">
        <v>39</v>
      </c>
      <c r="H40" s="164">
        <f>SUM(H38:H39)</f>
        <v>27305520</v>
      </c>
    </row>
    <row r="41" spans="1:8" x14ac:dyDescent="0.3">
      <c r="A41" s="119" t="s">
        <v>186</v>
      </c>
      <c r="B41" s="197"/>
      <c r="C41" s="120">
        <f>C7</f>
        <v>4170100</v>
      </c>
      <c r="E41" s="127" t="s">
        <v>39</v>
      </c>
      <c r="F41" s="164">
        <f>SUM(F38:F40)</f>
        <v>20887440</v>
      </c>
      <c r="G41" s="124" t="s">
        <v>48</v>
      </c>
      <c r="H41" s="128">
        <f>H7</f>
        <v>40100000</v>
      </c>
    </row>
    <row r="42" spans="1:8" x14ac:dyDescent="0.3">
      <c r="A42" s="122" t="s">
        <v>187</v>
      </c>
      <c r="B42" s="197"/>
      <c r="C42" s="163">
        <f>C40-C41</f>
        <v>29101160</v>
      </c>
      <c r="E42" s="124" t="s">
        <v>49</v>
      </c>
      <c r="F42" s="128"/>
      <c r="G42" s="124" t="s">
        <v>197</v>
      </c>
      <c r="H42" s="128"/>
    </row>
    <row r="43" spans="1:8" x14ac:dyDescent="0.3">
      <c r="A43" s="119" t="s">
        <v>188</v>
      </c>
      <c r="B43" s="197"/>
      <c r="C43" s="120">
        <f>C42*0.21</f>
        <v>6111243.5999999996</v>
      </c>
      <c r="E43" s="124" t="s">
        <v>195</v>
      </c>
      <c r="F43" s="128">
        <f t="shared" ref="F43" si="5">$F9*(1+$C$33)</f>
        <v>133955160</v>
      </c>
      <c r="G43" s="124" t="s">
        <v>50</v>
      </c>
      <c r="H43" s="128">
        <f>H9</f>
        <v>6140000</v>
      </c>
    </row>
    <row r="44" spans="1:8" x14ac:dyDescent="0.3">
      <c r="A44" s="122" t="s">
        <v>189</v>
      </c>
      <c r="B44" s="197"/>
      <c r="C44" s="121">
        <f>C42-C43</f>
        <v>22989916.399999999</v>
      </c>
      <c r="E44" s="127" t="s">
        <v>9</v>
      </c>
      <c r="F44" s="131">
        <f>F43+F41</f>
        <v>154842600</v>
      </c>
      <c r="G44" s="124" t="s">
        <v>104</v>
      </c>
      <c r="H44" s="128">
        <f>H10+C46</f>
        <v>72686400.078705341</v>
      </c>
    </row>
    <row r="45" spans="1:8" x14ac:dyDescent="0.3">
      <c r="A45" s="119" t="s">
        <v>25</v>
      </c>
      <c r="B45" s="197"/>
      <c r="C45" s="120">
        <f>(1-C15)*C44</f>
        <v>10344416.321294652</v>
      </c>
      <c r="E45" s="130"/>
      <c r="F45" s="130"/>
      <c r="G45" s="127" t="s">
        <v>6</v>
      </c>
      <c r="H45" s="164">
        <f>SUM(H43:H44)</f>
        <v>78826400.078705341</v>
      </c>
    </row>
    <row r="46" spans="1:8" x14ac:dyDescent="0.3">
      <c r="A46" s="119" t="s">
        <v>190</v>
      </c>
      <c r="B46" s="197"/>
      <c r="C46" s="120">
        <f>C44-C45</f>
        <v>12645500.078705346</v>
      </c>
      <c r="E46" s="130"/>
      <c r="F46" s="130"/>
      <c r="G46" s="127" t="s">
        <v>199</v>
      </c>
      <c r="H46" s="132">
        <f>H45+H41+H40</f>
        <v>146231920.07870534</v>
      </c>
    </row>
    <row r="48" spans="1:8" ht="15.65" x14ac:dyDescent="0.3">
      <c r="A48" s="141" t="s">
        <v>27</v>
      </c>
      <c r="B48" s="1"/>
      <c r="C48" s="143">
        <f>F44-H46</f>
        <v>8610679.9212946594</v>
      </c>
    </row>
    <row r="50" spans="1:8" ht="15.65" x14ac:dyDescent="0.3">
      <c r="A50" s="1" t="s">
        <v>216</v>
      </c>
      <c r="B50" s="1"/>
      <c r="C50" s="117">
        <f>C5/F9</f>
        <v>6.7785966587625299E-2</v>
      </c>
    </row>
    <row r="51" spans="1:8" ht="15.65" x14ac:dyDescent="0.3">
      <c r="A51" s="1" t="s">
        <v>114</v>
      </c>
      <c r="B51" s="1"/>
      <c r="C51" s="145">
        <f>F9+30000000</f>
        <v>141629300</v>
      </c>
    </row>
    <row r="52" spans="1:8" ht="15.65" x14ac:dyDescent="0.3">
      <c r="A52" s="1" t="s">
        <v>217</v>
      </c>
      <c r="B52" s="1"/>
      <c r="C52" s="145">
        <f>C50*C51</f>
        <v>9600478.9976287596</v>
      </c>
    </row>
    <row r="54" spans="1:8" ht="33.049999999999997" customHeight="1" x14ac:dyDescent="0.3">
      <c r="A54" s="198" t="s">
        <v>213</v>
      </c>
      <c r="B54" s="198"/>
      <c r="C54" s="198"/>
      <c r="E54" s="199" t="s">
        <v>214</v>
      </c>
      <c r="F54" s="199"/>
      <c r="G54" s="199"/>
      <c r="H54" s="199"/>
    </row>
    <row r="55" spans="1:8" x14ac:dyDescent="0.3">
      <c r="A55" s="119" t="s">
        <v>8</v>
      </c>
      <c r="B55" s="197" t="s">
        <v>191</v>
      </c>
      <c r="C55" s="120">
        <f>$C36</f>
        <v>278280000</v>
      </c>
      <c r="E55" s="133" t="s">
        <v>192</v>
      </c>
      <c r="F55" s="123"/>
      <c r="G55" s="196" t="s">
        <v>193</v>
      </c>
      <c r="H55" s="196"/>
    </row>
    <row r="56" spans="1:8" ht="17.25" customHeight="1" x14ac:dyDescent="0.3">
      <c r="A56" s="119" t="s">
        <v>182</v>
      </c>
      <c r="B56" s="197"/>
      <c r="C56" s="120">
        <f t="shared" ref="C56:C57" si="6">$C37</f>
        <v>204188400</v>
      </c>
      <c r="E56" s="127" t="s">
        <v>196</v>
      </c>
      <c r="F56" s="128"/>
      <c r="G56" s="127" t="s">
        <v>198</v>
      </c>
      <c r="H56" s="126"/>
    </row>
    <row r="57" spans="1:8" x14ac:dyDescent="0.3">
      <c r="A57" s="119" t="s">
        <v>183</v>
      </c>
      <c r="B57" s="197"/>
      <c r="C57" s="120">
        <f t="shared" si="6"/>
        <v>33253440</v>
      </c>
      <c r="E57" s="124" t="s">
        <v>194</v>
      </c>
      <c r="F57" s="128">
        <f>$F38</f>
        <v>4337040</v>
      </c>
      <c r="G57" s="124" t="s">
        <v>100</v>
      </c>
      <c r="H57" s="128">
        <f>$H38</f>
        <v>8373240</v>
      </c>
    </row>
    <row r="58" spans="1:8" x14ac:dyDescent="0.3">
      <c r="A58" s="119" t="s">
        <v>184</v>
      </c>
      <c r="B58" s="197"/>
      <c r="C58" s="120">
        <f>C52</f>
        <v>9600478.9976287596</v>
      </c>
      <c r="E58" s="124" t="s">
        <v>86</v>
      </c>
      <c r="F58" s="128">
        <f t="shared" ref="F58:F60" si="7">$F39</f>
        <v>7802280</v>
      </c>
      <c r="G58" s="124" t="s">
        <v>101</v>
      </c>
      <c r="H58" s="128">
        <f t="shared" ref="H58:H62" si="8">$H39</f>
        <v>18932280</v>
      </c>
    </row>
    <row r="59" spans="1:8" x14ac:dyDescent="0.3">
      <c r="A59" s="122" t="s">
        <v>185</v>
      </c>
      <c r="B59" s="197"/>
      <c r="C59" s="163">
        <f>C55-C56-C57-C58</f>
        <v>31237681.00237124</v>
      </c>
      <c r="E59" s="124" t="s">
        <v>96</v>
      </c>
      <c r="F59" s="128">
        <f t="shared" si="7"/>
        <v>8748120</v>
      </c>
      <c r="G59" s="127" t="s">
        <v>39</v>
      </c>
      <c r="H59" s="164">
        <f t="shared" si="8"/>
        <v>27305520</v>
      </c>
    </row>
    <row r="60" spans="1:8" x14ac:dyDescent="0.3">
      <c r="A60" s="119" t="s">
        <v>186</v>
      </c>
      <c r="B60" s="197"/>
      <c r="C60" s="120">
        <f>C41</f>
        <v>4170100</v>
      </c>
      <c r="E60" s="127" t="s">
        <v>39</v>
      </c>
      <c r="F60" s="164">
        <f t="shared" si="7"/>
        <v>20887440</v>
      </c>
      <c r="G60" s="124" t="s">
        <v>48</v>
      </c>
      <c r="H60" s="128">
        <f t="shared" si="8"/>
        <v>40100000</v>
      </c>
    </row>
    <row r="61" spans="1:8" x14ac:dyDescent="0.3">
      <c r="A61" s="122" t="s">
        <v>187</v>
      </c>
      <c r="B61" s="197"/>
      <c r="C61" s="163">
        <f>C59-C60</f>
        <v>27067581.00237124</v>
      </c>
      <c r="E61" s="124" t="s">
        <v>49</v>
      </c>
      <c r="F61" s="128"/>
      <c r="G61" s="124" t="s">
        <v>197</v>
      </c>
      <c r="H61" s="128"/>
    </row>
    <row r="62" spans="1:8" x14ac:dyDescent="0.3">
      <c r="A62" s="119" t="s">
        <v>188</v>
      </c>
      <c r="B62" s="197"/>
      <c r="C62" s="120">
        <f>C61*0.21</f>
        <v>5684192.0104979603</v>
      </c>
      <c r="E62" s="124" t="s">
        <v>195</v>
      </c>
      <c r="F62" s="128">
        <f>C51</f>
        <v>141629300</v>
      </c>
      <c r="G62" s="124" t="s">
        <v>50</v>
      </c>
      <c r="H62" s="128">
        <f t="shared" si="8"/>
        <v>6140000</v>
      </c>
    </row>
    <row r="63" spans="1:8" x14ac:dyDescent="0.3">
      <c r="A63" s="122" t="s">
        <v>189</v>
      </c>
      <c r="B63" s="197"/>
      <c r="C63" s="121">
        <f>C61-C62</f>
        <v>21383388.991873279</v>
      </c>
      <c r="E63" s="127" t="s">
        <v>9</v>
      </c>
      <c r="F63" s="131">
        <f>F62+F60</f>
        <v>162516740</v>
      </c>
      <c r="G63" s="124" t="s">
        <v>104</v>
      </c>
      <c r="H63" s="128">
        <f>H10+C65</f>
        <v>71802736.906015053</v>
      </c>
    </row>
    <row r="64" spans="1:8" x14ac:dyDescent="0.3">
      <c r="A64" s="119" t="s">
        <v>25</v>
      </c>
      <c r="B64" s="197"/>
      <c r="C64" s="120">
        <f>(1-C15)*C63</f>
        <v>9621552.0858582314</v>
      </c>
      <c r="E64" s="130"/>
      <c r="F64" s="130"/>
      <c r="G64" s="127" t="s">
        <v>6</v>
      </c>
      <c r="H64" s="164">
        <f>SUM(H62:H63)</f>
        <v>77942736.906015053</v>
      </c>
    </row>
    <row r="65" spans="1:8" x14ac:dyDescent="0.3">
      <c r="A65" s="119" t="s">
        <v>190</v>
      </c>
      <c r="B65" s="197"/>
      <c r="C65" s="120">
        <f>C63-C64</f>
        <v>11761836.906015048</v>
      </c>
      <c r="E65" s="130"/>
      <c r="F65" s="130"/>
      <c r="G65" s="127" t="s">
        <v>199</v>
      </c>
      <c r="H65" s="132">
        <f>H64+H60+H59</f>
        <v>145348256.90601504</v>
      </c>
    </row>
    <row r="67" spans="1:8" ht="15.65" x14ac:dyDescent="0.3">
      <c r="A67" s="141" t="s">
        <v>27</v>
      </c>
      <c r="B67" s="1"/>
      <c r="C67" s="143">
        <f>F63-H65</f>
        <v>17168483.093984962</v>
      </c>
    </row>
  </sheetData>
  <mergeCells count="8">
    <mergeCell ref="B36:B46"/>
    <mergeCell ref="G36:H36"/>
    <mergeCell ref="B19:B29"/>
    <mergeCell ref="G19:H19"/>
    <mergeCell ref="B2:B12"/>
    <mergeCell ref="G2:H2"/>
    <mergeCell ref="B55:B65"/>
    <mergeCell ref="G55:H55"/>
  </mergeCells>
  <pageMargins left="0.7" right="0.7" top="0.75" bottom="0.75" header="0.3" footer="0.3"/>
  <pageSetup orientation="portrait" horizontalDpi="1200" verticalDpi="1200" r:id="rId1"/>
  <ignoredErrors>
    <ignoredError sqref="C23 C26 C28 H23 C43 C40 C45 C62 C6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C1E4-EFA6-4248-83AB-0C9628DB6E54}">
  <dimension ref="A1:D7"/>
  <sheetViews>
    <sheetView showGridLines="0" zoomScale="130" zoomScaleNormal="130" workbookViewId="0">
      <selection activeCell="B1" sqref="B1"/>
    </sheetView>
  </sheetViews>
  <sheetFormatPr defaultRowHeight="15.05" x14ac:dyDescent="0.3"/>
  <cols>
    <col min="1" max="1" width="16.44140625" bestFit="1" customWidth="1"/>
    <col min="2" max="2" width="11.33203125" bestFit="1" customWidth="1"/>
    <col min="4" max="4" width="23.109375" bestFit="1" customWidth="1"/>
  </cols>
  <sheetData>
    <row r="1" spans="1:4" ht="15.65" x14ac:dyDescent="0.3">
      <c r="A1" s="71" t="s">
        <v>8</v>
      </c>
      <c r="B1" s="77">
        <v>3300</v>
      </c>
    </row>
    <row r="2" spans="1:4" ht="15.65" x14ac:dyDescent="0.3">
      <c r="A2" s="71" t="s">
        <v>9</v>
      </c>
      <c r="B2" s="77">
        <v>1520</v>
      </c>
    </row>
    <row r="3" spans="1:4" ht="15.65" x14ac:dyDescent="0.3">
      <c r="A3" s="71" t="s">
        <v>4</v>
      </c>
      <c r="B3" s="71">
        <v>1.35</v>
      </c>
    </row>
    <row r="4" spans="1:4" ht="15.65" x14ac:dyDescent="0.3">
      <c r="A4" s="71" t="s">
        <v>10</v>
      </c>
      <c r="B4" s="78">
        <f>B7*(B1/B2)*(1+B3)</f>
        <v>0.13999999999999999</v>
      </c>
    </row>
    <row r="5" spans="1:4" ht="15.65" x14ac:dyDescent="0.3">
      <c r="A5" s="1"/>
      <c r="B5" s="1"/>
    </row>
    <row r="6" spans="1:4" ht="15.65" x14ac:dyDescent="0.3">
      <c r="A6" s="73" t="s">
        <v>7</v>
      </c>
      <c r="B6" s="76">
        <f>B1*B7</f>
        <v>90.55319148936168</v>
      </c>
      <c r="C6" s="54"/>
    </row>
    <row r="7" spans="1:4" ht="15.65" x14ac:dyDescent="0.3">
      <c r="A7" s="73" t="s">
        <v>11</v>
      </c>
      <c r="B7" s="74">
        <v>2.7440361057382328E-2</v>
      </c>
      <c r="C7" s="61"/>
      <c r="D7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387E-42A3-4CC9-918E-ECB64CF200B5}">
  <dimension ref="A1:F23"/>
  <sheetViews>
    <sheetView showGridLines="0" zoomScale="145" zoomScaleNormal="145" workbookViewId="0">
      <selection activeCell="F9" sqref="F9"/>
    </sheetView>
  </sheetViews>
  <sheetFormatPr defaultRowHeight="15.05" x14ac:dyDescent="0.3"/>
  <cols>
    <col min="1" max="1" width="17.109375" customWidth="1"/>
    <col min="2" max="2" width="10.88671875" customWidth="1"/>
    <col min="3" max="3" width="7.44140625" bestFit="1" customWidth="1"/>
    <col min="4" max="4" width="9.44140625" customWidth="1"/>
    <col min="5" max="5" width="7.6640625" bestFit="1" customWidth="1"/>
    <col min="6" max="6" width="9" bestFit="1" customWidth="1"/>
  </cols>
  <sheetData>
    <row r="1" spans="1:6" x14ac:dyDescent="0.3">
      <c r="A1" s="180" t="s">
        <v>12</v>
      </c>
      <c r="B1" s="180"/>
      <c r="C1" s="180"/>
      <c r="D1" s="180"/>
      <c r="E1" s="180"/>
      <c r="F1" s="180"/>
    </row>
    <row r="2" spans="1:6" x14ac:dyDescent="0.3">
      <c r="A2" s="5" t="s">
        <v>13</v>
      </c>
      <c r="B2" s="12">
        <v>37600</v>
      </c>
      <c r="C2" s="6" t="s">
        <v>14</v>
      </c>
      <c r="D2" s="12">
        <v>135000</v>
      </c>
      <c r="E2" s="5" t="s">
        <v>15</v>
      </c>
      <c r="F2" s="12">
        <v>37000</v>
      </c>
    </row>
    <row r="3" spans="1:6" x14ac:dyDescent="0.3">
      <c r="A3" s="5" t="s">
        <v>16</v>
      </c>
      <c r="B3" s="12">
        <v>26100</v>
      </c>
      <c r="C3" s="8"/>
      <c r="D3" s="12"/>
      <c r="E3" s="5" t="s">
        <v>17</v>
      </c>
      <c r="F3" s="12">
        <v>98000</v>
      </c>
    </row>
    <row r="4" spans="1:6" x14ac:dyDescent="0.3">
      <c r="A4" s="5" t="s">
        <v>18</v>
      </c>
      <c r="B4" s="12">
        <v>11500</v>
      </c>
      <c r="C4" s="11" t="s">
        <v>21</v>
      </c>
      <c r="D4" s="12">
        <v>135000</v>
      </c>
      <c r="E4" s="11" t="s">
        <v>21</v>
      </c>
      <c r="F4" s="12">
        <v>135000</v>
      </c>
    </row>
    <row r="5" spans="1:6" x14ac:dyDescent="0.3">
      <c r="A5" s="5" t="s">
        <v>19</v>
      </c>
      <c r="B5" s="12">
        <v>2415</v>
      </c>
      <c r="C5" s="8"/>
      <c r="D5" s="8"/>
      <c r="E5" s="8"/>
      <c r="F5" s="8"/>
    </row>
    <row r="6" spans="1:6" x14ac:dyDescent="0.3">
      <c r="A6" s="10" t="s">
        <v>20</v>
      </c>
      <c r="B6" s="13">
        <v>9085</v>
      </c>
      <c r="C6" s="9"/>
      <c r="D6" s="9"/>
      <c r="E6" s="9"/>
      <c r="F6" s="9"/>
    </row>
    <row r="8" spans="1:6" ht="32.25" customHeight="1" x14ac:dyDescent="0.3">
      <c r="A8" s="181" t="s">
        <v>22</v>
      </c>
      <c r="B8" s="182"/>
      <c r="C8" s="182"/>
      <c r="D8" s="182"/>
      <c r="E8" s="182"/>
      <c r="F8" s="182"/>
    </row>
    <row r="9" spans="1:6" x14ac:dyDescent="0.3">
      <c r="A9" s="5" t="s">
        <v>13</v>
      </c>
      <c r="B9" s="12">
        <f>$B2*(1+$B$15)</f>
        <v>42112.000000000007</v>
      </c>
      <c r="C9" s="6" t="s">
        <v>14</v>
      </c>
      <c r="D9" s="12">
        <f>$D2*(1+$B$15)</f>
        <v>151200</v>
      </c>
      <c r="E9" s="14" t="s">
        <v>15</v>
      </c>
      <c r="F9" s="12">
        <v>37000</v>
      </c>
    </row>
    <row r="10" spans="1:6" x14ac:dyDescent="0.3">
      <c r="A10" s="5" t="s">
        <v>16</v>
      </c>
      <c r="B10" s="12">
        <f>$B3*(1+$B$15)</f>
        <v>29232.000000000004</v>
      </c>
      <c r="C10" s="8"/>
      <c r="D10" s="12"/>
      <c r="E10" s="14" t="s">
        <v>17</v>
      </c>
      <c r="F10" s="12">
        <f>F3+B17</f>
        <v>105151.2</v>
      </c>
    </row>
    <row r="11" spans="1:6" ht="16.45" customHeight="1" x14ac:dyDescent="0.3">
      <c r="A11" s="5" t="s">
        <v>18</v>
      </c>
      <c r="B11" s="12">
        <f>B9-B10</f>
        <v>12880.000000000004</v>
      </c>
      <c r="C11" s="11" t="s">
        <v>21</v>
      </c>
      <c r="D11" s="12">
        <f>D9</f>
        <v>151200</v>
      </c>
      <c r="E11" s="15" t="s">
        <v>21</v>
      </c>
      <c r="F11" s="12">
        <f>SUM(F9:F10)</f>
        <v>142151.20000000001</v>
      </c>
    </row>
    <row r="12" spans="1:6" x14ac:dyDescent="0.3">
      <c r="A12" s="5" t="s">
        <v>19</v>
      </c>
      <c r="B12" s="12">
        <f>B11*0.21</f>
        <v>2704.8000000000006</v>
      </c>
      <c r="C12" s="8"/>
      <c r="D12" s="8"/>
      <c r="E12" s="8"/>
      <c r="F12" s="8"/>
    </row>
    <row r="13" spans="1:6" x14ac:dyDescent="0.3">
      <c r="A13" s="10" t="s">
        <v>20</v>
      </c>
      <c r="B13" s="13">
        <f>B11-B12</f>
        <v>10175.200000000003</v>
      </c>
      <c r="C13" s="9"/>
      <c r="D13" s="9"/>
      <c r="E13" s="9"/>
      <c r="F13" s="9"/>
    </row>
    <row r="15" spans="1:6" ht="15.65" x14ac:dyDescent="0.3">
      <c r="A15" s="79" t="s">
        <v>23</v>
      </c>
      <c r="B15" s="78">
        <f>(42112-B2)/B2</f>
        <v>0.12</v>
      </c>
      <c r="C15" s="146"/>
    </row>
    <row r="16" spans="1:6" ht="15.65" x14ac:dyDescent="0.3">
      <c r="A16" s="71" t="s">
        <v>25</v>
      </c>
      <c r="B16" s="77">
        <f>(2700/B6)*B13</f>
        <v>3024.0000000000009</v>
      </c>
    </row>
    <row r="17" spans="1:2" ht="15.65" x14ac:dyDescent="0.3">
      <c r="A17" s="71" t="s">
        <v>26</v>
      </c>
      <c r="B17" s="77">
        <f>B13-B16</f>
        <v>7151.2000000000016</v>
      </c>
    </row>
    <row r="18" spans="1:2" ht="15.65" x14ac:dyDescent="0.3">
      <c r="A18" s="73" t="s">
        <v>27</v>
      </c>
      <c r="B18" s="76">
        <f>D11-F11</f>
        <v>9048.7999999999884</v>
      </c>
    </row>
    <row r="20" spans="1:2" ht="15.65" x14ac:dyDescent="0.3">
      <c r="A20" s="71" t="s">
        <v>56</v>
      </c>
      <c r="B20" s="74">
        <f>B6/B2</f>
        <v>0.24162234042553191</v>
      </c>
    </row>
    <row r="21" spans="1:2" ht="15.65" x14ac:dyDescent="0.3">
      <c r="A21" s="71" t="s">
        <v>160</v>
      </c>
      <c r="B21" s="78">
        <f>1-(2700/B6)</f>
        <v>0.70280682443588338</v>
      </c>
    </row>
    <row r="22" spans="1:2" ht="15.65" x14ac:dyDescent="0.3">
      <c r="A22" s="71" t="s">
        <v>165</v>
      </c>
      <c r="B22" s="78">
        <f>B15</f>
        <v>0.12</v>
      </c>
    </row>
    <row r="23" spans="1:2" ht="15.65" x14ac:dyDescent="0.3">
      <c r="A23" s="106" t="s">
        <v>27</v>
      </c>
      <c r="B23" s="76">
        <f>-B20*(B2)*B21+(D4-B20*(B2)*B21)*B22</f>
        <v>9048.7999999999993</v>
      </c>
    </row>
  </sheetData>
  <mergeCells count="2">
    <mergeCell ref="A1:F1"/>
    <mergeCell ref="A8:F8"/>
  </mergeCells>
  <pageMargins left="0.7" right="0.7" top="0.75" bottom="0.75" header="0.3" footer="0.3"/>
  <ignoredErrors>
    <ignoredError sqref="B12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40CD-BEBF-456F-8C66-80121C74BB2D}">
  <dimension ref="A1:F11"/>
  <sheetViews>
    <sheetView showGridLines="0" zoomScale="145" zoomScaleNormal="145" workbookViewId="0">
      <selection activeCell="B11" sqref="B11"/>
    </sheetView>
  </sheetViews>
  <sheetFormatPr defaultRowHeight="15.05" x14ac:dyDescent="0.3"/>
  <cols>
    <col min="1" max="1" width="24.5546875" bestFit="1" customWidth="1"/>
    <col min="2" max="2" width="12.44140625" customWidth="1"/>
    <col min="3" max="3" width="13.6640625" bestFit="1" customWidth="1"/>
    <col min="4" max="4" width="10.33203125" bestFit="1" customWidth="1"/>
    <col min="5" max="5" width="14.44140625" bestFit="1" customWidth="1"/>
    <col min="6" max="6" width="12.5546875" customWidth="1"/>
  </cols>
  <sheetData>
    <row r="1" spans="1:6" x14ac:dyDescent="0.3">
      <c r="A1" s="183" t="s">
        <v>31</v>
      </c>
      <c r="B1" s="184"/>
      <c r="C1" s="184"/>
      <c r="D1" s="184"/>
      <c r="E1" s="184"/>
      <c r="F1" s="184"/>
    </row>
    <row r="2" spans="1:6" x14ac:dyDescent="0.3">
      <c r="A2" s="5" t="s">
        <v>13</v>
      </c>
      <c r="B2" s="94">
        <v>49000</v>
      </c>
      <c r="C2" s="5" t="s">
        <v>30</v>
      </c>
      <c r="D2" s="94">
        <v>27000</v>
      </c>
      <c r="E2" s="5" t="s">
        <v>28</v>
      </c>
      <c r="F2" s="94">
        <v>59000</v>
      </c>
    </row>
    <row r="3" spans="1:6" x14ac:dyDescent="0.3">
      <c r="A3" s="5" t="s">
        <v>16</v>
      </c>
      <c r="B3" s="94">
        <v>23600</v>
      </c>
      <c r="C3" s="5" t="s">
        <v>29</v>
      </c>
      <c r="D3" s="94">
        <v>120000</v>
      </c>
      <c r="E3" s="5" t="s">
        <v>17</v>
      </c>
      <c r="F3" s="94">
        <v>88000</v>
      </c>
    </row>
    <row r="4" spans="1:6" x14ac:dyDescent="0.3">
      <c r="A4" s="5" t="s">
        <v>18</v>
      </c>
      <c r="B4" s="94">
        <v>25400</v>
      </c>
      <c r="C4" s="10" t="s">
        <v>21</v>
      </c>
      <c r="D4" s="107">
        <v>147000</v>
      </c>
      <c r="E4" s="10" t="s">
        <v>21</v>
      </c>
      <c r="F4" s="107">
        <v>147000</v>
      </c>
    </row>
    <row r="5" spans="1:6" x14ac:dyDescent="0.3">
      <c r="A5" s="5" t="s">
        <v>19</v>
      </c>
      <c r="B5" s="94">
        <v>5334</v>
      </c>
      <c r="C5" s="8"/>
      <c r="D5" s="8"/>
      <c r="E5" s="8"/>
      <c r="F5" s="8"/>
    </row>
    <row r="6" spans="1:6" x14ac:dyDescent="0.3">
      <c r="A6" s="10" t="s">
        <v>20</v>
      </c>
      <c r="B6" s="107">
        <v>20066</v>
      </c>
      <c r="C6" s="8"/>
      <c r="D6" s="8"/>
      <c r="E6" s="8"/>
      <c r="F6" s="8"/>
    </row>
    <row r="8" spans="1:6" ht="15.65" x14ac:dyDescent="0.3">
      <c r="A8" s="80" t="s">
        <v>3</v>
      </c>
      <c r="B8" s="74">
        <f>B6/F3</f>
        <v>0.22802272727272727</v>
      </c>
    </row>
    <row r="9" spans="1:6" ht="15.65" x14ac:dyDescent="0.3">
      <c r="A9" s="71" t="s">
        <v>32</v>
      </c>
      <c r="B9" s="71">
        <f>(1-0.3)</f>
        <v>0.7</v>
      </c>
    </row>
    <row r="10" spans="1:6" ht="15.65" x14ac:dyDescent="0.3">
      <c r="A10" s="73" t="s">
        <v>33</v>
      </c>
      <c r="B10" s="74">
        <f>(B8*B9)/(1-(B8*B9))</f>
        <v>0.18993209273898026</v>
      </c>
      <c r="C10" s="61"/>
    </row>
    <row r="11" spans="1:6" ht="15.65" x14ac:dyDescent="0.3">
      <c r="A11" s="71" t="s">
        <v>34</v>
      </c>
      <c r="B11" s="76">
        <f>B2*(1+B10)-B2</f>
        <v>9306.672544210036</v>
      </c>
      <c r="C11" s="54"/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3EE7-016E-41C8-AADD-8C989F0486FE}">
  <dimension ref="A1:B3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23.5546875" bestFit="1" customWidth="1"/>
  </cols>
  <sheetData>
    <row r="1" spans="1:2" ht="15.65" x14ac:dyDescent="0.3">
      <c r="A1" s="73" t="s">
        <v>3</v>
      </c>
      <c r="B1" s="78">
        <v>0.11</v>
      </c>
    </row>
    <row r="2" spans="1:2" ht="15.65" x14ac:dyDescent="0.3">
      <c r="A2" s="71" t="s">
        <v>32</v>
      </c>
      <c r="B2" s="71">
        <f>(1-0.2)</f>
        <v>0.8</v>
      </c>
    </row>
    <row r="3" spans="1:2" ht="15.65" x14ac:dyDescent="0.3">
      <c r="A3" s="73" t="s">
        <v>33</v>
      </c>
      <c r="B3" s="74">
        <f>(B1*B2)/(1-(B1*B2))</f>
        <v>9.6491228070175447E-2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EBFF-C5D2-43C2-87AE-505AB32004E2}">
  <dimension ref="A1:C8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24.44140625" bestFit="1" customWidth="1"/>
  </cols>
  <sheetData>
    <row r="1" spans="1:3" ht="15.65" x14ac:dyDescent="0.3">
      <c r="A1" s="71" t="s">
        <v>1</v>
      </c>
      <c r="B1" s="71">
        <v>2.65</v>
      </c>
    </row>
    <row r="2" spans="1:3" ht="15.65" x14ac:dyDescent="0.3">
      <c r="A2" s="71" t="s">
        <v>35</v>
      </c>
      <c r="B2" s="74">
        <v>5.7000000000000002E-2</v>
      </c>
    </row>
    <row r="3" spans="1:3" ht="15.65" x14ac:dyDescent="0.3">
      <c r="A3" s="71" t="s">
        <v>0</v>
      </c>
      <c r="B3" s="71">
        <v>1.6</v>
      </c>
    </row>
    <row r="4" spans="1:3" ht="15.65" x14ac:dyDescent="0.3">
      <c r="A4" s="71" t="s">
        <v>24</v>
      </c>
      <c r="B4" s="71">
        <v>0.7</v>
      </c>
    </row>
    <row r="6" spans="1:3" ht="15.65" x14ac:dyDescent="0.3">
      <c r="A6" s="73" t="s">
        <v>3</v>
      </c>
      <c r="B6" s="74">
        <f>B2*B1*B3</f>
        <v>0.24168000000000001</v>
      </c>
      <c r="C6" s="61"/>
    </row>
    <row r="7" spans="1:3" ht="15.65" x14ac:dyDescent="0.3">
      <c r="A7" s="71" t="s">
        <v>32</v>
      </c>
      <c r="B7" s="71">
        <f>1-B4</f>
        <v>0.30000000000000004</v>
      </c>
    </row>
    <row r="8" spans="1:3" ht="15.65" x14ac:dyDescent="0.3">
      <c r="A8" s="73" t="s">
        <v>36</v>
      </c>
      <c r="B8" s="74">
        <f>(B6*B7)/(1-(B6*B7))</f>
        <v>7.8171765700337265E-2</v>
      </c>
      <c r="C8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1696-3E92-44FD-A1C5-445F5D2E9E65}">
  <dimension ref="A1:F17"/>
  <sheetViews>
    <sheetView showGridLines="0" zoomScale="145" zoomScaleNormal="145" workbookViewId="0">
      <selection sqref="A1:F1"/>
    </sheetView>
  </sheetViews>
  <sheetFormatPr defaultRowHeight="15.05" x14ac:dyDescent="0.3"/>
  <cols>
    <col min="1" max="1" width="14.33203125" customWidth="1"/>
    <col min="2" max="2" width="10.6640625" bestFit="1" customWidth="1"/>
    <col min="5" max="5" width="8" customWidth="1"/>
    <col min="6" max="6" width="14.109375" customWidth="1"/>
  </cols>
  <sheetData>
    <row r="1" spans="1:6" x14ac:dyDescent="0.3">
      <c r="A1" s="185" t="s">
        <v>40</v>
      </c>
      <c r="B1" s="186"/>
      <c r="C1" s="186"/>
      <c r="D1" s="186"/>
      <c r="E1" s="186"/>
      <c r="F1" s="186"/>
    </row>
    <row r="2" spans="1:6" ht="15.05" customHeight="1" x14ac:dyDescent="0.3">
      <c r="A2" s="17" t="s">
        <v>13</v>
      </c>
      <c r="B2" s="95">
        <v>8300</v>
      </c>
      <c r="C2" s="6" t="s">
        <v>14</v>
      </c>
      <c r="D2" s="7">
        <v>19100</v>
      </c>
      <c r="E2" s="18" t="s">
        <v>38</v>
      </c>
      <c r="F2" s="95">
        <v>8400</v>
      </c>
    </row>
    <row r="3" spans="1:6" x14ac:dyDescent="0.3">
      <c r="A3" s="17" t="s">
        <v>16</v>
      </c>
      <c r="B3" s="95">
        <v>6490</v>
      </c>
      <c r="C3" s="8"/>
      <c r="D3" s="5"/>
      <c r="E3" s="19" t="s">
        <v>37</v>
      </c>
      <c r="F3" s="95">
        <v>10700</v>
      </c>
    </row>
    <row r="4" spans="1:6" x14ac:dyDescent="0.3">
      <c r="A4" s="10" t="s">
        <v>20</v>
      </c>
      <c r="B4" s="96">
        <v>1810</v>
      </c>
      <c r="C4" s="11" t="s">
        <v>21</v>
      </c>
      <c r="D4" s="20">
        <v>19100</v>
      </c>
      <c r="E4" s="21" t="s">
        <v>39</v>
      </c>
      <c r="F4" s="96">
        <v>19100</v>
      </c>
    </row>
    <row r="6" spans="1:6" x14ac:dyDescent="0.3">
      <c r="A6" s="185" t="s">
        <v>41</v>
      </c>
      <c r="B6" s="185"/>
      <c r="C6" s="185"/>
      <c r="D6" s="185"/>
      <c r="E6" s="185"/>
      <c r="F6" s="185"/>
    </row>
    <row r="7" spans="1:6" ht="14.25" customHeight="1" x14ac:dyDescent="0.3">
      <c r="A7" s="17" t="s">
        <v>13</v>
      </c>
      <c r="B7" s="95">
        <f>$B2*(1+$B$11)</f>
        <v>9462</v>
      </c>
      <c r="C7" s="6" t="s">
        <v>14</v>
      </c>
      <c r="D7" s="7">
        <f>$D2*(1+$B$11)</f>
        <v>21773.999999999996</v>
      </c>
      <c r="E7" s="18" t="s">
        <v>38</v>
      </c>
      <c r="F7" s="95">
        <v>8400</v>
      </c>
    </row>
    <row r="8" spans="1:6" x14ac:dyDescent="0.3">
      <c r="A8" s="17" t="s">
        <v>16</v>
      </c>
      <c r="B8" s="95">
        <f>$B3*(1+$B$11)</f>
        <v>7398.5999999999995</v>
      </c>
      <c r="C8" s="8"/>
      <c r="D8" s="5"/>
      <c r="E8" s="19" t="s">
        <v>37</v>
      </c>
      <c r="F8" s="95">
        <f>F3+B9</f>
        <v>12763.400000000001</v>
      </c>
    </row>
    <row r="9" spans="1:6" x14ac:dyDescent="0.3">
      <c r="A9" s="10" t="s">
        <v>20</v>
      </c>
      <c r="B9" s="96">
        <f>B7-B8</f>
        <v>2063.4000000000005</v>
      </c>
      <c r="C9" s="11" t="s">
        <v>21</v>
      </c>
      <c r="D9" s="20">
        <f>D7</f>
        <v>21773.999999999996</v>
      </c>
      <c r="E9" s="21" t="s">
        <v>39</v>
      </c>
      <c r="F9" s="96">
        <f>SUM(F7:F8)</f>
        <v>21163.4</v>
      </c>
    </row>
    <row r="11" spans="1:6" ht="15.65" x14ac:dyDescent="0.3">
      <c r="A11" s="71" t="s">
        <v>23</v>
      </c>
      <c r="B11" s="78">
        <f>9462/B2-1</f>
        <v>0.1399999999999999</v>
      </c>
    </row>
    <row r="12" spans="1:6" ht="15.65" x14ac:dyDescent="0.3">
      <c r="A12" s="73" t="s">
        <v>27</v>
      </c>
      <c r="B12" s="76">
        <f>D9-F9</f>
        <v>610.59999999999491</v>
      </c>
    </row>
    <row r="13" spans="1:6" x14ac:dyDescent="0.3">
      <c r="B13" s="61"/>
    </row>
    <row r="14" spans="1:6" ht="15.65" x14ac:dyDescent="0.3">
      <c r="A14" s="71" t="s">
        <v>56</v>
      </c>
      <c r="B14" s="74">
        <f>B4/B2</f>
        <v>0.21807228915662652</v>
      </c>
    </row>
    <row r="15" spans="1:6" ht="15.65" x14ac:dyDescent="0.3">
      <c r="A15" s="71" t="s">
        <v>160</v>
      </c>
      <c r="B15" s="87">
        <v>1</v>
      </c>
    </row>
    <row r="16" spans="1:6" ht="15.65" x14ac:dyDescent="0.3">
      <c r="A16" s="71" t="s">
        <v>165</v>
      </c>
      <c r="B16" s="78">
        <f>B11</f>
        <v>0.1399999999999999</v>
      </c>
    </row>
    <row r="17" spans="1:2" ht="15.65" x14ac:dyDescent="0.3">
      <c r="A17" s="106" t="s">
        <v>27</v>
      </c>
      <c r="B17" s="76">
        <f>-B14*(B2)*B15+(D4-B14*(B2)*B15)*B16</f>
        <v>610.59999999999786</v>
      </c>
    </row>
  </sheetData>
  <mergeCells count="2">
    <mergeCell ref="A1:F1"/>
    <mergeCell ref="A6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C32E3-7200-4C7E-BA28-E6F41F421FA6}">
  <dimension ref="A1:D35"/>
  <sheetViews>
    <sheetView showGridLines="0" zoomScale="130" zoomScaleNormal="130" workbookViewId="0">
      <selection sqref="A1:B1"/>
    </sheetView>
  </sheetViews>
  <sheetFormatPr defaultRowHeight="15.05" x14ac:dyDescent="0.3"/>
  <cols>
    <col min="1" max="1" width="20.109375" bestFit="1" customWidth="1"/>
    <col min="2" max="2" width="16.5546875" bestFit="1" customWidth="1"/>
    <col min="3" max="3" width="29.88671875" bestFit="1" customWidth="1"/>
    <col min="4" max="4" width="13.109375" bestFit="1" customWidth="1"/>
  </cols>
  <sheetData>
    <row r="1" spans="1:4" ht="15.65" x14ac:dyDescent="0.3">
      <c r="A1" s="71" t="s">
        <v>42</v>
      </c>
      <c r="B1" s="76">
        <f>320000000/(1+0.12)</f>
        <v>285714285.71428567</v>
      </c>
      <c r="C1" s="4"/>
      <c r="D1" s="1"/>
    </row>
    <row r="2" spans="1:4" ht="15.65" x14ac:dyDescent="0.3">
      <c r="A2" s="71" t="s">
        <v>43</v>
      </c>
      <c r="B2" s="76">
        <f>320000000-B1</f>
        <v>34285714.285714328</v>
      </c>
      <c r="C2" s="1"/>
      <c r="D2" s="1"/>
    </row>
    <row r="3" spans="1:4" ht="15.65" x14ac:dyDescent="0.3">
      <c r="A3" s="2" t="s">
        <v>51</v>
      </c>
      <c r="B3" s="1"/>
      <c r="C3" s="1"/>
      <c r="D3" s="1"/>
    </row>
    <row r="4" spans="1:4" ht="15.65" x14ac:dyDescent="0.3">
      <c r="A4" s="22" t="s">
        <v>44</v>
      </c>
      <c r="B4" s="23"/>
      <c r="C4" s="22" t="s">
        <v>45</v>
      </c>
      <c r="D4" s="23"/>
    </row>
    <row r="5" spans="1:4" x14ac:dyDescent="0.3">
      <c r="A5" s="24" t="s">
        <v>46</v>
      </c>
      <c r="B5" s="25">
        <f>B1*0.2</f>
        <v>57142857.142857134</v>
      </c>
      <c r="C5" s="24" t="s">
        <v>47</v>
      </c>
      <c r="D5" s="26">
        <f>B1*0.15</f>
        <v>42857142.857142851</v>
      </c>
    </row>
    <row r="6" spans="1:4" x14ac:dyDescent="0.3">
      <c r="A6" s="27"/>
      <c r="B6" s="25"/>
      <c r="C6" s="24" t="s">
        <v>48</v>
      </c>
      <c r="D6" s="26">
        <v>110000000</v>
      </c>
    </row>
    <row r="7" spans="1:4" x14ac:dyDescent="0.3">
      <c r="A7" s="24" t="s">
        <v>49</v>
      </c>
      <c r="B7" s="25">
        <f>B1*0.7</f>
        <v>199999999.99999997</v>
      </c>
      <c r="C7" s="24" t="s">
        <v>50</v>
      </c>
      <c r="D7" s="26">
        <v>45000000</v>
      </c>
    </row>
    <row r="8" spans="1:4" ht="18" customHeight="1" x14ac:dyDescent="0.3">
      <c r="A8" s="23"/>
      <c r="B8" s="28"/>
      <c r="C8" s="24" t="s">
        <v>59</v>
      </c>
      <c r="D8" s="29">
        <f>D9-D7</f>
        <v>59285714.285714269</v>
      </c>
    </row>
    <row r="9" spans="1:4" ht="17.25" customHeight="1" x14ac:dyDescent="0.3">
      <c r="A9" s="27"/>
      <c r="B9" s="25"/>
      <c r="C9" s="30" t="s">
        <v>60</v>
      </c>
      <c r="D9" s="26">
        <f>B10-D5-D6</f>
        <v>104285714.28571427</v>
      </c>
    </row>
    <row r="10" spans="1:4" x14ac:dyDescent="0.3">
      <c r="A10" s="24" t="s">
        <v>9</v>
      </c>
      <c r="B10" s="31">
        <f>B7+B5</f>
        <v>257142857.1428571</v>
      </c>
      <c r="C10" s="24" t="s">
        <v>52</v>
      </c>
      <c r="D10" s="32">
        <f>D9+D6+D5</f>
        <v>257142857.14285713</v>
      </c>
    </row>
    <row r="12" spans="1:4" ht="15.65" x14ac:dyDescent="0.3">
      <c r="A12" s="2" t="s">
        <v>53</v>
      </c>
      <c r="B12" s="1"/>
    </row>
    <row r="13" spans="1:4" ht="15.65" x14ac:dyDescent="0.3">
      <c r="A13" s="71" t="s">
        <v>54</v>
      </c>
      <c r="B13" s="78"/>
    </row>
    <row r="14" spans="1:4" ht="15.65" x14ac:dyDescent="0.3">
      <c r="A14" s="71" t="s">
        <v>58</v>
      </c>
      <c r="B14" s="76"/>
    </row>
    <row r="15" spans="1:4" ht="15.65" x14ac:dyDescent="0.3">
      <c r="A15" s="81" t="s">
        <v>55</v>
      </c>
      <c r="B15" s="78"/>
    </row>
    <row r="16" spans="1:4" ht="15.65" x14ac:dyDescent="0.3">
      <c r="A16" s="71" t="s">
        <v>56</v>
      </c>
      <c r="B16" s="78">
        <v>0.09</v>
      </c>
    </row>
    <row r="17" spans="1:4" ht="15.65" x14ac:dyDescent="0.3">
      <c r="A17" s="71" t="s">
        <v>57</v>
      </c>
      <c r="B17" s="78">
        <v>0.12</v>
      </c>
    </row>
    <row r="18" spans="1:4" ht="15.65" x14ac:dyDescent="0.3">
      <c r="A18" s="71" t="s">
        <v>160</v>
      </c>
      <c r="B18" s="71">
        <f>1-0.3</f>
        <v>0.7</v>
      </c>
    </row>
    <row r="19" spans="1:4" ht="15.65" x14ac:dyDescent="0.3">
      <c r="A19" s="73" t="s">
        <v>27</v>
      </c>
      <c r="B19" s="76">
        <f>-B16*(B1)*B18+(B10-D5-B16*(B1)*B18)*B17</f>
        <v>5554285.7142857164</v>
      </c>
      <c r="C19" s="54"/>
    </row>
    <row r="21" spans="1:4" ht="15.65" x14ac:dyDescent="0.3">
      <c r="A21" s="2" t="s">
        <v>61</v>
      </c>
      <c r="B21" s="1"/>
    </row>
    <row r="22" spans="1:4" ht="15.65" x14ac:dyDescent="0.3">
      <c r="A22" s="73" t="s">
        <v>62</v>
      </c>
      <c r="B22" s="77">
        <f>(B1+B2)*B16</f>
        <v>28800000</v>
      </c>
      <c r="C22" s="60"/>
    </row>
    <row r="23" spans="1:4" ht="15.65" x14ac:dyDescent="0.3">
      <c r="A23" s="71" t="s">
        <v>63</v>
      </c>
      <c r="B23" s="77">
        <f>B22*B18</f>
        <v>20160000</v>
      </c>
      <c r="C23" s="54"/>
    </row>
    <row r="24" spans="1:4" ht="15.65" x14ac:dyDescent="0.3">
      <c r="A24" s="71" t="s">
        <v>23</v>
      </c>
      <c r="B24" s="78">
        <f>B17</f>
        <v>0.12</v>
      </c>
    </row>
    <row r="25" spans="1:4" ht="15.65" x14ac:dyDescent="0.3">
      <c r="A25" s="1"/>
      <c r="B25" s="3"/>
    </row>
    <row r="26" spans="1:4" ht="15.65" x14ac:dyDescent="0.3">
      <c r="A26" s="82" t="s">
        <v>137</v>
      </c>
      <c r="B26" s="83"/>
      <c r="C26" s="84"/>
      <c r="D26" s="84"/>
    </row>
    <row r="27" spans="1:4" ht="15.65" x14ac:dyDescent="0.3">
      <c r="A27" s="22" t="s">
        <v>44</v>
      </c>
      <c r="B27" s="23"/>
      <c r="C27" s="22" t="s">
        <v>45</v>
      </c>
      <c r="D27" s="23"/>
    </row>
    <row r="28" spans="1:4" x14ac:dyDescent="0.3">
      <c r="A28" s="24" t="s">
        <v>46</v>
      </c>
      <c r="B28" s="25">
        <f>$B5*(1+$B$24)</f>
        <v>64000000</v>
      </c>
      <c r="C28" s="24" t="s">
        <v>47</v>
      </c>
      <c r="D28" s="26">
        <f>$D$5*(1+$B$24)</f>
        <v>48000000</v>
      </c>
    </row>
    <row r="29" spans="1:4" x14ac:dyDescent="0.3">
      <c r="A29" s="27"/>
      <c r="B29" s="25"/>
      <c r="C29" s="24" t="s">
        <v>48</v>
      </c>
      <c r="D29" s="26">
        <v>110000000</v>
      </c>
    </row>
    <row r="30" spans="1:4" x14ac:dyDescent="0.3">
      <c r="A30" s="24" t="s">
        <v>49</v>
      </c>
      <c r="B30" s="25">
        <f>$B7*(1+$B$24)</f>
        <v>224000000</v>
      </c>
      <c r="C30" s="24" t="s">
        <v>50</v>
      </c>
      <c r="D30" s="26">
        <v>45000000</v>
      </c>
    </row>
    <row r="31" spans="1:4" ht="15.65" x14ac:dyDescent="0.3">
      <c r="A31" s="23"/>
      <c r="B31" s="28"/>
      <c r="C31" s="24" t="s">
        <v>59</v>
      </c>
      <c r="D31" s="29">
        <f>D8+B23</f>
        <v>79445714.285714269</v>
      </c>
    </row>
    <row r="32" spans="1:4" x14ac:dyDescent="0.3">
      <c r="A32" s="27"/>
      <c r="B32" s="25"/>
      <c r="C32" s="30" t="s">
        <v>60</v>
      </c>
      <c r="D32" s="26">
        <f>SUM(D30:D31)</f>
        <v>124445714.28571427</v>
      </c>
    </row>
    <row r="33" spans="1:4" x14ac:dyDescent="0.3">
      <c r="A33" s="24" t="s">
        <v>9</v>
      </c>
      <c r="B33" s="31">
        <f>B30+B28</f>
        <v>288000000</v>
      </c>
      <c r="C33" s="24" t="s">
        <v>52</v>
      </c>
      <c r="D33" s="32">
        <f>D32+D29+D28</f>
        <v>282445714.28571427</v>
      </c>
    </row>
    <row r="35" spans="1:4" ht="15.65" x14ac:dyDescent="0.3">
      <c r="A35" s="73" t="s">
        <v>27</v>
      </c>
      <c r="B35" s="76">
        <f>B33-D33</f>
        <v>5554285.7142857313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18.</vt:lpstr>
      <vt:lpstr>19. &amp; 20.</vt:lpstr>
      <vt:lpstr>21.&amp; 22. &amp; 23. &amp; 24. &amp; 25.</vt:lpstr>
      <vt:lpstr>26.</vt:lpstr>
      <vt:lpstr>30.</vt:lpstr>
      <vt:lpstr>RATIOS AND FINANCIAL PLANNING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PC-5985614</dc:creator>
  <cp:lastModifiedBy>BusinessLearn365</cp:lastModifiedBy>
  <dcterms:created xsi:type="dcterms:W3CDTF">2021-12-14T14:08:41Z</dcterms:created>
  <dcterms:modified xsi:type="dcterms:W3CDTF">2022-12-26T07:54:15Z</dcterms:modified>
</cp:coreProperties>
</file>