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5687D9B4-33CF-4515-A02B-28D474FDEFEA}" xr6:coauthVersionLast="47" xr6:coauthVersionMax="47" xr10:uidLastSave="{00000000-0000-0000-0000-000000000000}"/>
  <bookViews>
    <workbookView xWindow="-113" yWindow="-113" windowWidth="17330" windowHeight="9842" xr2:uid="{531311F6-5037-43B5-84BD-EAA527F1BEDC}"/>
  </bookViews>
  <sheets>
    <sheet name="1." sheetId="1" r:id="rId1"/>
    <sheet name="2." sheetId="2" r:id="rId2"/>
    <sheet name="3." sheetId="3" r:id="rId3"/>
    <sheet name="4." sheetId="4" r:id="rId4"/>
    <sheet name="5." sheetId="5" r:id="rId5"/>
    <sheet name="6." sheetId="6" r:id="rId6"/>
    <sheet name="7." sheetId="7" r:id="rId7"/>
    <sheet name="8." sheetId="8" r:id="rId8"/>
    <sheet name="10." sheetId="9" r:id="rId9"/>
    <sheet name="11." sheetId="10" r:id="rId10"/>
    <sheet name="12." sheetId="11" r:id="rId11"/>
    <sheet name="13." sheetId="12" r:id="rId12"/>
    <sheet name="14." sheetId="13" r:id="rId13"/>
    <sheet name="15." sheetId="14" r:id="rId14"/>
    <sheet name="16." sheetId="15" r:id="rId15"/>
    <sheet name="17." sheetId="16" r:id="rId16"/>
    <sheet name="18." sheetId="17" r:id="rId17"/>
    <sheet name="19." sheetId="18" r:id="rId18"/>
    <sheet name="20. &amp; 21." sheetId="19" r:id="rId19"/>
    <sheet name="23." sheetId="48" r:id="rId20"/>
    <sheet name="24." sheetId="20" r:id="rId21"/>
    <sheet name="25." sheetId="21" r:id="rId22"/>
    <sheet name="26." sheetId="22" r:id="rId23"/>
    <sheet name="27." sheetId="23" r:id="rId24"/>
    <sheet name="28." sheetId="49" r:id="rId25"/>
    <sheet name="29." sheetId="50" r:id="rId26"/>
    <sheet name="BULLOCK GOLD MINING" sheetId="46" r:id="rId27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0" l="1"/>
  <c r="D4" i="50"/>
  <c r="D3" i="50"/>
  <c r="D2" i="50"/>
  <c r="D6" i="50" s="1"/>
  <c r="C2" i="50" s="1"/>
  <c r="B9" i="49"/>
  <c r="B8" i="49"/>
  <c r="B7" i="49"/>
  <c r="B4" i="48"/>
  <c r="B18" i="46"/>
  <c r="B17" i="46"/>
  <c r="B15" i="46"/>
  <c r="B16" i="46"/>
  <c r="B14" i="46"/>
  <c r="B13" i="46"/>
  <c r="B12" i="46"/>
  <c r="B8" i="23"/>
  <c r="B7" i="23"/>
  <c r="B16" i="22"/>
  <c r="B7" i="13"/>
  <c r="C3" i="4"/>
  <c r="B6" i="1"/>
  <c r="B6" i="23"/>
  <c r="B5" i="23"/>
  <c r="B4" i="23"/>
  <c r="B3" i="23"/>
  <c r="B8" i="21"/>
  <c r="B6" i="21"/>
  <c r="B5" i="21"/>
  <c r="B10" i="20"/>
  <c r="B9" i="20"/>
  <c r="B8" i="20"/>
  <c r="B7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2" i="20"/>
  <c r="K4" i="19" l="1"/>
  <c r="D2" i="19"/>
  <c r="C4" i="19"/>
  <c r="D4" i="19" s="1"/>
  <c r="C5" i="19"/>
  <c r="D5" i="19" s="1"/>
  <c r="C6" i="19"/>
  <c r="D6" i="19" s="1"/>
  <c r="C3" i="19"/>
  <c r="D3" i="19" s="1"/>
  <c r="D7" i="19" s="1"/>
  <c r="K3" i="19" s="1"/>
  <c r="C2" i="19"/>
  <c r="K2" i="19" s="1"/>
  <c r="H4" i="19"/>
  <c r="B16" i="19"/>
  <c r="B15" i="19"/>
  <c r="B12" i="19"/>
  <c r="B13" i="19" s="1"/>
  <c r="B9" i="19"/>
  <c r="B10" i="19" s="1"/>
  <c r="H6" i="18"/>
  <c r="G6" i="18"/>
  <c r="H5" i="18"/>
  <c r="G5" i="18"/>
  <c r="H4" i="18"/>
  <c r="G4" i="18"/>
  <c r="H3" i="18"/>
  <c r="G3" i="18"/>
  <c r="H2" i="18"/>
  <c r="G2" i="18"/>
  <c r="D9" i="17"/>
  <c r="D3" i="17"/>
  <c r="D4" i="17"/>
  <c r="D5" i="17"/>
  <c r="D2" i="17"/>
  <c r="C9" i="17"/>
  <c r="B9" i="17"/>
  <c r="C8" i="17"/>
  <c r="B8" i="17"/>
  <c r="C7" i="17"/>
  <c r="B7" i="17"/>
  <c r="C6" i="17"/>
  <c r="B6" i="17"/>
  <c r="C6" i="16"/>
  <c r="D6" i="16"/>
  <c r="B6" i="16"/>
  <c r="C5" i="16"/>
  <c r="D5" i="16"/>
  <c r="B5" i="16"/>
  <c r="D9" i="15"/>
  <c r="D3" i="15"/>
  <c r="D4" i="15"/>
  <c r="D5" i="15"/>
  <c r="D2" i="15"/>
  <c r="C9" i="15"/>
  <c r="B9" i="15"/>
  <c r="C8" i="15"/>
  <c r="B8" i="15"/>
  <c r="C7" i="15"/>
  <c r="B7" i="15"/>
  <c r="C6" i="15"/>
  <c r="B6" i="15"/>
  <c r="H8" i="14"/>
  <c r="C8" i="14"/>
  <c r="D8" i="14"/>
  <c r="B8" i="14"/>
  <c r="F8" i="14" s="1"/>
  <c r="C7" i="14"/>
  <c r="D7" i="14"/>
  <c r="H7" i="14" s="1"/>
  <c r="B7" i="14"/>
  <c r="F7" i="14" s="1"/>
  <c r="C7" i="13"/>
  <c r="D3" i="13"/>
  <c r="D4" i="13"/>
  <c r="D5" i="13"/>
  <c r="D2" i="13"/>
  <c r="D9" i="13" s="1"/>
  <c r="C9" i="13"/>
  <c r="B9" i="13"/>
  <c r="C8" i="13"/>
  <c r="B8" i="13"/>
  <c r="C6" i="13"/>
  <c r="B6" i="13"/>
  <c r="B5" i="12"/>
  <c r="C7" i="11"/>
  <c r="B7" i="11"/>
  <c r="C6" i="11"/>
  <c r="B6" i="11"/>
  <c r="C7" i="10"/>
  <c r="B7" i="10"/>
  <c r="D3" i="10"/>
  <c r="D4" i="10"/>
  <c r="D6" i="10" s="1"/>
  <c r="D5" i="10"/>
  <c r="D2" i="10"/>
  <c r="C6" i="10"/>
  <c r="B6" i="10"/>
  <c r="B9" i="9"/>
  <c r="B8" i="9"/>
  <c r="B7" i="9"/>
  <c r="C6" i="8"/>
  <c r="B6" i="8"/>
  <c r="B1" i="7"/>
  <c r="B2" i="7" s="1"/>
  <c r="C6" i="6"/>
  <c r="B6" i="6"/>
  <c r="B6" i="5"/>
  <c r="E2" i="4"/>
  <c r="D2" i="4"/>
  <c r="E3" i="4"/>
  <c r="D3" i="4"/>
  <c r="C2" i="4"/>
  <c r="C3" i="2"/>
  <c r="C4" i="2"/>
  <c r="C2" i="2"/>
  <c r="C4" i="3"/>
  <c r="C3" i="3"/>
  <c r="C2" i="3"/>
  <c r="C6" i="3"/>
  <c r="C7" i="3"/>
  <c r="C8" i="3"/>
  <c r="C5" i="3"/>
  <c r="C8" i="1"/>
  <c r="B8" i="1"/>
  <c r="C7" i="1"/>
  <c r="B7" i="1"/>
  <c r="C6" i="1"/>
  <c r="B17" i="19" l="1"/>
</calcChain>
</file>

<file path=xl/sharedStrings.xml><?xml version="1.0" encoding="utf-8"?>
<sst xmlns="http://schemas.openxmlformats.org/spreadsheetml/2006/main" count="207" uniqueCount="77">
  <si>
    <t>Year</t>
  </si>
  <si>
    <t>Project A</t>
  </si>
  <si>
    <t>Project B</t>
  </si>
  <si>
    <t>NPV</t>
  </si>
  <si>
    <t>Discount rate</t>
  </si>
  <si>
    <t>Payback period (Years)</t>
  </si>
  <si>
    <t>Discounted payback (Years)</t>
  </si>
  <si>
    <t>Cash Flows</t>
  </si>
  <si>
    <t>IRR</t>
  </si>
  <si>
    <t>PVA</t>
  </si>
  <si>
    <t>PI</t>
  </si>
  <si>
    <t>Required return</t>
  </si>
  <si>
    <t>Project Alpha</t>
  </si>
  <si>
    <t>Project Beta</t>
  </si>
  <si>
    <t>NPV - 10%</t>
  </si>
  <si>
    <t>NPV - 20%</t>
  </si>
  <si>
    <t>Deepwater Fishing</t>
  </si>
  <si>
    <t>New Submarine Ride</t>
  </si>
  <si>
    <t>incremental IRR</t>
  </si>
  <si>
    <t>Project I</t>
  </si>
  <si>
    <t>Project II</t>
  </si>
  <si>
    <t>Cash Flow</t>
  </si>
  <si>
    <t>Board Game</t>
  </si>
  <si>
    <t>DVD</t>
  </si>
  <si>
    <t>Discount Rate</t>
  </si>
  <si>
    <t>Discounted Payback period (Years)</t>
  </si>
  <si>
    <t>Cash Flows (in $ millions)</t>
  </si>
  <si>
    <t>CDMA</t>
  </si>
  <si>
    <t>G4</t>
  </si>
  <si>
    <t>Wi-Fi</t>
  </si>
  <si>
    <t>&gt;</t>
  </si>
  <si>
    <t>AZM Mini-SUV</t>
  </si>
  <si>
    <t>AZF Full-SUV</t>
  </si>
  <si>
    <t>Incremental IRR</t>
  </si>
  <si>
    <t>Project C</t>
  </si>
  <si>
    <t>Dry Prepreg</t>
  </si>
  <si>
    <t>Solvent Prepreg</t>
  </si>
  <si>
    <t>NP-30</t>
  </si>
  <si>
    <t>NX-20</t>
  </si>
  <si>
    <t>Implications</t>
  </si>
  <si>
    <t>Payback</t>
  </si>
  <si>
    <t>Discounted Payback</t>
  </si>
  <si>
    <t>Discounting approach:</t>
  </si>
  <si>
    <t>MIRR</t>
  </si>
  <si>
    <t>Time 0 cash flow</t>
  </si>
  <si>
    <t>Reinvestment approach:</t>
  </si>
  <si>
    <t>Time 5 cash flow</t>
  </si>
  <si>
    <t>Combination approach:</t>
  </si>
  <si>
    <t>Reinvestment rate</t>
  </si>
  <si>
    <t>Discount Rates</t>
  </si>
  <si>
    <t>ꝏ</t>
  </si>
  <si>
    <t>Grow rate</t>
  </si>
  <si>
    <t>PVPG</t>
  </si>
  <si>
    <t>Grow rate (Break even)</t>
  </si>
  <si>
    <t xml:space="preserve">Required return </t>
  </si>
  <si>
    <t>Budget</t>
  </si>
  <si>
    <t>Payback period</t>
  </si>
  <si>
    <t>years</t>
  </si>
  <si>
    <t>Discounted payback period</t>
  </si>
  <si>
    <t>Profitability index</t>
  </si>
  <si>
    <t>NPER</t>
  </si>
  <si>
    <t>Cost</t>
  </si>
  <si>
    <t>R</t>
  </si>
  <si>
    <t>The worst case:</t>
  </si>
  <si>
    <t>The worst case is that the payback occurs at the end of the sixth year.</t>
  </si>
  <si>
    <t>The best case has infinite cash flows beyond the payback point. Thus, the best-case NPV is infinite.</t>
  </si>
  <si>
    <t>A</t>
  </si>
  <si>
    <t>B</t>
  </si>
  <si>
    <t>CFO</t>
  </si>
  <si>
    <t>GrowthRate_A</t>
  </si>
  <si>
    <t xml:space="preserve"> in perpetuity</t>
  </si>
  <si>
    <t xml:space="preserve">Discount rate </t>
  </si>
  <si>
    <t>PV(A)</t>
  </si>
  <si>
    <t>PV(B)</t>
  </si>
  <si>
    <t>Project Million</t>
  </si>
  <si>
    <t>Project Billion</t>
  </si>
  <si>
    <t>Incremental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</si>
</sst>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#,##0.000"/>
    <numFmt numFmtId="165" formatCode="0.0%"/>
    <numFmt numFmtId="166" formatCode="&quot;$&quot;#,##0.0_);[Red]\(&quot;$&quot;#,##0.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indexed="9"/>
      <name val="Arial Narrow"/>
      <family val="2"/>
    </font>
    <font>
      <sz val="12"/>
      <color indexed="63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indexed="63"/>
      <name val="Arial Narrow"/>
      <family val="2"/>
    </font>
    <font>
      <sz val="12"/>
      <name val="Arial Narrow"/>
      <family val="2"/>
    </font>
    <font>
      <b/>
      <i/>
      <sz val="12"/>
      <color theme="1"/>
      <name val="Arial Narrow"/>
      <family val="2"/>
    </font>
    <font>
      <sz val="12"/>
      <color indexed="6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5622A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FE1B7"/>
        <bgColor indexed="64"/>
      </patternFill>
    </fill>
  </fills>
  <borders count="8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1"/>
    </xf>
    <xf numFmtId="1" fontId="4" fillId="3" borderId="0" xfId="0" applyNumberFormat="1" applyFont="1" applyFill="1" applyAlignment="1">
      <alignment horizontal="center" vertical="top" shrinkToFit="1"/>
    </xf>
    <xf numFmtId="6" fontId="4" fillId="3" borderId="0" xfId="0" applyNumberFormat="1" applyFont="1" applyFill="1" applyAlignment="1">
      <alignment horizontal="right" vertical="top" wrapText="1" indent="2"/>
    </xf>
    <xf numFmtId="6" fontId="4" fillId="3" borderId="0" xfId="0" applyNumberFormat="1" applyFont="1" applyFill="1" applyAlignment="1">
      <alignment horizontal="right" vertical="top" wrapText="1" indent="1"/>
    </xf>
    <xf numFmtId="6" fontId="4" fillId="3" borderId="0" xfId="0" applyNumberFormat="1" applyFont="1" applyFill="1" applyAlignment="1">
      <alignment horizontal="right" vertical="top" indent="2" shrinkToFit="1"/>
    </xf>
    <xf numFmtId="6" fontId="4" fillId="3" borderId="0" xfId="0" applyNumberFormat="1" applyFont="1" applyFill="1" applyAlignment="1">
      <alignment horizontal="right" vertical="top" indent="1" shrinkToFit="1"/>
    </xf>
    <xf numFmtId="0" fontId="5" fillId="0" borderId="0" xfId="0" applyFont="1"/>
    <xf numFmtId="8" fontId="5" fillId="0" borderId="0" xfId="0" applyNumberFormat="1" applyFont="1"/>
    <xf numFmtId="0" fontId="6" fillId="0" borderId="0" xfId="0" applyFont="1"/>
    <xf numFmtId="6" fontId="0" fillId="0" borderId="0" xfId="0" applyNumberFormat="1"/>
    <xf numFmtId="8" fontId="0" fillId="0" borderId="0" xfId="0" applyNumberFormat="1"/>
    <xf numFmtId="8" fontId="4" fillId="3" borderId="0" xfId="0" applyNumberFormat="1" applyFont="1" applyFill="1" applyAlignment="1">
      <alignment horizontal="right" vertical="top" indent="2" shrinkToFit="1"/>
    </xf>
    <xf numFmtId="4" fontId="7" fillId="3" borderId="0" xfId="0" applyNumberFormat="1" applyFont="1" applyFill="1" applyAlignment="1">
      <alignment horizontal="right" vertical="top" wrapText="1" indent="2"/>
    </xf>
    <xf numFmtId="8" fontId="4" fillId="3" borderId="0" xfId="0" applyNumberFormat="1" applyFont="1" applyFill="1" applyAlignment="1">
      <alignment horizontal="right" vertical="top" shrinkToFit="1"/>
    </xf>
    <xf numFmtId="9" fontId="3" fillId="2" borderId="0" xfId="0" applyNumberFormat="1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 indent="1"/>
    </xf>
    <xf numFmtId="6" fontId="4" fillId="3" borderId="0" xfId="0" applyNumberFormat="1" applyFont="1" applyFill="1" applyAlignment="1">
      <alignment horizontal="center" vertical="top" wrapText="1"/>
    </xf>
    <xf numFmtId="6" fontId="4" fillId="3" borderId="0" xfId="0" applyNumberFormat="1" applyFont="1" applyFill="1" applyAlignment="1">
      <alignment horizontal="center" vertical="top" shrinkToFit="1"/>
    </xf>
    <xf numFmtId="6" fontId="4" fillId="3" borderId="0" xfId="0" applyNumberFormat="1" applyFont="1" applyFill="1" applyAlignment="1">
      <alignment horizontal="right" vertical="top" wrapText="1"/>
    </xf>
    <xf numFmtId="6" fontId="4" fillId="3" borderId="0" xfId="0" applyNumberFormat="1" applyFont="1" applyFill="1" applyAlignment="1">
      <alignment horizontal="right" vertical="top" shrinkToFit="1"/>
    </xf>
    <xf numFmtId="164" fontId="5" fillId="0" borderId="0" xfId="0" applyNumberFormat="1" applyFont="1" applyFill="1" applyBorder="1"/>
    <xf numFmtId="0" fontId="3" fillId="2" borderId="0" xfId="0" applyFont="1" applyFill="1" applyAlignment="1">
      <alignment horizontal="left" vertical="top" wrapText="1" indent="2"/>
    </xf>
    <xf numFmtId="6" fontId="4" fillId="3" borderId="0" xfId="0" applyNumberFormat="1" applyFont="1" applyFill="1" applyAlignment="1">
      <alignment horizontal="left" vertical="top" wrapText="1" indent="3"/>
    </xf>
    <xf numFmtId="6" fontId="4" fillId="3" borderId="0" xfId="0" applyNumberFormat="1" applyFont="1" applyFill="1" applyAlignment="1">
      <alignment horizontal="left" vertical="top" indent="5" shrinkToFit="1"/>
    </xf>
    <xf numFmtId="6" fontId="4" fillId="3" borderId="0" xfId="0" applyNumberFormat="1" applyFont="1" applyFill="1" applyAlignment="1">
      <alignment horizontal="left" vertical="top" indent="4" shrinkToFit="1"/>
    </xf>
    <xf numFmtId="0" fontId="0" fillId="0" borderId="0" xfId="0" applyBorder="1"/>
    <xf numFmtId="10" fontId="0" fillId="0" borderId="0" xfId="0" applyNumberFormat="1"/>
    <xf numFmtId="10" fontId="5" fillId="0" borderId="0" xfId="0" applyNumberFormat="1" applyFont="1"/>
    <xf numFmtId="6" fontId="5" fillId="0" borderId="0" xfId="0" applyNumberFormat="1" applyFont="1"/>
    <xf numFmtId="0" fontId="6" fillId="0" borderId="1" xfId="0" applyFont="1" applyBorder="1"/>
    <xf numFmtId="4" fontId="5" fillId="0" borderId="0" xfId="0" applyNumberFormat="1" applyFont="1"/>
    <xf numFmtId="0" fontId="3" fillId="2" borderId="0" xfId="0" applyFont="1" applyFill="1" applyAlignment="1">
      <alignment horizontal="left" vertical="top" wrapText="1" indent="4"/>
    </xf>
    <xf numFmtId="1" fontId="4" fillId="3" borderId="0" xfId="0" applyNumberFormat="1" applyFont="1" applyFill="1" applyAlignment="1">
      <alignment horizontal="left" vertical="top" indent="1" shrinkToFit="1"/>
    </xf>
    <xf numFmtId="0" fontId="4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center" vertical="center" wrapText="1"/>
    </xf>
    <xf numFmtId="4" fontId="4" fillId="3" borderId="0" xfId="0" applyNumberFormat="1" applyFont="1" applyFill="1" applyAlignment="1">
      <alignment horizontal="right" vertical="top" wrapText="1"/>
    </xf>
    <xf numFmtId="10" fontId="4" fillId="3" borderId="0" xfId="0" applyNumberFormat="1" applyFont="1" applyFill="1" applyAlignment="1">
      <alignment horizontal="right" vertical="top" wrapText="1"/>
    </xf>
    <xf numFmtId="164" fontId="4" fillId="3" borderId="0" xfId="0" applyNumberFormat="1" applyFont="1" applyFill="1" applyAlignment="1">
      <alignment horizontal="right" vertical="top" wrapText="1"/>
    </xf>
    <xf numFmtId="8" fontId="4" fillId="3" borderId="0" xfId="0" applyNumberFormat="1" applyFont="1" applyFill="1" applyAlignment="1">
      <alignment horizontal="right" vertical="top" wrapText="1"/>
    </xf>
    <xf numFmtId="0" fontId="4" fillId="3" borderId="0" xfId="0" applyFont="1" applyFill="1" applyAlignment="1">
      <alignment horizontal="left" vertical="top" wrapText="1" indent="1"/>
    </xf>
    <xf numFmtId="6" fontId="4" fillId="3" borderId="0" xfId="0" applyNumberFormat="1" applyFont="1" applyFill="1" applyAlignment="1">
      <alignment horizontal="right" vertical="top" indent="1"/>
    </xf>
    <xf numFmtId="8" fontId="4" fillId="0" borderId="0" xfId="0" applyNumberFormat="1" applyFont="1" applyFill="1" applyAlignment="1">
      <alignment horizontal="right" vertical="top" indent="1"/>
    </xf>
    <xf numFmtId="3" fontId="4" fillId="0" borderId="0" xfId="0" applyNumberFormat="1" applyFont="1" applyFill="1" applyAlignment="1">
      <alignment horizontal="right" vertical="top" indent="1"/>
    </xf>
    <xf numFmtId="166" fontId="4" fillId="3" borderId="0" xfId="0" applyNumberFormat="1" applyFont="1" applyFill="1" applyAlignment="1">
      <alignment horizontal="right" vertical="top" indent="1"/>
    </xf>
    <xf numFmtId="8" fontId="4" fillId="3" borderId="0" xfId="0" applyNumberFormat="1" applyFont="1" applyFill="1" applyAlignment="1">
      <alignment horizontal="right" vertical="top" indent="1"/>
    </xf>
    <xf numFmtId="8" fontId="7" fillId="3" borderId="0" xfId="0" applyNumberFormat="1" applyFont="1" applyFill="1" applyAlignment="1">
      <alignment horizontal="right" vertical="top" indent="1"/>
    </xf>
    <xf numFmtId="0" fontId="6" fillId="0" borderId="0" xfId="0" applyFont="1" applyAlignment="1">
      <alignment horizontal="center"/>
    </xf>
    <xf numFmtId="1" fontId="10" fillId="3" borderId="0" xfId="0" applyNumberFormat="1" applyFont="1" applyFill="1" applyAlignment="1">
      <alignment horizontal="center" vertical="top" shrinkToFit="1"/>
    </xf>
    <xf numFmtId="0" fontId="5" fillId="0" borderId="0" xfId="0" applyFont="1" applyFill="1"/>
    <xf numFmtId="10" fontId="5" fillId="0" borderId="0" xfId="0" applyNumberFormat="1" applyFont="1" applyFill="1"/>
    <xf numFmtId="8" fontId="5" fillId="0" borderId="0" xfId="0" applyNumberFormat="1" applyFont="1" applyFill="1"/>
    <xf numFmtId="0" fontId="5" fillId="0" borderId="2" xfId="0" applyFont="1" applyBorder="1"/>
    <xf numFmtId="9" fontId="5" fillId="0" borderId="2" xfId="0" applyNumberFormat="1" applyFont="1" applyBorder="1"/>
    <xf numFmtId="8" fontId="5" fillId="0" borderId="0" xfId="0" applyNumberFormat="1" applyFont="1" applyFill="1" applyBorder="1"/>
    <xf numFmtId="0" fontId="6" fillId="0" borderId="2" xfId="0" applyFont="1" applyBorder="1"/>
    <xf numFmtId="164" fontId="5" fillId="0" borderId="2" xfId="0" applyNumberFormat="1" applyFont="1" applyFill="1" applyBorder="1"/>
    <xf numFmtId="8" fontId="5" fillId="0" borderId="2" xfId="0" applyNumberFormat="1" applyFont="1" applyFill="1" applyBorder="1"/>
    <xf numFmtId="4" fontId="0" fillId="0" borderId="0" xfId="0" applyNumberFormat="1"/>
    <xf numFmtId="164" fontId="0" fillId="0" borderId="0" xfId="0" applyNumberFormat="1"/>
    <xf numFmtId="10" fontId="5" fillId="0" borderId="0" xfId="0" applyNumberFormat="1" applyFont="1" applyFill="1" applyBorder="1"/>
    <xf numFmtId="3" fontId="5" fillId="0" borderId="0" xfId="0" applyNumberFormat="1" applyFont="1" applyBorder="1"/>
    <xf numFmtId="0" fontId="6" fillId="0" borderId="3" xfId="0" applyFont="1" applyBorder="1"/>
    <xf numFmtId="10" fontId="5" fillId="0" borderId="2" xfId="0" applyNumberFormat="1" applyFont="1" applyFill="1" applyBorder="1"/>
    <xf numFmtId="10" fontId="5" fillId="0" borderId="2" xfId="0" applyNumberFormat="1" applyFont="1" applyBorder="1"/>
    <xf numFmtId="0" fontId="6" fillId="0" borderId="4" xfId="0" applyFont="1" applyBorder="1"/>
    <xf numFmtId="8" fontId="5" fillId="0" borderId="2" xfId="0" applyNumberFormat="1" applyFont="1" applyBorder="1"/>
    <xf numFmtId="165" fontId="5" fillId="0" borderId="2" xfId="0" applyNumberFormat="1" applyFont="1" applyBorder="1"/>
    <xf numFmtId="164" fontId="5" fillId="0" borderId="2" xfId="0" applyNumberFormat="1" applyFont="1" applyBorder="1"/>
    <xf numFmtId="10" fontId="5" fillId="0" borderId="2" xfId="0" applyNumberFormat="1" applyFont="1" applyBorder="1" applyAlignment="1">
      <alignment horizontal="right"/>
    </xf>
    <xf numFmtId="8" fontId="4" fillId="0" borderId="2" xfId="0" applyNumberFormat="1" applyFont="1" applyFill="1" applyBorder="1" applyAlignment="1">
      <alignment horizontal="right" vertical="top" shrinkToFit="1"/>
    </xf>
    <xf numFmtId="165" fontId="5" fillId="0" borderId="2" xfId="0" applyNumberFormat="1" applyFont="1" applyFill="1" applyBorder="1"/>
    <xf numFmtId="4" fontId="5" fillId="0" borderId="0" xfId="0" applyNumberFormat="1" applyFont="1" applyFill="1"/>
    <xf numFmtId="4" fontId="5" fillId="0" borderId="2" xfId="0" applyNumberFormat="1" applyFont="1" applyFill="1" applyBorder="1"/>
    <xf numFmtId="4" fontId="5" fillId="0" borderId="2" xfId="0" applyNumberFormat="1" applyFont="1" applyBorder="1"/>
    <xf numFmtId="0" fontId="6" fillId="0" borderId="2" xfId="0" applyFont="1" applyFill="1" applyBorder="1"/>
    <xf numFmtId="4" fontId="5" fillId="0" borderId="0" xfId="0" applyNumberFormat="1" applyFont="1" applyFill="1" applyAlignment="1">
      <alignment horizontal="center"/>
    </xf>
    <xf numFmtId="8" fontId="5" fillId="0" borderId="0" xfId="0" applyNumberFormat="1" applyFont="1" applyFill="1" applyAlignment="1">
      <alignment horizontal="center"/>
    </xf>
    <xf numFmtId="6" fontId="4" fillId="0" borderId="2" xfId="0" applyNumberFormat="1" applyFont="1" applyFill="1" applyBorder="1" applyAlignment="1">
      <alignment horizontal="right" vertical="top" indent="1" shrinkToFit="1"/>
    </xf>
    <xf numFmtId="6" fontId="5" fillId="0" borderId="2" xfId="0" applyNumberFormat="1" applyFont="1" applyFill="1" applyBorder="1"/>
    <xf numFmtId="6" fontId="5" fillId="0" borderId="5" xfId="0" applyNumberFormat="1" applyFont="1" applyFill="1" applyBorder="1"/>
    <xf numFmtId="8" fontId="4" fillId="0" borderId="2" xfId="0" applyNumberFormat="1" applyFont="1" applyFill="1" applyBorder="1" applyAlignment="1">
      <alignment horizontal="right" vertical="top" indent="1"/>
    </xf>
    <xf numFmtId="3" fontId="4" fillId="0" borderId="2" xfId="0" applyNumberFormat="1" applyFont="1" applyFill="1" applyBorder="1" applyAlignment="1">
      <alignment horizontal="right" vertical="top" indent="1"/>
    </xf>
    <xf numFmtId="0" fontId="9" fillId="0" borderId="2" xfId="0" applyFont="1" applyBorder="1"/>
    <xf numFmtId="0" fontId="9" fillId="0" borderId="5" xfId="0" applyFont="1" applyBorder="1"/>
    <xf numFmtId="3" fontId="5" fillId="0" borderId="2" xfId="0" applyNumberFormat="1" applyFont="1" applyBorder="1"/>
    <xf numFmtId="0" fontId="6" fillId="0" borderId="2" xfId="0" applyFont="1" applyBorder="1" applyAlignment="1">
      <alignment wrapText="1"/>
    </xf>
    <xf numFmtId="9" fontId="5" fillId="0" borderId="2" xfId="0" applyNumberFormat="1" applyFont="1" applyFill="1" applyBorder="1"/>
    <xf numFmtId="8" fontId="4" fillId="0" borderId="2" xfId="0" applyNumberFormat="1" applyFont="1" applyFill="1" applyBorder="1" applyAlignment="1">
      <alignment horizontal="right" vertical="top" indent="1" shrinkToFit="1"/>
    </xf>
    <xf numFmtId="0" fontId="3" fillId="2" borderId="0" xfId="0" applyFont="1" applyFill="1" applyAlignment="1">
      <alignment horizontal="left" vertical="top" wrapText="1" indent="5"/>
    </xf>
    <xf numFmtId="6" fontId="4" fillId="3" borderId="0" xfId="0" applyNumberFormat="1" applyFont="1" applyFill="1" applyAlignment="1">
      <alignment vertical="top" wrapText="1"/>
    </xf>
    <xf numFmtId="6" fontId="4" fillId="3" borderId="0" xfId="0" applyNumberFormat="1" applyFont="1" applyFill="1" applyAlignment="1">
      <alignment vertical="top" shrinkToFit="1"/>
    </xf>
    <xf numFmtId="0" fontId="2" fillId="0" borderId="0" xfId="0" applyFont="1"/>
    <xf numFmtId="6" fontId="2" fillId="0" borderId="2" xfId="0" applyNumberFormat="1" applyFont="1" applyBorder="1"/>
    <xf numFmtId="0" fontId="2" fillId="0" borderId="2" xfId="0" applyFont="1" applyBorder="1"/>
    <xf numFmtId="9" fontId="2" fillId="0" borderId="2" xfId="0" applyNumberFormat="1" applyFont="1" applyBorder="1"/>
    <xf numFmtId="8" fontId="2" fillId="0" borderId="2" xfId="0" applyNumberFormat="1" applyFont="1" applyBorder="1"/>
    <xf numFmtId="0" fontId="7" fillId="4" borderId="0" xfId="0" applyFont="1" applyFill="1" applyAlignment="1">
      <alignment horizontal="left" vertical="top" wrapText="1" indent="7"/>
    </xf>
    <xf numFmtId="0" fontId="1" fillId="0" borderId="0" xfId="0" applyFont="1"/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8" fontId="1" fillId="0" borderId="2" xfId="0" applyNumberFormat="1" applyFont="1" applyBorder="1"/>
    <xf numFmtId="6" fontId="1" fillId="0" borderId="2" xfId="0" applyNumberFormat="1" applyFont="1" applyBorder="1"/>
    <xf numFmtId="165" fontId="1" fillId="0" borderId="2" xfId="0" applyNumberFormat="1" applyFont="1" applyBorder="1"/>
    <xf numFmtId="9" fontId="1" fillId="0" borderId="2" xfId="0" applyNumberFormat="1" applyFont="1" applyBorder="1"/>
    <xf numFmtId="0" fontId="3" fillId="2" borderId="0" xfId="1" applyFont="1" applyFill="1" applyAlignment="1">
      <alignment horizontal="center" vertical="top" wrapText="1"/>
    </xf>
    <xf numFmtId="0" fontId="3" fillId="2" borderId="0" xfId="1" applyFont="1" applyFill="1" applyAlignment="1">
      <alignment horizontal="left" vertical="top" wrapText="1" indent="1"/>
    </xf>
    <xf numFmtId="0" fontId="1" fillId="0" borderId="0" xfId="1"/>
    <xf numFmtId="0" fontId="1" fillId="0" borderId="2" xfId="1" applyBorder="1"/>
    <xf numFmtId="9" fontId="1" fillId="0" borderId="2" xfId="1" applyNumberFormat="1" applyBorder="1"/>
    <xf numFmtId="1" fontId="4" fillId="3" borderId="0" xfId="1" applyNumberFormat="1" applyFont="1" applyFill="1" applyAlignment="1">
      <alignment horizontal="center" vertical="top" shrinkToFit="1"/>
    </xf>
    <xf numFmtId="6" fontId="4" fillId="3" borderId="0" xfId="1" applyNumberFormat="1" applyFont="1" applyFill="1" applyAlignment="1">
      <alignment horizontal="center" vertical="top" wrapText="1"/>
    </xf>
    <xf numFmtId="8" fontId="4" fillId="3" borderId="0" xfId="1" applyNumberFormat="1" applyFont="1" applyFill="1" applyAlignment="1">
      <alignment horizontal="center" vertical="top" wrapText="1"/>
    </xf>
    <xf numFmtId="6" fontId="4" fillId="3" borderId="0" xfId="1" applyNumberFormat="1" applyFont="1" applyFill="1" applyAlignment="1">
      <alignment horizontal="center" vertical="top" shrinkToFit="1"/>
    </xf>
    <xf numFmtId="8" fontId="7" fillId="3" borderId="0" xfId="1" applyNumberFormat="1" applyFont="1" applyFill="1" applyAlignment="1">
      <alignment horizontal="center" vertical="top" wrapText="1"/>
    </xf>
  </cellXfs>
  <cellStyles count="2">
    <cellStyle name="Normal" xfId="0" builtinId="0"/>
    <cellStyle name="Normal 2" xfId="1" xr:uid="{DADD61A2-6E6B-4F58-B091-C826CE13CEDF}"/>
  </cellStyles>
  <dxfs count="3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CCFF33"/>
        </patternFill>
      </fill>
    </dxf>
  </dxfs>
  <tableStyles count="0" defaultTableStyle="TableStyleMedium2" defaultPivotStyle="PivotStyleLight16"/>
  <colors>
    <mruColors>
      <color rgb="FFCCFF33"/>
      <color rgb="FFFF9900"/>
      <color rgb="FF00FFFF"/>
      <color rgb="FF99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'24.'!$E$2:$E$51</c:f>
              <c:numCache>
                <c:formatCode>0.00%</c:formatCode>
                <c:ptCount val="50"/>
                <c:pt idx="0">
                  <c:v>0.21</c:v>
                </c:pt>
                <c:pt idx="1">
                  <c:v>0.22</c:v>
                </c:pt>
                <c:pt idx="2">
                  <c:v>0.23</c:v>
                </c:pt>
                <c:pt idx="3">
                  <c:v>0.24</c:v>
                </c:pt>
                <c:pt idx="4">
                  <c:v>0.25</c:v>
                </c:pt>
                <c:pt idx="5">
                  <c:v>0.26</c:v>
                </c:pt>
                <c:pt idx="6">
                  <c:v>0.27</c:v>
                </c:pt>
                <c:pt idx="7">
                  <c:v>0.28000000000000003</c:v>
                </c:pt>
                <c:pt idx="8">
                  <c:v>0.28999999999999998</c:v>
                </c:pt>
                <c:pt idx="9">
                  <c:v>0.3</c:v>
                </c:pt>
                <c:pt idx="10">
                  <c:v>0.31</c:v>
                </c:pt>
                <c:pt idx="11">
                  <c:v>0.32</c:v>
                </c:pt>
                <c:pt idx="12">
                  <c:v>0.33</c:v>
                </c:pt>
                <c:pt idx="13">
                  <c:v>0.34</c:v>
                </c:pt>
                <c:pt idx="14">
                  <c:v>0.35</c:v>
                </c:pt>
                <c:pt idx="15">
                  <c:v>0.36</c:v>
                </c:pt>
                <c:pt idx="16">
                  <c:v>0.37</c:v>
                </c:pt>
                <c:pt idx="17">
                  <c:v>0.38</c:v>
                </c:pt>
                <c:pt idx="18">
                  <c:v>0.39</c:v>
                </c:pt>
                <c:pt idx="19">
                  <c:v>0.4</c:v>
                </c:pt>
                <c:pt idx="20">
                  <c:v>0.41</c:v>
                </c:pt>
                <c:pt idx="21">
                  <c:v>0.42</c:v>
                </c:pt>
                <c:pt idx="22">
                  <c:v>0.43</c:v>
                </c:pt>
                <c:pt idx="23">
                  <c:v>0.44</c:v>
                </c:pt>
                <c:pt idx="24">
                  <c:v>0.45</c:v>
                </c:pt>
                <c:pt idx="25">
                  <c:v>0.46</c:v>
                </c:pt>
                <c:pt idx="26">
                  <c:v>0.47</c:v>
                </c:pt>
                <c:pt idx="27">
                  <c:v>0.48</c:v>
                </c:pt>
                <c:pt idx="28">
                  <c:v>0.49</c:v>
                </c:pt>
                <c:pt idx="29">
                  <c:v>0.5</c:v>
                </c:pt>
                <c:pt idx="30">
                  <c:v>0.51</c:v>
                </c:pt>
                <c:pt idx="31">
                  <c:v>0.52</c:v>
                </c:pt>
                <c:pt idx="32">
                  <c:v>0.53</c:v>
                </c:pt>
                <c:pt idx="33">
                  <c:v>0.54</c:v>
                </c:pt>
                <c:pt idx="34">
                  <c:v>0.55000000000000004</c:v>
                </c:pt>
                <c:pt idx="35">
                  <c:v>0.56000000000000005</c:v>
                </c:pt>
                <c:pt idx="36">
                  <c:v>0.56999999999999995</c:v>
                </c:pt>
                <c:pt idx="37">
                  <c:v>0.57999999999999996</c:v>
                </c:pt>
                <c:pt idx="38">
                  <c:v>0.59</c:v>
                </c:pt>
                <c:pt idx="39">
                  <c:v>0.6</c:v>
                </c:pt>
                <c:pt idx="40">
                  <c:v>0.61</c:v>
                </c:pt>
                <c:pt idx="41">
                  <c:v>0.62</c:v>
                </c:pt>
                <c:pt idx="42">
                  <c:v>0.63</c:v>
                </c:pt>
                <c:pt idx="43">
                  <c:v>0.64</c:v>
                </c:pt>
                <c:pt idx="44">
                  <c:v>0.65</c:v>
                </c:pt>
                <c:pt idx="45">
                  <c:v>0.66</c:v>
                </c:pt>
                <c:pt idx="46">
                  <c:v>0.67</c:v>
                </c:pt>
                <c:pt idx="47">
                  <c:v>0.68</c:v>
                </c:pt>
                <c:pt idx="48">
                  <c:v>0.69</c:v>
                </c:pt>
                <c:pt idx="49">
                  <c:v>0.7</c:v>
                </c:pt>
              </c:numCache>
            </c:numRef>
          </c:xVal>
          <c:yVal>
            <c:numRef>
              <c:f>'24.'!$F$2:$F$51</c:f>
              <c:numCache>
                <c:formatCode>"$"#,##0.00_);[Red]\("$"#,##0.00\)</c:formatCode>
                <c:ptCount val="50"/>
                <c:pt idx="0">
                  <c:v>-1.3893237668153233</c:v>
                </c:pt>
                <c:pt idx="1">
                  <c:v>-0.86474833851207222</c:v>
                </c:pt>
                <c:pt idx="2">
                  <c:v>-0.47350936484053818</c:v>
                </c:pt>
                <c:pt idx="3">
                  <c:v>-0.19209958409192041</c:v>
                </c:pt>
                <c:pt idx="4">
                  <c:v>0</c:v>
                </c:pt>
                <c:pt idx="5">
                  <c:v>0.12062951212647022</c:v>
                </c:pt>
                <c:pt idx="6">
                  <c:v>0.18522938552723645</c:v>
                </c:pt>
                <c:pt idx="7">
                  <c:v>0.20709228515715949</c:v>
                </c:pt>
                <c:pt idx="8">
                  <c:v>0.19759043313024449</c:v>
                </c:pt>
                <c:pt idx="9">
                  <c:v>0.16638072896512313</c:v>
                </c:pt>
                <c:pt idx="10">
                  <c:v>0.12158981869197305</c:v>
                </c:pt>
                <c:pt idx="11">
                  <c:v>6.9981052702132729E-2</c:v>
                </c:pt>
                <c:pt idx="12">
                  <c:v>1.7105080433793773E-2</c:v>
                </c:pt>
                <c:pt idx="13">
                  <c:v>-3.2564342201112595E-2</c:v>
                </c:pt>
                <c:pt idx="14">
                  <c:v>-7.5507911512431747E-2</c:v>
                </c:pt>
                <c:pt idx="15">
                  <c:v>-0.10905041846035601</c:v>
                </c:pt>
                <c:pt idx="16">
                  <c:v>-0.13126131747776526</c:v>
                </c:pt>
                <c:pt idx="17">
                  <c:v>-0.14086517648138397</c:v>
                </c:pt>
                <c:pt idx="18">
                  <c:v>-0.13716106406718609</c:v>
                </c:pt>
                <c:pt idx="19">
                  <c:v>-0.11995002082494466</c:v>
                </c:pt>
                <c:pt idx="20">
                  <c:v>-8.9469843681399652E-2</c:v>
                </c:pt>
                <c:pt idx="21">
                  <c:v>-4.6336485966094187E-2</c:v>
                </c:pt>
                <c:pt idx="22">
                  <c:v>8.5085574382901541E-3</c:v>
                </c:pt>
                <c:pt idx="23">
                  <c:v>7.3845450386215816E-2</c:v>
                </c:pt>
                <c:pt idx="24">
                  <c:v>0.1482183177540719</c:v>
                </c:pt>
                <c:pt idx="25">
                  <c:v>0.22997311699782585</c:v>
                </c:pt>
                <c:pt idx="26">
                  <c:v>0.31729150240607851</c:v>
                </c:pt>
                <c:pt idx="27">
                  <c:v>0.40822106531777536</c:v>
                </c:pt>
                <c:pt idx="28">
                  <c:v>0.50070229753691819</c:v>
                </c:pt>
                <c:pt idx="29">
                  <c:v>0.59259259259215469</c:v>
                </c:pt>
                <c:pt idx="30">
                  <c:v>0.68168756995328295</c:v>
                </c:pt>
                <c:pt idx="31">
                  <c:v>0.76573998051026138</c:v>
                </c:pt>
                <c:pt idx="32">
                  <c:v>0.84247642758327856</c:v>
                </c:pt>
                <c:pt idx="33">
                  <c:v>0.90961211577814538</c:v>
                </c:pt>
                <c:pt idx="34">
                  <c:v>0.96486382009607041</c:v>
                </c:pt>
                <c:pt idx="35">
                  <c:v>1.0059612499326249</c:v>
                </c:pt>
                <c:pt idx="36">
                  <c:v>1.0306569660560854</c:v>
                </c:pt>
                <c:pt idx="37">
                  <c:v>1.0367349942089277</c:v>
                </c:pt>
                <c:pt idx="38">
                  <c:v>1.0220182652610674</c:v>
                </c:pt>
                <c:pt idx="39">
                  <c:v>0.98437499999818101</c:v>
                </c:pt>
                <c:pt idx="40">
                  <c:v>0.9217241454307441</c:v>
                </c:pt>
                <c:pt idx="41">
                  <c:v>0.83203995955682331</c:v>
                </c:pt>
                <c:pt idx="42">
                  <c:v>0.71335583258678525</c:v>
                </c:pt>
                <c:pt idx="43">
                  <c:v>0.5637674240697379</c:v>
                </c:pt>
                <c:pt idx="44">
                  <c:v>0.38143518834567658</c:v>
                </c:pt>
                <c:pt idx="45">
                  <c:v>0.16458635357321327</c:v>
                </c:pt>
                <c:pt idx="46">
                  <c:v>-8.8483586439906503E-2</c:v>
                </c:pt>
                <c:pt idx="47">
                  <c:v>-0.379409813813254</c:v>
                </c:pt>
                <c:pt idx="48">
                  <c:v>-0.70975751322657743</c:v>
                </c:pt>
                <c:pt idx="49">
                  <c:v>-1.081021539493122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0-434F-8EB1-C15C6F27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72847"/>
        <c:axId val="104080623"/>
      </c:scatterChart>
      <c:valAx>
        <c:axId val="104072847"/>
        <c:scaling>
          <c:orientation val="minMax"/>
          <c:max val="0.70000000000000007"/>
          <c:min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100" b="1">
                    <a:latin typeface="Arial Narrow" panose="020B0606020202030204" pitchFamily="34" charset="0"/>
                  </a:rPr>
                  <a:t>Discount Rate</a:t>
                </a:r>
              </a:p>
            </c:rich>
          </c:tx>
          <c:layout>
            <c:manualLayout>
              <c:xMode val="edge"/>
              <c:yMode val="edge"/>
              <c:x val="0.39541079564168613"/>
              <c:y val="0.5660984272632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4080623"/>
        <c:crosses val="autoZero"/>
        <c:crossBetween val="midCat"/>
        <c:majorUnit val="5.000000000000001E-2"/>
      </c:valAx>
      <c:valAx>
        <c:axId val="10408062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100" b="1">
                    <a:latin typeface="Arial Narrow" panose="020B0606020202030204" pitchFamily="34" charset="0"/>
                  </a:rPr>
                  <a:t>NPV = 0</a:t>
                </a:r>
              </a:p>
            </c:rich>
          </c:tx>
          <c:layout>
            <c:manualLayout>
              <c:xMode val="edge"/>
              <c:yMode val="edge"/>
              <c:x val="0"/>
              <c:y val="0.3217355948577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crossAx val="10407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333372</xdr:colOff>
      <xdr:row>0</xdr:row>
      <xdr:rowOff>131889</xdr:rowOff>
    </xdr:from>
    <xdr:to>
      <xdr:col>13</xdr:col>
      <xdr:colOff>439614</xdr:colOff>
      <xdr:row>13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9FC175-A113-4C22-A730-ECCB7168C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3894-F249-4402-8043-D81712C7302A}">
  <dimension ref="A1:F8"/>
  <sheetViews>
    <sheetView showGridLines="0" tabSelected="1" zoomScale="130" zoomScaleNormal="130" workbookViewId="0">
      <selection activeCell="G1" sqref="G1"/>
    </sheetView>
  </sheetViews>
  <sheetFormatPr defaultRowHeight="15.05" x14ac:dyDescent="0.3"/>
  <cols>
    <col min="1" max="1" width="22.77734375" bestFit="1" customWidth="1"/>
    <col min="2" max="2" width="12.21875" bestFit="1" customWidth="1"/>
    <col min="3" max="4" width="10.77734375" bestFit="1" customWidth="1"/>
    <col min="5" max="5" width="12.77734375" bestFit="1" customWidth="1"/>
  </cols>
  <sheetData>
    <row r="1" spans="1:6" ht="15.65" x14ac:dyDescent="0.3">
      <c r="A1" s="1" t="s">
        <v>0</v>
      </c>
      <c r="B1" s="2" t="s">
        <v>1</v>
      </c>
      <c r="C1" s="3" t="s">
        <v>2</v>
      </c>
      <c r="E1" s="54" t="s">
        <v>4</v>
      </c>
      <c r="F1" s="55">
        <v>0.15</v>
      </c>
    </row>
    <row r="2" spans="1:6" x14ac:dyDescent="0.3">
      <c r="A2" s="4">
        <v>0</v>
      </c>
      <c r="B2" s="5">
        <v>-15000</v>
      </c>
      <c r="C2" s="6">
        <v>-19000</v>
      </c>
    </row>
    <row r="3" spans="1:6" x14ac:dyDescent="0.3">
      <c r="A3" s="4">
        <v>1</v>
      </c>
      <c r="B3" s="7">
        <v>10400</v>
      </c>
      <c r="C3" s="8">
        <v>12700</v>
      </c>
    </row>
    <row r="4" spans="1:6" x14ac:dyDescent="0.3">
      <c r="A4" s="4">
        <v>2</v>
      </c>
      <c r="B4" s="7">
        <v>5900</v>
      </c>
      <c r="C4" s="8">
        <v>6100</v>
      </c>
    </row>
    <row r="5" spans="1:6" x14ac:dyDescent="0.3">
      <c r="A5" s="4">
        <v>3</v>
      </c>
      <c r="B5" s="7">
        <v>2100</v>
      </c>
      <c r="C5" s="8">
        <v>5300</v>
      </c>
    </row>
    <row r="6" spans="1:6" ht="15.65" x14ac:dyDescent="0.3">
      <c r="A6" s="57" t="s">
        <v>5</v>
      </c>
      <c r="B6" s="58">
        <f>1+(-B2-B3)/B4</f>
        <v>1.7796610169491527</v>
      </c>
      <c r="C6" s="58">
        <f>2+(-C2-C3-C4)/C5</f>
        <v>2.0377358490566038</v>
      </c>
      <c r="D6" s="61"/>
      <c r="E6" s="61"/>
    </row>
    <row r="7" spans="1:6" ht="15.65" x14ac:dyDescent="0.3">
      <c r="A7" s="57" t="s">
        <v>3</v>
      </c>
      <c r="B7" s="59">
        <f>B$2+NPV($F$1,B$3:B$5)</f>
        <v>-114.49001397221764</v>
      </c>
      <c r="C7" s="59">
        <f>C$2+NPV($F$1,C$3:C$5)</f>
        <v>140.79066326950124</v>
      </c>
      <c r="D7" s="13"/>
      <c r="E7" s="13"/>
    </row>
    <row r="8" spans="1:6" ht="15.65" x14ac:dyDescent="0.3">
      <c r="B8" s="56">
        <f>B$2+B$3/(1+$F$1)+B$4/(1+$F$1)^2+B$5/(1+$F$1)^3</f>
        <v>-114.49001397221809</v>
      </c>
      <c r="C8" s="56">
        <f>C$2+C$3/(1+$F$1)+C$4/(1+$F$1)^2+C$5/(1+$F$1)^3</f>
        <v>140.79066326950215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B17D-E386-444A-8046-16848EF0416B}">
  <dimension ref="A1:D12"/>
  <sheetViews>
    <sheetView showGridLines="0" zoomScale="130" zoomScaleNormal="130" workbookViewId="0">
      <selection activeCell="G1" sqref="G1"/>
    </sheetView>
  </sheetViews>
  <sheetFormatPr defaultRowHeight="15.05" x14ac:dyDescent="0.3"/>
  <cols>
    <col min="1" max="1" width="22.77734375" bestFit="1" customWidth="1"/>
    <col min="2" max="2" width="12.21875" bestFit="1" customWidth="1"/>
    <col min="3" max="3" width="25.5546875" bestFit="1" customWidth="1"/>
  </cols>
  <sheetData>
    <row r="1" spans="1:4" x14ac:dyDescent="0.3">
      <c r="A1" s="1" t="s">
        <v>0</v>
      </c>
      <c r="B1" s="2" t="s">
        <v>1</v>
      </c>
      <c r="C1" s="2" t="s">
        <v>5</v>
      </c>
    </row>
    <row r="2" spans="1:4" x14ac:dyDescent="0.3">
      <c r="A2" s="4">
        <v>0</v>
      </c>
      <c r="B2" s="5">
        <v>-2700</v>
      </c>
      <c r="C2" s="15">
        <f>-$B2/$B$5</f>
        <v>4.21875</v>
      </c>
      <c r="D2" s="60"/>
    </row>
    <row r="3" spans="1:4" x14ac:dyDescent="0.3">
      <c r="A3" s="4">
        <v>0</v>
      </c>
      <c r="B3" s="5">
        <v>-3900</v>
      </c>
      <c r="C3" s="15">
        <f t="shared" ref="C3:C4" si="0">-$B3/$B$5</f>
        <v>6.09375</v>
      </c>
      <c r="D3" s="60"/>
    </row>
    <row r="4" spans="1:4" x14ac:dyDescent="0.3">
      <c r="A4" s="4">
        <v>0</v>
      </c>
      <c r="B4" s="5">
        <v>-6800</v>
      </c>
      <c r="C4" s="15">
        <f t="shared" si="0"/>
        <v>10.625</v>
      </c>
      <c r="D4" s="60"/>
    </row>
    <row r="5" spans="1:4" x14ac:dyDescent="0.3">
      <c r="A5" s="4">
        <v>1</v>
      </c>
      <c r="B5" s="7">
        <v>640</v>
      </c>
    </row>
    <row r="6" spans="1:4" x14ac:dyDescent="0.3">
      <c r="A6" s="4">
        <v>2</v>
      </c>
      <c r="B6" s="7">
        <v>640</v>
      </c>
    </row>
    <row r="7" spans="1:4" x14ac:dyDescent="0.3">
      <c r="A7" s="4">
        <v>3</v>
      </c>
      <c r="B7" s="7">
        <v>640</v>
      </c>
    </row>
    <row r="8" spans="1:4" x14ac:dyDescent="0.3">
      <c r="A8" s="4">
        <v>4</v>
      </c>
      <c r="B8" s="7">
        <v>640</v>
      </c>
    </row>
    <row r="9" spans="1:4" x14ac:dyDescent="0.3">
      <c r="A9" s="4">
        <v>5</v>
      </c>
      <c r="B9" s="7">
        <v>640</v>
      </c>
    </row>
    <row r="10" spans="1:4" x14ac:dyDescent="0.3">
      <c r="A10" s="4">
        <v>6</v>
      </c>
      <c r="B10" s="7">
        <v>640</v>
      </c>
    </row>
    <row r="11" spans="1:4" x14ac:dyDescent="0.3">
      <c r="A11" s="4">
        <v>7</v>
      </c>
      <c r="B11" s="7">
        <v>640</v>
      </c>
    </row>
    <row r="12" spans="1:4" x14ac:dyDescent="0.3">
      <c r="A12" s="4">
        <v>8</v>
      </c>
      <c r="B12" s="7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D95E-34CE-45BA-B527-EE9229215FDA}">
  <dimension ref="A1:F9"/>
  <sheetViews>
    <sheetView showGridLines="0" zoomScale="130" zoomScaleNormal="130" workbookViewId="0">
      <selection activeCell="G1" sqref="G1"/>
    </sheetView>
  </sheetViews>
  <sheetFormatPr defaultRowHeight="15.05" x14ac:dyDescent="0.3"/>
  <cols>
    <col min="1" max="1" width="27" bestFit="1" customWidth="1"/>
    <col min="2" max="2" width="12.21875" bestFit="1" customWidth="1"/>
    <col min="3" max="3" width="30.44140625" bestFit="1" customWidth="1"/>
    <col min="4" max="4" width="10.77734375" bestFit="1" customWidth="1"/>
    <col min="5" max="5" width="12.5546875" bestFit="1" customWidth="1"/>
  </cols>
  <sheetData>
    <row r="1" spans="1:6" ht="15.65" x14ac:dyDescent="0.3">
      <c r="A1" s="1" t="s">
        <v>0</v>
      </c>
      <c r="B1" s="2" t="s">
        <v>1</v>
      </c>
      <c r="C1" s="2" t="s">
        <v>6</v>
      </c>
      <c r="E1" s="54" t="s">
        <v>4</v>
      </c>
      <c r="F1" s="55">
        <v>0.11</v>
      </c>
    </row>
    <row r="2" spans="1:6" x14ac:dyDescent="0.3">
      <c r="A2" s="4">
        <v>0</v>
      </c>
      <c r="B2" s="5">
        <v>-8000</v>
      </c>
      <c r="C2" s="15">
        <f>1+(-B2-C5)/C6</f>
        <v>1.7830545454545454</v>
      </c>
      <c r="D2" s="60"/>
    </row>
    <row r="3" spans="1:6" x14ac:dyDescent="0.3">
      <c r="A3" s="4">
        <v>0</v>
      </c>
      <c r="B3" s="5">
        <v>-12000</v>
      </c>
      <c r="C3" s="15">
        <f>2+(-B3-SUM(C5:C6))/C7</f>
        <v>2.6910120000000002</v>
      </c>
      <c r="D3" s="60"/>
    </row>
    <row r="4" spans="1:6" x14ac:dyDescent="0.3">
      <c r="A4" s="4">
        <v>0</v>
      </c>
      <c r="B4" s="5">
        <v>-16000</v>
      </c>
      <c r="C4" s="15">
        <f>3+(-B4-SUM(C5:C7))/C8</f>
        <v>3.5734887942857148</v>
      </c>
      <c r="D4" s="60"/>
    </row>
    <row r="5" spans="1:6" x14ac:dyDescent="0.3">
      <c r="A5" s="4">
        <v>1</v>
      </c>
      <c r="B5" s="7">
        <v>5000</v>
      </c>
      <c r="C5" s="14">
        <f>PV($F$1,$A5,,-$B5)</f>
        <v>4504.5045045045044</v>
      </c>
      <c r="D5" s="13"/>
    </row>
    <row r="6" spans="1:6" x14ac:dyDescent="0.3">
      <c r="A6" s="4">
        <v>2</v>
      </c>
      <c r="B6" s="7">
        <v>5500</v>
      </c>
      <c r="C6" s="14">
        <f t="shared" ref="C6:C8" si="0">PV($F$1,$A6,,-$B6)</f>
        <v>4463.9233828423012</v>
      </c>
      <c r="D6" s="13"/>
    </row>
    <row r="7" spans="1:6" x14ac:dyDescent="0.3">
      <c r="A7" s="4">
        <v>3</v>
      </c>
      <c r="B7" s="7">
        <v>6000</v>
      </c>
      <c r="C7" s="14">
        <f t="shared" si="0"/>
        <v>4387.1482878057013</v>
      </c>
      <c r="D7" s="13"/>
    </row>
    <row r="8" spans="1:6" x14ac:dyDescent="0.3">
      <c r="A8" s="4">
        <v>4</v>
      </c>
      <c r="B8" s="7">
        <v>7000</v>
      </c>
      <c r="C8" s="14">
        <f t="shared" si="0"/>
        <v>4611.1168190150011</v>
      </c>
      <c r="D8" s="13"/>
    </row>
    <row r="9" spans="1:6" x14ac:dyDescent="0.3">
      <c r="C9" s="13"/>
      <c r="D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1D74-C54E-4239-A8F0-E9DBAB102F86}">
  <dimension ref="A1:E9"/>
  <sheetViews>
    <sheetView showGridLines="0" zoomScale="130" zoomScaleNormal="130" workbookViewId="0">
      <selection activeCell="G1" sqref="G1"/>
    </sheetView>
  </sheetViews>
  <sheetFormatPr defaultRowHeight="15.05" x14ac:dyDescent="0.3"/>
  <cols>
    <col min="1" max="1" width="5.21875" bestFit="1" customWidth="1"/>
    <col min="2" max="2" width="12.21875" bestFit="1" customWidth="1"/>
    <col min="3" max="3" width="30.44140625" bestFit="1" customWidth="1"/>
    <col min="4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6</v>
      </c>
      <c r="D1" s="17">
        <v>0.1</v>
      </c>
      <c r="E1" s="17">
        <v>0.17</v>
      </c>
    </row>
    <row r="2" spans="1:5" x14ac:dyDescent="0.3">
      <c r="A2" s="4">
        <v>0</v>
      </c>
      <c r="B2" s="5">
        <v>-15100</v>
      </c>
      <c r="C2" s="15">
        <f>-B2/B3</f>
        <v>3.8717948717948718</v>
      </c>
      <c r="D2" s="15">
        <f>$A$7+(-$B$2-D$3)/PV(D$1,$A$8,,-$B$8)</f>
        <v>5.1435107948717906</v>
      </c>
      <c r="E2" s="15">
        <f>$A$7+(-$B$2-E$3)/PV(E$1,$A$8,,-$B$8)</f>
        <v>6.7249413560210023</v>
      </c>
    </row>
    <row r="3" spans="1:5" x14ac:dyDescent="0.3">
      <c r="A3" s="4">
        <v>1</v>
      </c>
      <c r="B3" s="7">
        <v>3900</v>
      </c>
      <c r="C3" s="60">
        <f>-B2/B3</f>
        <v>3.8717948717948718</v>
      </c>
      <c r="D3" s="16">
        <f>PV(D$1,$A$7,-$B$3)</f>
        <v>14784.068400692957</v>
      </c>
      <c r="E3" s="16">
        <f>PV(E$1,$A$7,-$B$3)</f>
        <v>12477.450034643934</v>
      </c>
    </row>
    <row r="4" spans="1:5" x14ac:dyDescent="0.3">
      <c r="A4" s="4">
        <v>2</v>
      </c>
      <c r="B4" s="7">
        <v>3900</v>
      </c>
      <c r="D4" s="13"/>
      <c r="E4" s="13"/>
    </row>
    <row r="5" spans="1:5" x14ac:dyDescent="0.3">
      <c r="A5" s="4">
        <v>3</v>
      </c>
      <c r="B5" s="7">
        <v>3900</v>
      </c>
      <c r="D5" s="60"/>
      <c r="E5" s="60"/>
    </row>
    <row r="6" spans="1:5" x14ac:dyDescent="0.3">
      <c r="A6" s="4">
        <v>4</v>
      </c>
      <c r="B6" s="7">
        <v>3900</v>
      </c>
    </row>
    <row r="7" spans="1:5" x14ac:dyDescent="0.3">
      <c r="A7" s="4">
        <v>5</v>
      </c>
      <c r="B7" s="7">
        <v>3900</v>
      </c>
    </row>
    <row r="8" spans="1:5" x14ac:dyDescent="0.3">
      <c r="A8" s="4">
        <v>6</v>
      </c>
      <c r="B8" s="7">
        <v>3900</v>
      </c>
    </row>
    <row r="9" spans="1:5" x14ac:dyDescent="0.3">
      <c r="D9" s="13"/>
      <c r="E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6D33-BDBD-4291-BF3A-9AFE56B923D0}">
  <dimension ref="A1:F8"/>
  <sheetViews>
    <sheetView showGridLines="0" zoomScale="130" zoomScaleNormal="130" workbookViewId="0">
      <selection activeCell="G1" sqref="G1"/>
    </sheetView>
  </sheetViews>
  <sheetFormatPr defaultRowHeight="15.05" x14ac:dyDescent="0.3"/>
  <cols>
    <col min="1" max="1" width="5" bestFit="1" customWidth="1"/>
    <col min="2" max="2" width="13.21875" bestFit="1" customWidth="1"/>
    <col min="3" max="3" width="4.77734375" bestFit="1" customWidth="1"/>
    <col min="4" max="4" width="12.5546875" bestFit="1" customWidth="1"/>
  </cols>
  <sheetData>
    <row r="1" spans="1:6" ht="15.65" x14ac:dyDescent="0.3">
      <c r="A1" s="1" t="s">
        <v>0</v>
      </c>
      <c r="B1" s="18" t="s">
        <v>7</v>
      </c>
      <c r="D1" s="54" t="s">
        <v>4</v>
      </c>
      <c r="E1" s="55">
        <v>0.09</v>
      </c>
      <c r="F1" s="62"/>
    </row>
    <row r="2" spans="1:6" x14ac:dyDescent="0.3">
      <c r="A2" s="4">
        <v>0</v>
      </c>
      <c r="B2" s="21">
        <v>-27000</v>
      </c>
    </row>
    <row r="3" spans="1:6" x14ac:dyDescent="0.3">
      <c r="A3" s="4">
        <v>1</v>
      </c>
      <c r="B3" s="22">
        <v>13100</v>
      </c>
    </row>
    <row r="4" spans="1:6" x14ac:dyDescent="0.3">
      <c r="A4" s="4">
        <v>2</v>
      </c>
      <c r="B4" s="22">
        <v>17200</v>
      </c>
    </row>
    <row r="5" spans="1:6" x14ac:dyDescent="0.3">
      <c r="A5" s="4">
        <v>3</v>
      </c>
      <c r="B5" s="22">
        <v>8400</v>
      </c>
    </row>
    <row r="6" spans="1:6" ht="15.65" x14ac:dyDescent="0.3">
      <c r="A6" s="57" t="s">
        <v>8</v>
      </c>
      <c r="B6" s="65">
        <f>IRR(B2:B5)</f>
        <v>0.21795206366878528</v>
      </c>
      <c r="C6" s="11"/>
      <c r="D6" s="63"/>
    </row>
    <row r="7" spans="1:6" x14ac:dyDescent="0.3">
      <c r="B7" s="29"/>
    </row>
    <row r="8" spans="1:6" x14ac:dyDescent="0.3">
      <c r="B8" s="12"/>
      <c r="C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D925-0ABF-4E64-ACAF-2C3D9FD1F018}">
  <dimension ref="A1:C6"/>
  <sheetViews>
    <sheetView showGridLines="0" zoomScale="130" zoomScaleNormal="130" workbookViewId="0"/>
  </sheetViews>
  <sheetFormatPr defaultRowHeight="15.05" x14ac:dyDescent="0.3"/>
  <cols>
    <col min="2" max="2" width="13" customWidth="1"/>
    <col min="3" max="3" width="13.44140625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4">
        <v>0</v>
      </c>
      <c r="B2" s="21">
        <v>-7300</v>
      </c>
      <c r="C2" s="21">
        <v>-4390</v>
      </c>
    </row>
    <row r="3" spans="1:3" x14ac:dyDescent="0.3">
      <c r="A3" s="4">
        <v>1</v>
      </c>
      <c r="B3" s="22">
        <v>3940</v>
      </c>
      <c r="C3" s="22">
        <v>2170</v>
      </c>
    </row>
    <row r="4" spans="1:3" x14ac:dyDescent="0.3">
      <c r="A4" s="4">
        <v>2</v>
      </c>
      <c r="B4" s="22">
        <v>3450</v>
      </c>
      <c r="C4" s="22">
        <v>2210</v>
      </c>
    </row>
    <row r="5" spans="1:3" x14ac:dyDescent="0.3">
      <c r="A5" s="4">
        <v>3</v>
      </c>
      <c r="B5" s="22">
        <v>2480</v>
      </c>
      <c r="C5" s="22">
        <v>1730</v>
      </c>
    </row>
    <row r="6" spans="1:3" ht="15.65" x14ac:dyDescent="0.3">
      <c r="A6" s="57" t="s">
        <v>8</v>
      </c>
      <c r="B6" s="66">
        <f>IRR(B$2:B$5)</f>
        <v>0.18241163875361721</v>
      </c>
      <c r="C6" s="66">
        <f>IRR(C$2:C$5)</f>
        <v>0.19309165849015231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BB4A-0545-4D61-9E10-E9DFB006024D}">
  <dimension ref="A1:F2"/>
  <sheetViews>
    <sheetView showGridLines="0" zoomScale="130" zoomScaleNormal="130" workbookViewId="0">
      <selection activeCell="D1" sqref="D1:F1"/>
    </sheetView>
  </sheetViews>
  <sheetFormatPr defaultRowHeight="15.05" x14ac:dyDescent="0.3"/>
  <cols>
    <col min="2" max="2" width="12.77734375" bestFit="1" customWidth="1"/>
    <col min="3" max="3" width="6.5546875" bestFit="1" customWidth="1"/>
    <col min="4" max="4" width="12.77734375" bestFit="1" customWidth="1"/>
  </cols>
  <sheetData>
    <row r="1" spans="1:6" ht="15.65" x14ac:dyDescent="0.3">
      <c r="A1" s="57" t="s">
        <v>9</v>
      </c>
      <c r="B1" s="68">
        <f>PV($F$1,7,-67000)</f>
        <v>296314.89899237297</v>
      </c>
      <c r="C1" s="11"/>
      <c r="D1" s="64" t="s">
        <v>11</v>
      </c>
      <c r="E1" s="67"/>
      <c r="F1" s="55">
        <v>0.13</v>
      </c>
    </row>
    <row r="2" spans="1:6" ht="15.65" x14ac:dyDescent="0.3">
      <c r="A2" s="57" t="s">
        <v>10</v>
      </c>
      <c r="B2" s="58">
        <f>B1/325000</f>
        <v>0.91173815074576303</v>
      </c>
      <c r="C2" s="23"/>
      <c r="D2" s="9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F444-59D1-4C25-9A02-F6747CFA4CEC}">
  <dimension ref="A1:F7"/>
  <sheetViews>
    <sheetView showGridLines="0" zoomScale="130" zoomScaleNormal="130" workbookViewId="0">
      <selection activeCell="G1" sqref="G1"/>
    </sheetView>
  </sheetViews>
  <sheetFormatPr defaultRowHeight="15.05" x14ac:dyDescent="0.3"/>
  <cols>
    <col min="2" max="2" width="16.21875" bestFit="1" customWidth="1"/>
    <col min="3" max="3" width="15.21875" bestFit="1" customWidth="1"/>
    <col min="5" max="5" width="12.5546875" bestFit="1" customWidth="1"/>
  </cols>
  <sheetData>
    <row r="1" spans="1:6" ht="15.65" x14ac:dyDescent="0.3">
      <c r="A1" s="1" t="s">
        <v>0</v>
      </c>
      <c r="B1" s="24" t="s">
        <v>12</v>
      </c>
      <c r="C1" s="24" t="s">
        <v>13</v>
      </c>
      <c r="E1" s="54" t="s">
        <v>4</v>
      </c>
      <c r="F1" s="69">
        <v>8.5000000000000006E-2</v>
      </c>
    </row>
    <row r="2" spans="1:6" x14ac:dyDescent="0.3">
      <c r="A2" s="4">
        <v>0</v>
      </c>
      <c r="B2" s="25">
        <v>-2700</v>
      </c>
      <c r="C2" s="25">
        <v>-4100</v>
      </c>
    </row>
    <row r="3" spans="1:6" x14ac:dyDescent="0.3">
      <c r="A3" s="4">
        <v>1</v>
      </c>
      <c r="B3" s="26">
        <v>1500</v>
      </c>
      <c r="C3" s="26">
        <v>900</v>
      </c>
    </row>
    <row r="4" spans="1:6" x14ac:dyDescent="0.3">
      <c r="A4" s="4">
        <v>2</v>
      </c>
      <c r="B4" s="26">
        <v>1300</v>
      </c>
      <c r="C4" s="27">
        <v>2600</v>
      </c>
    </row>
    <row r="5" spans="1:6" x14ac:dyDescent="0.3">
      <c r="A5" s="4">
        <v>3</v>
      </c>
      <c r="B5" s="26">
        <v>1100</v>
      </c>
      <c r="C5" s="27">
        <v>3200</v>
      </c>
    </row>
    <row r="6" spans="1:6" ht="15.65" x14ac:dyDescent="0.3">
      <c r="A6" s="57" t="s">
        <v>10</v>
      </c>
      <c r="B6" s="70">
        <f>NPV($F$1,B$3:B$5)/-B$2</f>
        <v>1.2399923186566737</v>
      </c>
      <c r="C6" s="58">
        <f>NPV($F$1,C$3:C$5)/-C$2</f>
        <v>1.3520445727339085</v>
      </c>
    </row>
    <row r="7" spans="1:6" x14ac:dyDescent="0.3">
      <c r="B7" s="61"/>
      <c r="C7" s="6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B065-41E5-44AA-924F-715737611CFE}">
  <dimension ref="A1:G10"/>
  <sheetViews>
    <sheetView showGridLines="0" zoomScale="130" zoomScaleNormal="130" workbookViewId="0"/>
  </sheetViews>
  <sheetFormatPr defaultRowHeight="15.05" x14ac:dyDescent="0.3"/>
  <cols>
    <col min="1" max="1" width="10.44140625" bestFit="1" customWidth="1"/>
    <col min="2" max="2" width="11.77734375" bestFit="1" customWidth="1"/>
    <col min="5" max="5" width="12.5546875" bestFit="1" customWidth="1"/>
    <col min="7" max="7" width="3.77734375" bestFit="1" customWidth="1"/>
  </cols>
  <sheetData>
    <row r="1" spans="1:7" ht="15.65" x14ac:dyDescent="0.3">
      <c r="A1" s="1" t="s">
        <v>0</v>
      </c>
      <c r="B1" s="1" t="s">
        <v>7</v>
      </c>
      <c r="E1" s="54" t="s">
        <v>4</v>
      </c>
      <c r="F1" s="69">
        <v>0.1</v>
      </c>
      <c r="G1" s="11"/>
    </row>
    <row r="2" spans="1:7" ht="15.65" x14ac:dyDescent="0.3">
      <c r="A2" s="4">
        <v>0</v>
      </c>
      <c r="B2" s="20">
        <v>8700</v>
      </c>
      <c r="E2" s="54" t="s">
        <v>4</v>
      </c>
      <c r="F2" s="73">
        <v>0.2</v>
      </c>
      <c r="G2" s="11"/>
    </row>
    <row r="3" spans="1:7" x14ac:dyDescent="0.3">
      <c r="A3" s="4">
        <v>1</v>
      </c>
      <c r="B3" s="19">
        <v>-3900</v>
      </c>
    </row>
    <row r="4" spans="1:7" x14ac:dyDescent="0.3">
      <c r="A4" s="4">
        <v>2</v>
      </c>
      <c r="B4" s="19">
        <v>-2900</v>
      </c>
    </row>
    <row r="5" spans="1:7" x14ac:dyDescent="0.3">
      <c r="A5" s="4">
        <v>3</v>
      </c>
      <c r="B5" s="19">
        <v>-2300</v>
      </c>
    </row>
    <row r="6" spans="1:7" x14ac:dyDescent="0.3">
      <c r="A6" s="4">
        <v>4</v>
      </c>
      <c r="B6" s="19">
        <v>-1800</v>
      </c>
    </row>
    <row r="7" spans="1:7" ht="15.65" x14ac:dyDescent="0.3">
      <c r="A7" s="57" t="s">
        <v>8</v>
      </c>
      <c r="B7" s="71">
        <f>IRR(B2:B6)</f>
        <v>0.11214465079862035</v>
      </c>
      <c r="C7" s="29"/>
    </row>
    <row r="8" spans="1:7" ht="15.65" x14ac:dyDescent="0.3">
      <c r="A8" s="57" t="s">
        <v>14</v>
      </c>
      <c r="B8" s="72">
        <f>NPV($F1,$B$3:$B$6)+$B$2</f>
        <v>-199.59702206133261</v>
      </c>
      <c r="C8" s="13"/>
    </row>
    <row r="9" spans="1:7" ht="15.65" x14ac:dyDescent="0.3">
      <c r="A9" s="57" t="s">
        <v>15</v>
      </c>
      <c r="B9" s="72">
        <f>NPV($F2,$B$3:$B$6)+$B$2</f>
        <v>1237.0370370370374</v>
      </c>
    </row>
    <row r="10" spans="1:7" x14ac:dyDescent="0.3">
      <c r="B10" s="2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9150-5395-42A9-9427-F5A6E2912C5A}">
  <dimension ref="A1:G10"/>
  <sheetViews>
    <sheetView showGridLines="0" topLeftCell="B1" zoomScale="130" zoomScaleNormal="130" workbookViewId="0">
      <selection activeCell="F4" sqref="F4"/>
    </sheetView>
  </sheetViews>
  <sheetFormatPr defaultRowHeight="15.05" x14ac:dyDescent="0.3"/>
  <cols>
    <col min="2" max="2" width="19.77734375" bestFit="1" customWidth="1"/>
    <col min="3" max="3" width="21.77734375" bestFit="1" customWidth="1"/>
    <col min="4" max="4" width="17.21875" bestFit="1" customWidth="1"/>
    <col min="5" max="5" width="9.6640625" bestFit="1" customWidth="1"/>
    <col min="6" max="6" width="15" bestFit="1" customWidth="1"/>
    <col min="7" max="7" width="4.33203125" bestFit="1" customWidth="1"/>
  </cols>
  <sheetData>
    <row r="1" spans="1:7" ht="15.65" x14ac:dyDescent="0.3">
      <c r="A1" s="1" t="s">
        <v>0</v>
      </c>
      <c r="B1" s="18" t="s">
        <v>16</v>
      </c>
      <c r="C1" s="18" t="s">
        <v>17</v>
      </c>
      <c r="D1" s="18" t="s">
        <v>18</v>
      </c>
      <c r="F1" s="57" t="s">
        <v>54</v>
      </c>
      <c r="G1" s="55">
        <v>0.14000000000000001</v>
      </c>
    </row>
    <row r="2" spans="1:7" x14ac:dyDescent="0.3">
      <c r="A2" s="4">
        <v>0</v>
      </c>
      <c r="B2" s="25">
        <v>-725000</v>
      </c>
      <c r="C2" s="25">
        <v>-1450000</v>
      </c>
      <c r="D2" s="25">
        <f>$C2-$B2</f>
        <v>-725000</v>
      </c>
      <c r="E2" s="12"/>
    </row>
    <row r="3" spans="1:7" x14ac:dyDescent="0.3">
      <c r="A3" s="4">
        <v>1</v>
      </c>
      <c r="B3" s="27">
        <v>270000</v>
      </c>
      <c r="C3" s="26">
        <v>820000</v>
      </c>
      <c r="D3" s="25">
        <f t="shared" ref="D3:D5" si="0">$C3-$B3</f>
        <v>550000</v>
      </c>
      <c r="E3" s="12"/>
    </row>
    <row r="4" spans="1:7" x14ac:dyDescent="0.3">
      <c r="A4" s="4">
        <v>2</v>
      </c>
      <c r="B4" s="27">
        <v>420000</v>
      </c>
      <c r="C4" s="26">
        <v>650000</v>
      </c>
      <c r="D4" s="25">
        <f t="shared" si="0"/>
        <v>230000</v>
      </c>
      <c r="E4" s="12"/>
    </row>
    <row r="5" spans="1:7" x14ac:dyDescent="0.3">
      <c r="A5" s="4">
        <v>3</v>
      </c>
      <c r="B5" s="27">
        <v>380000</v>
      </c>
      <c r="C5" s="26">
        <v>540000</v>
      </c>
      <c r="D5" s="25">
        <f t="shared" si="0"/>
        <v>160000</v>
      </c>
      <c r="E5" s="12"/>
    </row>
    <row r="6" spans="1:7" ht="15.65" x14ac:dyDescent="0.3">
      <c r="A6" s="57" t="s">
        <v>8</v>
      </c>
      <c r="B6" s="66">
        <f>IRR(B$2:B$5)</f>
        <v>0.2095854459629003</v>
      </c>
      <c r="C6" s="66">
        <f>IRR(C$2:C$5)</f>
        <v>0.19868139136533203</v>
      </c>
      <c r="D6" s="65">
        <f>IRR(D$2:D$5)</f>
        <v>0.18399183025548971</v>
      </c>
      <c r="E6" s="12"/>
    </row>
    <row r="7" spans="1:7" ht="15.65" x14ac:dyDescent="0.3">
      <c r="A7" s="57" t="s">
        <v>3</v>
      </c>
      <c r="B7" s="68">
        <f>B$2+NPV($G$1,B$3:B$5)</f>
        <v>91507.643377449247</v>
      </c>
      <c r="C7" s="59">
        <f>C$2+NPV($G$1,C$3:C$5)</f>
        <v>133936.75786881777</v>
      </c>
      <c r="D7" s="31"/>
      <c r="E7" s="12"/>
    </row>
    <row r="10" spans="1:7" x14ac:dyDescent="0.3">
      <c r="C10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7453-80A2-4174-A7EB-EBC68C70D8C4}">
  <dimension ref="A1:F7"/>
  <sheetViews>
    <sheetView showGridLines="0" zoomScale="130" zoomScaleNormal="130" workbookViewId="0">
      <selection activeCell="E1" sqref="E1:F1"/>
    </sheetView>
  </sheetViews>
  <sheetFormatPr defaultRowHeight="15.05" x14ac:dyDescent="0.3"/>
  <cols>
    <col min="2" max="2" width="11.5546875" bestFit="1" customWidth="1"/>
    <col min="3" max="3" width="10.77734375" bestFit="1" customWidth="1"/>
    <col min="5" max="5" width="14.44140625" bestFit="1" customWidth="1"/>
    <col min="8" max="8" width="16.44140625" bestFit="1" customWidth="1"/>
  </cols>
  <sheetData>
    <row r="1" spans="1:6" ht="15.65" x14ac:dyDescent="0.3">
      <c r="A1" s="1" t="s">
        <v>0</v>
      </c>
      <c r="B1" s="24" t="s">
        <v>19</v>
      </c>
      <c r="C1" s="3" t="s">
        <v>20</v>
      </c>
      <c r="E1" s="57" t="s">
        <v>11</v>
      </c>
      <c r="F1" s="55">
        <v>0.1</v>
      </c>
    </row>
    <row r="2" spans="1:6" x14ac:dyDescent="0.3">
      <c r="A2" s="4">
        <v>0</v>
      </c>
      <c r="B2" s="6">
        <v>-45000</v>
      </c>
      <c r="C2" s="6">
        <v>-19800</v>
      </c>
    </row>
    <row r="3" spans="1:6" x14ac:dyDescent="0.3">
      <c r="A3" s="4">
        <v>1</v>
      </c>
      <c r="B3" s="8">
        <v>23200</v>
      </c>
      <c r="C3" s="8">
        <v>11700</v>
      </c>
    </row>
    <row r="4" spans="1:6" x14ac:dyDescent="0.3">
      <c r="A4" s="4">
        <v>2</v>
      </c>
      <c r="B4" s="8">
        <v>23200</v>
      </c>
      <c r="C4" s="8">
        <v>11700</v>
      </c>
    </row>
    <row r="5" spans="1:6" x14ac:dyDescent="0.3">
      <c r="A5" s="4">
        <v>3</v>
      </c>
      <c r="B5" s="8">
        <v>23200</v>
      </c>
      <c r="C5" s="8">
        <v>11700</v>
      </c>
    </row>
    <row r="6" spans="1:6" ht="15.65" x14ac:dyDescent="0.3">
      <c r="A6" s="57" t="s">
        <v>10</v>
      </c>
      <c r="B6" s="70">
        <f>PV($F$1,$A$5,-B$3)/-B$2</f>
        <v>1.2821103597963113</v>
      </c>
      <c r="C6" s="70">
        <f>PV($F$1,$A$5,-C$3)/-C$2</f>
        <v>1.4695034492179511</v>
      </c>
      <c r="D6" s="61"/>
      <c r="E6" s="61"/>
    </row>
    <row r="7" spans="1:6" ht="15.65" x14ac:dyDescent="0.3">
      <c r="A7" s="57" t="s">
        <v>3</v>
      </c>
      <c r="B7" s="59">
        <f>B$2+PV($F$1,$A$5,-B$3)</f>
        <v>12694.966190834006</v>
      </c>
      <c r="C7" s="68">
        <f>C$2+PV($F$1,$A$5,-C$3)</f>
        <v>9296.1682945154316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64E0-84E0-4466-A072-AFA3EBB951F9}">
  <dimension ref="A1:E6"/>
  <sheetViews>
    <sheetView showGridLines="0" zoomScale="130" zoomScaleNormal="130" workbookViewId="0">
      <selection activeCell="D1" sqref="D1:E1"/>
    </sheetView>
  </sheetViews>
  <sheetFormatPr defaultRowHeight="15.05" x14ac:dyDescent="0.3"/>
  <cols>
    <col min="1" max="1" width="6.5546875" customWidth="1"/>
    <col min="2" max="2" width="14.5546875" bestFit="1" customWidth="1"/>
    <col min="4" max="4" width="14.44140625" bestFit="1" customWidth="1"/>
    <col min="6" max="6" width="15.77734375" bestFit="1" customWidth="1"/>
  </cols>
  <sheetData>
    <row r="1" spans="1:5" ht="15.65" x14ac:dyDescent="0.3">
      <c r="A1" s="1" t="s">
        <v>0</v>
      </c>
      <c r="B1" s="24" t="s">
        <v>21</v>
      </c>
      <c r="D1" s="57" t="s">
        <v>11</v>
      </c>
      <c r="E1" s="55">
        <v>0.1</v>
      </c>
    </row>
    <row r="2" spans="1:5" x14ac:dyDescent="0.3">
      <c r="A2" s="4">
        <v>0</v>
      </c>
      <c r="B2" s="6">
        <v>-65000000</v>
      </c>
    </row>
    <row r="3" spans="1:5" x14ac:dyDescent="0.3">
      <c r="A3" s="4">
        <v>1</v>
      </c>
      <c r="B3" s="8">
        <v>92000000</v>
      </c>
    </row>
    <row r="4" spans="1:5" x14ac:dyDescent="0.3">
      <c r="A4" s="4">
        <v>2</v>
      </c>
      <c r="B4" s="6">
        <v>-11000000</v>
      </c>
    </row>
    <row r="5" spans="1:5" ht="15.65" x14ac:dyDescent="0.3">
      <c r="A5" s="57" t="s">
        <v>3</v>
      </c>
      <c r="B5" s="59">
        <f>NPV($E$1,$B$3:$B$4)+B2</f>
        <v>9545454.5454545468</v>
      </c>
      <c r="C5" s="29"/>
    </row>
    <row r="6" spans="1:5" ht="15.65" x14ac:dyDescent="0.3">
      <c r="A6" s="32" t="s">
        <v>8</v>
      </c>
      <c r="B6" s="10"/>
      <c r="C6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D03F-0234-4E0E-8C85-E4B95A06469F}">
  <dimension ref="A1:H11"/>
  <sheetViews>
    <sheetView showGridLines="0" zoomScale="130" zoomScaleNormal="130" workbookViewId="0"/>
  </sheetViews>
  <sheetFormatPr defaultRowHeight="15.05" x14ac:dyDescent="0.3"/>
  <cols>
    <col min="1" max="1" width="34.44140625" bestFit="1" customWidth="1"/>
    <col min="2" max="2" width="12.44140625" bestFit="1" customWidth="1"/>
    <col min="3" max="3" width="12.21875" customWidth="1"/>
    <col min="4" max="4" width="15.77734375" bestFit="1" customWidth="1"/>
    <col min="7" max="7" width="15.77734375" bestFit="1" customWidth="1"/>
  </cols>
  <sheetData>
    <row r="1" spans="1:8" ht="15.65" x14ac:dyDescent="0.3">
      <c r="A1" s="1" t="s">
        <v>0</v>
      </c>
      <c r="B1" s="1" t="s">
        <v>22</v>
      </c>
      <c r="C1" s="1" t="s">
        <v>23</v>
      </c>
      <c r="D1" s="1" t="s">
        <v>18</v>
      </c>
      <c r="G1" s="57" t="s">
        <v>24</v>
      </c>
      <c r="H1" s="55">
        <v>0.1</v>
      </c>
    </row>
    <row r="2" spans="1:8" x14ac:dyDescent="0.3">
      <c r="A2" s="4">
        <v>0</v>
      </c>
      <c r="B2" s="21">
        <v>-850</v>
      </c>
      <c r="C2" s="21">
        <v>-1700</v>
      </c>
      <c r="D2" s="21">
        <f>$C2-$B2</f>
        <v>-850</v>
      </c>
    </row>
    <row r="3" spans="1:8" x14ac:dyDescent="0.3">
      <c r="A3" s="4">
        <v>1</v>
      </c>
      <c r="B3" s="22">
        <v>670</v>
      </c>
      <c r="C3" s="22">
        <v>1300</v>
      </c>
      <c r="D3" s="21">
        <f t="shared" ref="D3:D5" si="0">$C3-$B3</f>
        <v>630</v>
      </c>
    </row>
    <row r="4" spans="1:8" x14ac:dyDescent="0.3">
      <c r="A4" s="4">
        <v>2</v>
      </c>
      <c r="B4" s="22">
        <v>510</v>
      </c>
      <c r="C4" s="22">
        <v>750</v>
      </c>
      <c r="D4" s="21">
        <f t="shared" si="0"/>
        <v>240</v>
      </c>
    </row>
    <row r="5" spans="1:8" x14ac:dyDescent="0.3">
      <c r="A5" s="4">
        <v>3</v>
      </c>
      <c r="B5" s="22">
        <v>90</v>
      </c>
      <c r="C5" s="22">
        <v>350</v>
      </c>
      <c r="D5" s="21">
        <f t="shared" si="0"/>
        <v>260</v>
      </c>
    </row>
    <row r="6" spans="1:8" ht="15.65" x14ac:dyDescent="0.3">
      <c r="A6" s="57" t="s">
        <v>5</v>
      </c>
      <c r="B6" s="75">
        <f>1+(-B$2-B$3)/B$4</f>
        <v>1.3529411764705883</v>
      </c>
      <c r="C6" s="75">
        <f>1+(-C$2-C$3)/C$4</f>
        <v>1.5333333333333332</v>
      </c>
      <c r="D6" s="33"/>
    </row>
    <row r="7" spans="1:8" ht="15.65" x14ac:dyDescent="0.3">
      <c r="A7" s="57" t="s">
        <v>25</v>
      </c>
      <c r="B7" s="75">
        <f>1+(-B$2-PV($H$1,$A$3,,-B$3))/PV($H$1,$A$4,,-B$4)</f>
        <v>1.5715686274509806</v>
      </c>
      <c r="C7" s="75">
        <f>1+(-C$2-PV($H$1,$A$3,,-C$3))/PV($H$1,$A$4,,-C$4)</f>
        <v>1.8360000000000003</v>
      </c>
      <c r="D7" s="33"/>
    </row>
    <row r="8" spans="1:8" ht="15.65" x14ac:dyDescent="0.3">
      <c r="A8" s="57" t="s">
        <v>3</v>
      </c>
      <c r="B8" s="59">
        <f>NPV($H$1,B$3:B$5)+B$2</f>
        <v>248.19684447783607</v>
      </c>
      <c r="C8" s="59">
        <f>NPV($H$1,C$3:C$5)+C$2</f>
        <v>364.61307287753561</v>
      </c>
      <c r="D8" s="10"/>
    </row>
    <row r="9" spans="1:8" ht="15.65" x14ac:dyDescent="0.3">
      <c r="A9" s="57" t="s">
        <v>8</v>
      </c>
      <c r="B9" s="65">
        <f>IRR(B$2:B$5)</f>
        <v>0.30858066461529066</v>
      </c>
      <c r="C9" s="65">
        <f>IRR(C$2:C$5)</f>
        <v>0.24960610083386214</v>
      </c>
      <c r="D9" s="66">
        <f>IRR(D$2:D$5)</f>
        <v>0.19285216561527796</v>
      </c>
    </row>
    <row r="10" spans="1:8" x14ac:dyDescent="0.3">
      <c r="B10" s="60"/>
      <c r="C10" s="60"/>
    </row>
    <row r="11" spans="1:8" x14ac:dyDescent="0.3">
      <c r="B11" s="60"/>
      <c r="C11" s="6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7871-7AA3-4055-80FF-619D0C65C9B4}">
  <dimension ref="A1:J9"/>
  <sheetViews>
    <sheetView showGridLines="0" zoomScale="130" zoomScaleNormal="130" workbookViewId="0">
      <selection activeCell="H1" sqref="H1"/>
    </sheetView>
  </sheetViews>
  <sheetFormatPr defaultRowHeight="15.05" x14ac:dyDescent="0.3"/>
  <cols>
    <col min="2" max="2" width="10.77734375" bestFit="1" customWidth="1"/>
    <col min="3" max="4" width="9.44140625" bestFit="1" customWidth="1"/>
    <col min="7" max="7" width="2.21875" bestFit="1" customWidth="1"/>
    <col min="8" max="8" width="7.77734375" bestFit="1" customWidth="1"/>
    <col min="9" max="9" width="14.21875" bestFit="1" customWidth="1"/>
    <col min="10" max="10" width="14" bestFit="1" customWidth="1"/>
  </cols>
  <sheetData>
    <row r="1" spans="1:10" ht="15.65" x14ac:dyDescent="0.3">
      <c r="A1" s="99" t="s">
        <v>26</v>
      </c>
      <c r="B1" s="99"/>
      <c r="C1" s="99"/>
      <c r="D1" s="99"/>
      <c r="I1" s="57" t="s">
        <v>24</v>
      </c>
      <c r="J1" s="55">
        <v>0.1</v>
      </c>
    </row>
    <row r="2" spans="1:10" ht="15.65" x14ac:dyDescent="0.3">
      <c r="A2" s="1" t="s">
        <v>0</v>
      </c>
      <c r="B2" s="3" t="s">
        <v>27</v>
      </c>
      <c r="C2" s="1" t="s">
        <v>28</v>
      </c>
      <c r="D2" s="3" t="s">
        <v>29</v>
      </c>
      <c r="I2" s="57" t="s">
        <v>55</v>
      </c>
      <c r="J2" s="80">
        <v>43000000</v>
      </c>
    </row>
    <row r="3" spans="1:10" x14ac:dyDescent="0.3">
      <c r="A3" s="4">
        <v>0</v>
      </c>
      <c r="B3" s="5">
        <v>-18</v>
      </c>
      <c r="C3" s="6">
        <v>-25</v>
      </c>
      <c r="D3" s="6">
        <v>-43</v>
      </c>
    </row>
    <row r="4" spans="1:10" x14ac:dyDescent="0.3">
      <c r="A4" s="4">
        <v>1</v>
      </c>
      <c r="B4" s="7">
        <v>23</v>
      </c>
      <c r="C4" s="8">
        <v>21</v>
      </c>
      <c r="D4" s="8">
        <v>39</v>
      </c>
    </row>
    <row r="5" spans="1:10" x14ac:dyDescent="0.3">
      <c r="A5" s="4">
        <v>2</v>
      </c>
      <c r="B5" s="7">
        <v>16</v>
      </c>
      <c r="C5" s="8">
        <v>51</v>
      </c>
      <c r="D5" s="8">
        <v>66</v>
      </c>
    </row>
    <row r="6" spans="1:10" x14ac:dyDescent="0.3">
      <c r="A6" s="4">
        <v>3</v>
      </c>
      <c r="B6" s="7">
        <v>6</v>
      </c>
      <c r="C6" s="8">
        <v>41</v>
      </c>
      <c r="D6" s="8">
        <v>42</v>
      </c>
    </row>
    <row r="7" spans="1:10" ht="15.65" x14ac:dyDescent="0.3">
      <c r="A7" s="77" t="s">
        <v>10</v>
      </c>
      <c r="B7" s="75">
        <f>NPV($J$1,B$4:B$6)/-B$3</f>
        <v>2.146673345020452</v>
      </c>
      <c r="C7" s="75">
        <f t="shared" ref="C7:D7" si="0">NPV($J$1,C$4:C$6)/-C$3</f>
        <v>3.681743050338091</v>
      </c>
      <c r="D7" s="75">
        <f t="shared" si="0"/>
        <v>2.8268656194852615</v>
      </c>
      <c r="E7" s="9"/>
      <c r="F7" s="74">
        <f>(B7-1)+(C7-1)</f>
        <v>3.8284163953585431</v>
      </c>
      <c r="G7" s="78" t="s">
        <v>30</v>
      </c>
      <c r="H7" s="74">
        <f>D7-1</f>
        <v>1.8268656194852615</v>
      </c>
    </row>
    <row r="8" spans="1:10" ht="15.65" x14ac:dyDescent="0.3">
      <c r="A8" s="77" t="s">
        <v>3</v>
      </c>
      <c r="B8" s="59">
        <f>B$3+NPV($J$1,B$4:B$6)</f>
        <v>20.640120210368138</v>
      </c>
      <c r="C8" s="59">
        <f t="shared" ref="C8:D8" si="1">C$3+NPV($J$1,C$4:C$6)</f>
        <v>67.043576258452276</v>
      </c>
      <c r="D8" s="59">
        <f t="shared" si="1"/>
        <v>78.555221637866239</v>
      </c>
      <c r="E8" s="9"/>
      <c r="F8" s="53">
        <f>B8+C8</f>
        <v>87.683696468820415</v>
      </c>
      <c r="G8" s="79" t="s">
        <v>30</v>
      </c>
      <c r="H8" s="53">
        <f>D8</f>
        <v>78.555221637866239</v>
      </c>
    </row>
    <row r="9" spans="1:10" x14ac:dyDescent="0.3">
      <c r="B9" s="60"/>
      <c r="C9" s="60"/>
      <c r="D9" s="60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D4CE-5308-45BB-9678-8F13A6157293}">
  <dimension ref="A1:G9"/>
  <sheetViews>
    <sheetView showGridLines="0" topLeftCell="B1" zoomScale="130" zoomScaleNormal="130" workbookViewId="0">
      <selection activeCell="D1" sqref="D1"/>
    </sheetView>
  </sheetViews>
  <sheetFormatPr defaultRowHeight="15.05" x14ac:dyDescent="0.3"/>
  <cols>
    <col min="1" max="1" width="34.44140625" bestFit="1" customWidth="1"/>
    <col min="2" max="2" width="16.77734375" bestFit="1" customWidth="1"/>
    <col min="3" max="3" width="16.77734375" customWidth="1"/>
    <col min="4" max="4" width="17.21875" bestFit="1" customWidth="1"/>
    <col min="6" max="6" width="13" bestFit="1" customWidth="1"/>
    <col min="8" max="8" width="14.21875" bestFit="1" customWidth="1"/>
  </cols>
  <sheetData>
    <row r="1" spans="1:7" ht="15.65" x14ac:dyDescent="0.3">
      <c r="A1" s="18" t="s">
        <v>0</v>
      </c>
      <c r="B1" s="24" t="s">
        <v>31</v>
      </c>
      <c r="C1" s="3" t="s">
        <v>32</v>
      </c>
      <c r="D1" s="3" t="s">
        <v>33</v>
      </c>
      <c r="F1" s="57" t="s">
        <v>24</v>
      </c>
      <c r="G1" s="55">
        <v>0.1</v>
      </c>
    </row>
    <row r="2" spans="1:7" x14ac:dyDescent="0.3">
      <c r="A2" s="4">
        <v>0</v>
      </c>
      <c r="B2" s="25">
        <v>-575000</v>
      </c>
      <c r="C2" s="25">
        <v>-980000</v>
      </c>
      <c r="D2" s="25">
        <f>C2-B2</f>
        <v>-405000</v>
      </c>
    </row>
    <row r="3" spans="1:7" x14ac:dyDescent="0.3">
      <c r="A3" s="4">
        <v>1</v>
      </c>
      <c r="B3" s="26">
        <v>373000</v>
      </c>
      <c r="C3" s="8">
        <v>395000</v>
      </c>
      <c r="D3" s="25">
        <f t="shared" ref="D3:D5" si="0">C3-B3</f>
        <v>22000</v>
      </c>
    </row>
    <row r="4" spans="1:7" x14ac:dyDescent="0.3">
      <c r="A4" s="4">
        <v>2</v>
      </c>
      <c r="B4" s="26">
        <v>219000</v>
      </c>
      <c r="C4" s="8">
        <v>477000</v>
      </c>
      <c r="D4" s="25">
        <f t="shared" si="0"/>
        <v>258000</v>
      </c>
    </row>
    <row r="5" spans="1:7" x14ac:dyDescent="0.3">
      <c r="A5" s="4">
        <v>3</v>
      </c>
      <c r="B5" s="26">
        <v>185000</v>
      </c>
      <c r="C5" s="8">
        <v>339000</v>
      </c>
      <c r="D5" s="25">
        <f t="shared" si="0"/>
        <v>154000</v>
      </c>
    </row>
    <row r="6" spans="1:7" ht="15.65" x14ac:dyDescent="0.3">
      <c r="A6" s="57" t="s">
        <v>5</v>
      </c>
      <c r="B6" s="75">
        <f>1+(-B$2-B$3)/B$4</f>
        <v>1.9223744292237441</v>
      </c>
      <c r="C6" s="76">
        <f>2+(-C$2-C$3-C$4)/C$5</f>
        <v>2.3185840707964602</v>
      </c>
      <c r="D6" s="33"/>
    </row>
    <row r="7" spans="1:7" ht="15.65" x14ac:dyDescent="0.3">
      <c r="A7" s="57" t="s">
        <v>25</v>
      </c>
      <c r="B7" s="75">
        <f>1+(-B$2-PV($G$1,$A$3,,-B$3))/PV($G$1,$A$4,,-B$4)</f>
        <v>2.3034246575342472</v>
      </c>
      <c r="C7" s="76">
        <f>2+(-$C$2-NPV($G$1,$C$3:$C$4))/PV($G$1,$A$5,,-$C$5)</f>
        <v>2.8900589970501485</v>
      </c>
      <c r="D7" s="33"/>
    </row>
    <row r="8" spans="1:7" ht="15.65" x14ac:dyDescent="0.3">
      <c r="A8" s="57" t="s">
        <v>3</v>
      </c>
      <c r="B8" s="59">
        <f>B$2+NPV($G$1,B$3:B$5)</f>
        <v>84075.882794890902</v>
      </c>
      <c r="C8" s="68">
        <f>C$2+NPV($G$1,C$3:C$5)</f>
        <v>28001.502629601629</v>
      </c>
      <c r="D8" s="10"/>
    </row>
    <row r="9" spans="1:7" ht="15.65" x14ac:dyDescent="0.3">
      <c r="A9" s="57" t="s">
        <v>8</v>
      </c>
      <c r="B9" s="65">
        <f>IRR(B$2:B$5)</f>
        <v>0.19361287790331572</v>
      </c>
      <c r="C9" s="66">
        <f>IRR(C$2:C$5)</f>
        <v>0.11650198620109498</v>
      </c>
      <c r="D9" s="66">
        <f>IRR(D$2:D$5)</f>
        <v>3.053264709656478E-2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C4E6-0D05-49BC-BCBC-7AC6D87E04C7}">
  <dimension ref="A1:G6"/>
  <sheetViews>
    <sheetView showGridLines="0" zoomScale="130" zoomScaleNormal="130" workbookViewId="0">
      <selection activeCell="F1" sqref="F1:G1"/>
    </sheetView>
  </sheetViews>
  <sheetFormatPr defaultRowHeight="15.05" x14ac:dyDescent="0.3"/>
  <cols>
    <col min="2" max="2" width="12.21875" customWidth="1"/>
    <col min="3" max="4" width="12.5546875" customWidth="1"/>
    <col min="6" max="6" width="13" bestFit="1" customWidth="1"/>
    <col min="9" max="9" width="14.21875" bestFit="1" customWidth="1"/>
  </cols>
  <sheetData>
    <row r="1" spans="1:7" ht="15.65" x14ac:dyDescent="0.3">
      <c r="A1" s="1" t="s">
        <v>0</v>
      </c>
      <c r="B1" s="24" t="s">
        <v>1</v>
      </c>
      <c r="C1" s="24" t="s">
        <v>2</v>
      </c>
      <c r="D1" s="24" t="s">
        <v>34</v>
      </c>
      <c r="F1" s="57" t="s">
        <v>24</v>
      </c>
      <c r="G1" s="55">
        <v>0.12</v>
      </c>
    </row>
    <row r="2" spans="1:7" x14ac:dyDescent="0.3">
      <c r="A2" s="4">
        <v>0</v>
      </c>
      <c r="B2" s="6">
        <v>-225000</v>
      </c>
      <c r="C2" s="6">
        <v>-450000</v>
      </c>
      <c r="D2" s="6">
        <v>-225000</v>
      </c>
    </row>
    <row r="3" spans="1:7" x14ac:dyDescent="0.3">
      <c r="A3" s="4">
        <v>1</v>
      </c>
      <c r="B3" s="22">
        <v>165000</v>
      </c>
      <c r="C3" s="22">
        <v>300000</v>
      </c>
      <c r="D3" s="22">
        <v>180000</v>
      </c>
    </row>
    <row r="4" spans="1:7" x14ac:dyDescent="0.3">
      <c r="A4" s="4">
        <v>2</v>
      </c>
      <c r="B4" s="22">
        <v>165000</v>
      </c>
      <c r="C4" s="22">
        <v>300000</v>
      </c>
      <c r="D4" s="22">
        <v>135000</v>
      </c>
    </row>
    <row r="5" spans="1:7" ht="15.65" x14ac:dyDescent="0.3">
      <c r="A5" s="57" t="s">
        <v>10</v>
      </c>
      <c r="B5" s="75">
        <f>NPV($G$1,B$3:B$4)/-B$2</f>
        <v>1.2393707482993195</v>
      </c>
      <c r="C5" s="75">
        <f>NPV($G$1,C$3:C$4)/-C$2</f>
        <v>1.1267006802721087</v>
      </c>
      <c r="D5" s="75">
        <f>NPV($G$1,D$3:D$4)/-D$2</f>
        <v>1.1926020408163263</v>
      </c>
    </row>
    <row r="6" spans="1:7" ht="15.65" x14ac:dyDescent="0.3">
      <c r="A6" s="57" t="s">
        <v>3</v>
      </c>
      <c r="B6" s="59">
        <f>NPV($G$1,B$3:B$4)+B$2</f>
        <v>53858.418367346865</v>
      </c>
      <c r="C6" s="59">
        <f>NPV($G$1,C$3:C$4)+C$2</f>
        <v>57015.306122448936</v>
      </c>
      <c r="D6" s="59">
        <f>NPV($G$1,D$3:D$4)+D$2</f>
        <v>43335.459183673433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81A-6991-49AE-BB9C-9B6059A8FAB4}">
  <dimension ref="A1:G11"/>
  <sheetViews>
    <sheetView showGridLines="0" topLeftCell="B1" zoomScale="130" zoomScaleNormal="130" workbookViewId="0">
      <selection activeCell="F1" sqref="F1:G1"/>
    </sheetView>
  </sheetViews>
  <sheetFormatPr defaultRowHeight="15.05" x14ac:dyDescent="0.3"/>
  <cols>
    <col min="1" max="1" width="34.44140625" bestFit="1" customWidth="1"/>
    <col min="2" max="2" width="14" bestFit="1" customWidth="1"/>
    <col min="3" max="3" width="17.44140625" bestFit="1" customWidth="1"/>
    <col min="4" max="4" width="17.44140625" customWidth="1"/>
    <col min="6" max="6" width="13" bestFit="1" customWidth="1"/>
    <col min="8" max="8" width="14.21875" bestFit="1" customWidth="1"/>
  </cols>
  <sheetData>
    <row r="1" spans="1:7" ht="15.65" x14ac:dyDescent="0.3">
      <c r="A1" s="1" t="s">
        <v>0</v>
      </c>
      <c r="B1" s="2" t="s">
        <v>35</v>
      </c>
      <c r="C1" s="18" t="s">
        <v>36</v>
      </c>
      <c r="D1" s="18" t="s">
        <v>18</v>
      </c>
      <c r="F1" s="57" t="s">
        <v>24</v>
      </c>
      <c r="G1" s="55">
        <v>0.08</v>
      </c>
    </row>
    <row r="2" spans="1:7" x14ac:dyDescent="0.3">
      <c r="A2" s="4">
        <v>0</v>
      </c>
      <c r="B2" s="6">
        <v>-1500000</v>
      </c>
      <c r="C2" s="25">
        <v>-650000</v>
      </c>
      <c r="D2" s="25">
        <f>B2-C2</f>
        <v>-850000</v>
      </c>
    </row>
    <row r="3" spans="1:7" x14ac:dyDescent="0.3">
      <c r="A3" s="4">
        <v>1</v>
      </c>
      <c r="B3" s="8">
        <v>900000</v>
      </c>
      <c r="C3" s="27">
        <v>345000</v>
      </c>
      <c r="D3" s="25">
        <f t="shared" ref="D3:D5" si="0">B3-C3</f>
        <v>555000</v>
      </c>
    </row>
    <row r="4" spans="1:7" x14ac:dyDescent="0.3">
      <c r="A4" s="4">
        <v>2</v>
      </c>
      <c r="B4" s="8">
        <v>700000</v>
      </c>
      <c r="C4" s="27">
        <v>570000</v>
      </c>
      <c r="D4" s="25">
        <f t="shared" si="0"/>
        <v>130000</v>
      </c>
    </row>
    <row r="5" spans="1:7" x14ac:dyDescent="0.3">
      <c r="A5" s="4">
        <v>3</v>
      </c>
      <c r="B5" s="8">
        <v>725000</v>
      </c>
      <c r="C5" s="27">
        <v>360000</v>
      </c>
      <c r="D5" s="25">
        <f t="shared" si="0"/>
        <v>365000</v>
      </c>
    </row>
    <row r="6" spans="1:7" ht="15.65" x14ac:dyDescent="0.3">
      <c r="A6" s="77" t="s">
        <v>5</v>
      </c>
      <c r="B6" s="75">
        <f>1+(-B$2-B$3)/B$4</f>
        <v>1.8571428571428572</v>
      </c>
      <c r="C6" s="75">
        <f>1+(-C$2-C$3)/C$4</f>
        <v>1.5350877192982457</v>
      </c>
      <c r="D6" s="33"/>
    </row>
    <row r="7" spans="1:7" ht="15.65" x14ac:dyDescent="0.3">
      <c r="A7" s="77" t="s">
        <v>25</v>
      </c>
      <c r="B7" s="75">
        <f>1+(-B$2-PV($G$1,$A$3,,-B$3))/PV($G$1,$A$4,,-B$4)</f>
        <v>2.1108571428571432</v>
      </c>
      <c r="C7" s="75">
        <f>1+(-C$2-PV($G$1,$A$3,,-C$3))/PV($G$1,$A$4,,-C$4)</f>
        <v>1.676421052631579</v>
      </c>
      <c r="D7" s="33"/>
    </row>
    <row r="8" spans="1:7" ht="15.65" x14ac:dyDescent="0.3">
      <c r="A8" s="77" t="s">
        <v>3</v>
      </c>
      <c r="B8" s="81">
        <f>B$2+NPV($G$1,B$3:B$5)</f>
        <v>508998.88228420424</v>
      </c>
      <c r="C8" s="82">
        <f>C$2+NPV($G$1,C$3:C$5)</f>
        <v>443907.17878372199</v>
      </c>
      <c r="D8" s="31"/>
    </row>
    <row r="9" spans="1:7" ht="15.65" x14ac:dyDescent="0.3">
      <c r="A9" s="77" t="s">
        <v>8</v>
      </c>
      <c r="B9" s="65">
        <f>IRR(B$2:B$5)</f>
        <v>0.26836674721783749</v>
      </c>
      <c r="C9" s="65">
        <f>IRR(C$2:C$5)</f>
        <v>0.42164313886686089</v>
      </c>
      <c r="D9" s="66">
        <f>IRR(D$2:D$5)</f>
        <v>0.12684469408869026</v>
      </c>
    </row>
    <row r="10" spans="1:7" x14ac:dyDescent="0.3">
      <c r="B10" s="60"/>
      <c r="C10" s="60"/>
    </row>
    <row r="11" spans="1:7" x14ac:dyDescent="0.3">
      <c r="B11" s="60"/>
      <c r="C11" s="6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7EA9-39A7-4F48-B5A4-2D3A3FFD1437}">
  <dimension ref="A1:L7"/>
  <sheetViews>
    <sheetView showGridLines="0" zoomScale="130" zoomScaleNormal="130" workbookViewId="0">
      <selection activeCell="B1" sqref="B1"/>
    </sheetView>
  </sheetViews>
  <sheetFormatPr defaultRowHeight="15.05" x14ac:dyDescent="0.3"/>
  <cols>
    <col min="2" max="2" width="14" customWidth="1"/>
    <col min="3" max="3" width="12" customWidth="1"/>
    <col min="6" max="6" width="19" bestFit="1" customWidth="1"/>
    <col min="7" max="8" width="11.44140625" bestFit="1" customWidth="1"/>
    <col min="9" max="9" width="16.21875" customWidth="1"/>
    <col min="11" max="11" width="14.21875" bestFit="1" customWidth="1"/>
  </cols>
  <sheetData>
    <row r="1" spans="1:12" ht="15.65" x14ac:dyDescent="0.3">
      <c r="A1" s="18" t="s">
        <v>0</v>
      </c>
      <c r="B1" s="1" t="s">
        <v>37</v>
      </c>
      <c r="C1" s="34" t="s">
        <v>38</v>
      </c>
      <c r="F1" s="1"/>
      <c r="G1" s="1" t="s">
        <v>37</v>
      </c>
      <c r="H1" s="1" t="s">
        <v>38</v>
      </c>
      <c r="I1" s="1" t="s">
        <v>39</v>
      </c>
      <c r="K1" s="57" t="s">
        <v>24</v>
      </c>
      <c r="L1" s="55">
        <v>0.15</v>
      </c>
    </row>
    <row r="2" spans="1:12" x14ac:dyDescent="0.3">
      <c r="A2" s="35">
        <v>0</v>
      </c>
      <c r="B2" s="5">
        <v>-735000</v>
      </c>
      <c r="C2" s="6">
        <v>-460000</v>
      </c>
      <c r="F2" s="36" t="s">
        <v>40</v>
      </c>
      <c r="G2" s="38">
        <f>-$B$2/$B$3</f>
        <v>3.0753138075313808</v>
      </c>
      <c r="H2" s="38">
        <f>3+(-$C$2-SUM($C$3:$C$5))/$C$6</f>
        <v>3.1716465352828989</v>
      </c>
      <c r="I2" s="37" t="s">
        <v>37</v>
      </c>
    </row>
    <row r="3" spans="1:12" x14ac:dyDescent="0.3">
      <c r="A3" s="35">
        <v>1</v>
      </c>
      <c r="B3" s="7">
        <v>239000</v>
      </c>
      <c r="C3" s="8">
        <v>130000</v>
      </c>
      <c r="F3" s="36" t="s">
        <v>41</v>
      </c>
      <c r="G3" s="38">
        <f>3+(-$B$2-PV($L$1,$A$5,-$B$3))/PV($L$1,$A$6,,-$B$6)</f>
        <v>4.3853680700836835</v>
      </c>
      <c r="H3" s="38">
        <f>3+(-$C$2-NPV($L$1,$C$3:$C$5))/PV($L$1,$A$6,,-$C$6)</f>
        <v>4.3686448881696807</v>
      </c>
      <c r="I3" s="37" t="s">
        <v>38</v>
      </c>
    </row>
    <row r="4" spans="1:12" x14ac:dyDescent="0.3">
      <c r="A4" s="35">
        <v>2</v>
      </c>
      <c r="B4" s="7">
        <v>239000</v>
      </c>
      <c r="C4" s="8">
        <v>143000</v>
      </c>
      <c r="F4" s="36" t="s">
        <v>8</v>
      </c>
      <c r="G4" s="39">
        <f>IRR(B$2:B$7)</f>
        <v>0.1874223095663976</v>
      </c>
      <c r="H4" s="39">
        <f>IRR(C$2:C$7)</f>
        <v>0.19871062586435051</v>
      </c>
      <c r="I4" s="37" t="s">
        <v>38</v>
      </c>
    </row>
    <row r="5" spans="1:12" x14ac:dyDescent="0.3">
      <c r="A5" s="35">
        <v>3</v>
      </c>
      <c r="B5" s="7">
        <v>239000</v>
      </c>
      <c r="C5" s="8">
        <v>157300</v>
      </c>
      <c r="F5" s="36" t="s">
        <v>10</v>
      </c>
      <c r="G5" s="40">
        <f>PV($L$1,$A$7,-$B$3)/-$B$2</f>
        <v>1.090020501258129</v>
      </c>
      <c r="H5" s="40">
        <f>NPV($L$1,$C$3:$C$7)/-$C$2</f>
        <v>1.1264324558485952</v>
      </c>
      <c r="I5" s="37" t="s">
        <v>38</v>
      </c>
    </row>
    <row r="6" spans="1:12" x14ac:dyDescent="0.3">
      <c r="A6" s="35">
        <v>4</v>
      </c>
      <c r="B6" s="7">
        <v>239000</v>
      </c>
      <c r="C6" s="8">
        <v>173030</v>
      </c>
      <c r="F6" s="36" t="s">
        <v>3</v>
      </c>
      <c r="G6" s="41">
        <f>B$2+NPV($L$1,B$3:B$7)</f>
        <v>66165.068424725207</v>
      </c>
      <c r="H6" s="41">
        <f>C$2+NPV($L$1,C$3:C$7)</f>
        <v>58158.929690353747</v>
      </c>
      <c r="I6" s="37" t="s">
        <v>37</v>
      </c>
    </row>
    <row r="7" spans="1:12" x14ac:dyDescent="0.3">
      <c r="A7" s="35">
        <v>5</v>
      </c>
      <c r="B7" s="7">
        <v>239000</v>
      </c>
      <c r="C7" s="8">
        <v>190333</v>
      </c>
      <c r="G7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920D-2E8A-4E41-BD76-D83B3C17FC76}">
  <dimension ref="A1:N17"/>
  <sheetViews>
    <sheetView showGridLines="0" zoomScale="130" zoomScaleNormal="130" workbookViewId="0"/>
  </sheetViews>
  <sheetFormatPr defaultRowHeight="15.05" x14ac:dyDescent="0.3"/>
  <cols>
    <col min="1" max="1" width="22.6640625" bestFit="1" customWidth="1"/>
    <col min="2" max="2" width="15.77734375" customWidth="1"/>
    <col min="3" max="3" width="26.77734375" bestFit="1" customWidth="1"/>
    <col min="4" max="4" width="28.21875" bestFit="1" customWidth="1"/>
    <col min="6" max="6" width="13" bestFit="1" customWidth="1"/>
    <col min="10" max="10" width="14.21875" bestFit="1" customWidth="1"/>
    <col min="12" max="12" width="8" bestFit="1" customWidth="1"/>
    <col min="13" max="13" width="16.5546875" bestFit="1" customWidth="1"/>
    <col min="14" max="14" width="3.33203125" bestFit="1" customWidth="1"/>
    <col min="17" max="17" width="18" bestFit="1" customWidth="1"/>
  </cols>
  <sheetData>
    <row r="1" spans="1:14" ht="15.65" x14ac:dyDescent="0.3">
      <c r="A1" s="1" t="s">
        <v>0</v>
      </c>
      <c r="B1" s="1" t="s">
        <v>21</v>
      </c>
      <c r="C1" s="1" t="s">
        <v>42</v>
      </c>
      <c r="D1" s="1" t="s">
        <v>45</v>
      </c>
      <c r="F1" s="57" t="s">
        <v>24</v>
      </c>
      <c r="G1" s="55">
        <v>0.1</v>
      </c>
      <c r="J1" s="57" t="s">
        <v>24</v>
      </c>
      <c r="K1" s="55">
        <v>0.11</v>
      </c>
      <c r="M1" s="57" t="s">
        <v>48</v>
      </c>
      <c r="N1" s="55">
        <v>0.08</v>
      </c>
    </row>
    <row r="2" spans="1:14" ht="15.65" x14ac:dyDescent="0.3">
      <c r="A2" s="42">
        <v>0</v>
      </c>
      <c r="B2" s="43">
        <v>-47000</v>
      </c>
      <c r="C2" s="47">
        <f>B2+B7/(1+$K$1)^A7</f>
        <v>-52637.787616556307</v>
      </c>
      <c r="D2" s="43">
        <f>B2</f>
        <v>-47000</v>
      </c>
      <c r="F2" s="57" t="s">
        <v>43</v>
      </c>
      <c r="G2" s="66">
        <v>0.19679282035043996</v>
      </c>
      <c r="J2" s="57" t="s">
        <v>43</v>
      </c>
      <c r="K2" s="66">
        <f>IRR(C$2:C$6)</f>
        <v>0.19928476967374587</v>
      </c>
    </row>
    <row r="3" spans="1:14" ht="15.65" x14ac:dyDescent="0.3">
      <c r="A3" s="42">
        <v>1</v>
      </c>
      <c r="B3" s="43">
        <v>16900</v>
      </c>
      <c r="C3" s="46">
        <f>B3</f>
        <v>16900</v>
      </c>
      <c r="D3" s="43">
        <f>FV($N$1,A6,,-C3)</f>
        <v>22992.263424000004</v>
      </c>
      <c r="F3" s="57" t="s">
        <v>43</v>
      </c>
      <c r="G3" s="66">
        <v>0.15123041016780298</v>
      </c>
      <c r="J3" s="57" t="s">
        <v>43</v>
      </c>
      <c r="K3" s="66">
        <f>(D7/-D2)^(1/5)-1</f>
        <v>0.13957401800000513</v>
      </c>
    </row>
    <row r="4" spans="1:14" ht="15.65" x14ac:dyDescent="0.3">
      <c r="A4" s="42">
        <v>2</v>
      </c>
      <c r="B4" s="43">
        <v>20300</v>
      </c>
      <c r="C4" s="46">
        <f t="shared" ref="C4:C6" si="0">B4</f>
        <v>20300</v>
      </c>
      <c r="D4" s="43">
        <f>FV($N$1,A5,,-C4)</f>
        <v>25572.153600000005</v>
      </c>
      <c r="F4" s="57" t="s">
        <v>43</v>
      </c>
      <c r="G4" s="66">
        <v>0.14595589537947312</v>
      </c>
      <c r="H4" s="65">
        <f>MIRR(B2:B7,G1,G1)</f>
        <v>0.14595589541545939</v>
      </c>
      <c r="J4" s="57" t="s">
        <v>43</v>
      </c>
      <c r="K4" s="66">
        <f>MIRR(B2:B7,$K$1,$N$1)</f>
        <v>0.13655067845223634</v>
      </c>
    </row>
    <row r="5" spans="1:14" ht="15.65" x14ac:dyDescent="0.3">
      <c r="A5" s="42">
        <v>3</v>
      </c>
      <c r="B5" s="43">
        <v>25800</v>
      </c>
      <c r="C5" s="46">
        <f t="shared" si="0"/>
        <v>25800</v>
      </c>
      <c r="D5" s="43">
        <f>FV($N$1,A4,,-C5)</f>
        <v>30093.120000000003</v>
      </c>
      <c r="J5" s="11"/>
    </row>
    <row r="6" spans="1:14" x14ac:dyDescent="0.3">
      <c r="A6" s="42">
        <v>4</v>
      </c>
      <c r="B6" s="43">
        <v>19600</v>
      </c>
      <c r="C6" s="46">
        <f t="shared" si="0"/>
        <v>19600</v>
      </c>
      <c r="D6" s="43">
        <f>FV($N$1,A3,,-C6)</f>
        <v>21168</v>
      </c>
    </row>
    <row r="7" spans="1:14" x14ac:dyDescent="0.3">
      <c r="A7" s="42">
        <v>5</v>
      </c>
      <c r="B7" s="43">
        <v>-9500</v>
      </c>
      <c r="C7" s="43"/>
      <c r="D7" s="48">
        <f>SUM(D3:D6)+B7</f>
        <v>90325.537024000019</v>
      </c>
    </row>
    <row r="8" spans="1:14" ht="15.65" x14ac:dyDescent="0.3">
      <c r="A8" s="85" t="s">
        <v>42</v>
      </c>
      <c r="B8" s="9"/>
      <c r="C8" s="9"/>
      <c r="D8" s="9"/>
    </row>
    <row r="9" spans="1:14" ht="15.65" x14ac:dyDescent="0.3">
      <c r="A9" s="57" t="s">
        <v>44</v>
      </c>
      <c r="B9" s="83">
        <f>$B$2+$B$7/(1+$G$1)^$A$7</f>
        <v>-52898.752569061973</v>
      </c>
      <c r="C9" s="44"/>
      <c r="D9" s="44"/>
    </row>
    <row r="10" spans="1:14" ht="15.65" x14ac:dyDescent="0.3">
      <c r="A10" s="57" t="s">
        <v>3</v>
      </c>
      <c r="B10" s="84">
        <f>B9+B3/(1+G2)+B4/(1+G2)^2+B5/(1+G2)^3+B6/(1+G2)^4</f>
        <v>1.6360798326786608E-5</v>
      </c>
      <c r="C10" s="45"/>
      <c r="D10" s="45"/>
    </row>
    <row r="11" spans="1:14" ht="15.65" x14ac:dyDescent="0.3">
      <c r="A11" s="86" t="s">
        <v>45</v>
      </c>
      <c r="B11" s="9"/>
      <c r="C11" s="9"/>
      <c r="D11" s="9"/>
    </row>
    <row r="12" spans="1:14" ht="15.65" x14ac:dyDescent="0.3">
      <c r="A12" s="57" t="s">
        <v>46</v>
      </c>
      <c r="B12" s="83">
        <f>B3*(1.1^4)+B4*(1.1^3)+B5*(1.1^2)+B6*(1.1)--B7</f>
        <v>95040.590000000011</v>
      </c>
      <c r="C12" s="44"/>
      <c r="D12" s="44"/>
    </row>
    <row r="13" spans="1:14" ht="15.65" x14ac:dyDescent="0.3">
      <c r="A13" s="57" t="s">
        <v>3</v>
      </c>
      <c r="B13" s="84">
        <f>B2+B12/(1+G3)^5</f>
        <v>1.3577679055742919E-5</v>
      </c>
      <c r="C13" s="45"/>
      <c r="D13" s="45"/>
    </row>
    <row r="14" spans="1:14" ht="15.65" x14ac:dyDescent="0.3">
      <c r="A14" s="85" t="s">
        <v>47</v>
      </c>
      <c r="B14" s="9"/>
      <c r="C14" s="9"/>
      <c r="D14" s="9"/>
    </row>
    <row r="15" spans="1:14" ht="15.65" x14ac:dyDescent="0.3">
      <c r="A15" s="57" t="s">
        <v>44</v>
      </c>
      <c r="B15" s="83">
        <f>$B$2+$B$7/(1+$G$1)^$A$7</f>
        <v>-52898.752569061973</v>
      </c>
      <c r="C15" s="44"/>
      <c r="D15" s="44"/>
    </row>
    <row r="16" spans="1:14" ht="15.65" x14ac:dyDescent="0.3">
      <c r="A16" s="57" t="s">
        <v>46</v>
      </c>
      <c r="B16" s="83">
        <f>B3*(1.1^4)+B4*(1.1^3)+B5*(1.1^2)+B6*(1.1)</f>
        <v>104540.59000000001</v>
      </c>
      <c r="C16" s="44"/>
      <c r="D16" s="44"/>
    </row>
    <row r="17" spans="1:4" ht="15.65" x14ac:dyDescent="0.3">
      <c r="A17" s="57" t="s">
        <v>3</v>
      </c>
      <c r="B17" s="84">
        <f>B15+B16/(1+G4)^5</f>
        <v>8.3058475865982473E-6</v>
      </c>
      <c r="C17" s="45"/>
      <c r="D17" s="4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F917-1F68-47CD-AF94-82C1E647DBCA}">
  <dimension ref="A1:C5"/>
  <sheetViews>
    <sheetView showGridLines="0" zoomScale="160" zoomScaleNormal="160" workbookViewId="0"/>
  </sheetViews>
  <sheetFormatPr defaultRowHeight="15.05" x14ac:dyDescent="0.3"/>
  <cols>
    <col min="1" max="1" width="13.5546875" bestFit="1" customWidth="1"/>
    <col min="2" max="2" width="12.109375" bestFit="1" customWidth="1"/>
  </cols>
  <sheetData>
    <row r="1" spans="1:3" ht="15.65" x14ac:dyDescent="0.3">
      <c r="A1" s="96" t="s">
        <v>60</v>
      </c>
      <c r="B1" s="96">
        <v>6</v>
      </c>
      <c r="C1" s="94"/>
    </row>
    <row r="2" spans="1:3" ht="15.65" x14ac:dyDescent="0.3">
      <c r="A2" s="96" t="s">
        <v>61</v>
      </c>
      <c r="B2" s="95">
        <v>573000</v>
      </c>
      <c r="C2" s="94"/>
    </row>
    <row r="3" spans="1:3" ht="15.65" x14ac:dyDescent="0.3">
      <c r="A3" s="96" t="s">
        <v>62</v>
      </c>
      <c r="B3" s="97">
        <v>0.11</v>
      </c>
      <c r="C3" s="94"/>
    </row>
    <row r="4" spans="1:3" ht="15.65" x14ac:dyDescent="0.3">
      <c r="A4" s="96" t="s">
        <v>63</v>
      </c>
      <c r="B4" s="98">
        <f>NPV(B3,,,,,,B2)+-B2</f>
        <v>-266650.80092112243</v>
      </c>
      <c r="C4" s="94" t="s">
        <v>64</v>
      </c>
    </row>
    <row r="5" spans="1:3" ht="15.65" x14ac:dyDescent="0.3">
      <c r="A5" s="94" t="s">
        <v>65</v>
      </c>
      <c r="B5" s="94"/>
      <c r="C5" s="9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502B-32E9-4584-9BFB-93022C993FDE}">
  <dimension ref="A1:F51"/>
  <sheetViews>
    <sheetView showGridLines="0" zoomScale="130" zoomScaleNormal="130" workbookViewId="0"/>
  </sheetViews>
  <sheetFormatPr defaultRowHeight="15.05" x14ac:dyDescent="0.3"/>
  <cols>
    <col min="1" max="1" width="5" bestFit="1" customWidth="1"/>
    <col min="2" max="2" width="13.77734375" customWidth="1"/>
    <col min="4" max="4" width="3.21875" bestFit="1" customWidth="1"/>
    <col min="5" max="5" width="15.21875" bestFit="1" customWidth="1"/>
    <col min="6" max="6" width="8.77734375" customWidth="1"/>
  </cols>
  <sheetData>
    <row r="1" spans="1:6" ht="15.65" x14ac:dyDescent="0.3">
      <c r="A1" s="1" t="s">
        <v>0</v>
      </c>
      <c r="B1" s="3" t="s">
        <v>21</v>
      </c>
      <c r="D1" s="9"/>
      <c r="E1" s="49" t="s">
        <v>49</v>
      </c>
      <c r="F1" s="49" t="s">
        <v>3</v>
      </c>
    </row>
    <row r="2" spans="1:6" ht="15.65" x14ac:dyDescent="0.3">
      <c r="A2" s="4">
        <v>0</v>
      </c>
      <c r="B2" s="6">
        <v>-6048</v>
      </c>
      <c r="D2" s="51">
        <v>1</v>
      </c>
      <c r="E2" s="52">
        <v>0.21</v>
      </c>
      <c r="F2" s="53">
        <f>$B$2+NPV($E2,$B$3:$B$6)</f>
        <v>-1.3893237668153233</v>
      </c>
    </row>
    <row r="3" spans="1:6" ht="15.65" x14ac:dyDescent="0.3">
      <c r="A3" s="4">
        <v>1</v>
      </c>
      <c r="B3" s="8">
        <v>34344</v>
      </c>
      <c r="D3" s="51">
        <v>2</v>
      </c>
      <c r="E3" s="52">
        <v>0.22</v>
      </c>
      <c r="F3" s="53">
        <f t="shared" ref="F3:F51" si="0">$B$2+NPV($E3,$B$3:$B$6)</f>
        <v>-0.86474833851207222</v>
      </c>
    </row>
    <row r="4" spans="1:6" ht="15.65" x14ac:dyDescent="0.3">
      <c r="A4" s="4">
        <v>2</v>
      </c>
      <c r="B4" s="6">
        <v>-72840</v>
      </c>
      <c r="D4" s="51">
        <v>3</v>
      </c>
      <c r="E4" s="52">
        <v>0.23</v>
      </c>
      <c r="F4" s="53">
        <f t="shared" si="0"/>
        <v>-0.47350936484053818</v>
      </c>
    </row>
    <row r="5" spans="1:6" ht="15.65" x14ac:dyDescent="0.3">
      <c r="A5" s="4">
        <v>3</v>
      </c>
      <c r="B5" s="8">
        <v>68400</v>
      </c>
      <c r="D5" s="51">
        <v>4</v>
      </c>
      <c r="E5" s="52">
        <v>0.24</v>
      </c>
      <c r="F5" s="53">
        <f t="shared" si="0"/>
        <v>-0.19209958409192041</v>
      </c>
    </row>
    <row r="6" spans="1:6" ht="15.65" x14ac:dyDescent="0.3">
      <c r="A6" s="4">
        <v>4</v>
      </c>
      <c r="B6" s="6">
        <v>-24000</v>
      </c>
      <c r="D6" s="51">
        <v>5</v>
      </c>
      <c r="E6" s="52">
        <v>0.25</v>
      </c>
      <c r="F6" s="53">
        <f t="shared" si="0"/>
        <v>0</v>
      </c>
    </row>
    <row r="7" spans="1:6" ht="15.65" x14ac:dyDescent="0.3">
      <c r="A7" s="57" t="s">
        <v>8</v>
      </c>
      <c r="B7" s="66">
        <f>IRR(B2:B6,E3)</f>
        <v>0.2499999999996354</v>
      </c>
      <c r="D7" s="51">
        <v>6</v>
      </c>
      <c r="E7" s="52">
        <v>0.26</v>
      </c>
      <c r="F7" s="53">
        <f t="shared" si="0"/>
        <v>0.12062951212647022</v>
      </c>
    </row>
    <row r="8" spans="1:6" ht="15.65" x14ac:dyDescent="0.3">
      <c r="A8" s="57" t="s">
        <v>8</v>
      </c>
      <c r="B8" s="66">
        <f>IRR(B2:B6,E14)</f>
        <v>0.33333333333217352</v>
      </c>
      <c r="D8" s="51">
        <v>7</v>
      </c>
      <c r="E8" s="52">
        <v>0.27</v>
      </c>
      <c r="F8" s="53">
        <f t="shared" si="0"/>
        <v>0.18522938552723645</v>
      </c>
    </row>
    <row r="9" spans="1:6" ht="15.65" x14ac:dyDescent="0.3">
      <c r="A9" s="57" t="s">
        <v>8</v>
      </c>
      <c r="B9" s="66">
        <f>IRR(B2:B6,E24)</f>
        <v>0.42857142856714292</v>
      </c>
      <c r="D9" s="51">
        <v>8</v>
      </c>
      <c r="E9" s="52">
        <v>0.28000000000000003</v>
      </c>
      <c r="F9" s="53">
        <f t="shared" si="0"/>
        <v>0.20709228515715949</v>
      </c>
    </row>
    <row r="10" spans="1:6" ht="15.65" x14ac:dyDescent="0.3">
      <c r="A10" s="57" t="s">
        <v>8</v>
      </c>
      <c r="B10" s="66">
        <f>IRR(B2:B6,E47)</f>
        <v>0.66666666672440011</v>
      </c>
      <c r="D10" s="51">
        <v>9</v>
      </c>
      <c r="E10" s="52">
        <v>0.28999999999999998</v>
      </c>
      <c r="F10" s="53">
        <f t="shared" si="0"/>
        <v>0.19759043313024449</v>
      </c>
    </row>
    <row r="11" spans="1:6" ht="15.65" x14ac:dyDescent="0.3">
      <c r="D11" s="51">
        <v>10</v>
      </c>
      <c r="E11" s="52">
        <v>0.3</v>
      </c>
      <c r="F11" s="53">
        <f t="shared" si="0"/>
        <v>0.16638072896512313</v>
      </c>
    </row>
    <row r="12" spans="1:6" ht="15.65" x14ac:dyDescent="0.3">
      <c r="D12" s="51">
        <v>11</v>
      </c>
      <c r="E12" s="52">
        <v>0.31</v>
      </c>
      <c r="F12" s="53">
        <f t="shared" si="0"/>
        <v>0.12158981869197305</v>
      </c>
    </row>
    <row r="13" spans="1:6" ht="15.65" x14ac:dyDescent="0.3">
      <c r="D13" s="51">
        <v>12</v>
      </c>
      <c r="E13" s="52">
        <v>0.32</v>
      </c>
      <c r="F13" s="53">
        <f t="shared" si="0"/>
        <v>6.9981052702132729E-2</v>
      </c>
    </row>
    <row r="14" spans="1:6" ht="15.65" x14ac:dyDescent="0.3">
      <c r="D14" s="51">
        <v>13</v>
      </c>
      <c r="E14" s="52">
        <v>0.33</v>
      </c>
      <c r="F14" s="53">
        <f t="shared" si="0"/>
        <v>1.7105080433793773E-2</v>
      </c>
    </row>
    <row r="15" spans="1:6" ht="15.65" x14ac:dyDescent="0.3">
      <c r="D15" s="51">
        <v>14</v>
      </c>
      <c r="E15" s="52">
        <v>0.34</v>
      </c>
      <c r="F15" s="53">
        <f t="shared" si="0"/>
        <v>-3.2564342201112595E-2</v>
      </c>
    </row>
    <row r="16" spans="1:6" ht="15.65" x14ac:dyDescent="0.3">
      <c r="D16" s="51">
        <v>15</v>
      </c>
      <c r="E16" s="52">
        <v>0.35</v>
      </c>
      <c r="F16" s="53">
        <f t="shared" si="0"/>
        <v>-7.5507911512431747E-2</v>
      </c>
    </row>
    <row r="17" spans="4:6" ht="15.65" x14ac:dyDescent="0.3">
      <c r="D17" s="51">
        <v>16</v>
      </c>
      <c r="E17" s="52">
        <v>0.36</v>
      </c>
      <c r="F17" s="53">
        <f t="shared" si="0"/>
        <v>-0.10905041846035601</v>
      </c>
    </row>
    <row r="18" spans="4:6" ht="15.65" x14ac:dyDescent="0.3">
      <c r="D18" s="51">
        <v>17</v>
      </c>
      <c r="E18" s="52">
        <v>0.37</v>
      </c>
      <c r="F18" s="53">
        <f t="shared" si="0"/>
        <v>-0.13126131747776526</v>
      </c>
    </row>
    <row r="19" spans="4:6" ht="15.65" x14ac:dyDescent="0.3">
      <c r="D19" s="51">
        <v>18</v>
      </c>
      <c r="E19" s="52">
        <v>0.38</v>
      </c>
      <c r="F19" s="53">
        <f t="shared" si="0"/>
        <v>-0.14086517648138397</v>
      </c>
    </row>
    <row r="20" spans="4:6" ht="15.65" x14ac:dyDescent="0.3">
      <c r="D20" s="51">
        <v>19</v>
      </c>
      <c r="E20" s="52">
        <v>0.39</v>
      </c>
      <c r="F20" s="53">
        <f t="shared" si="0"/>
        <v>-0.13716106406718609</v>
      </c>
    </row>
    <row r="21" spans="4:6" ht="15.65" x14ac:dyDescent="0.3">
      <c r="D21" s="51">
        <v>20</v>
      </c>
      <c r="E21" s="52">
        <v>0.4</v>
      </c>
      <c r="F21" s="53">
        <f t="shared" si="0"/>
        <v>-0.11995002082494466</v>
      </c>
    </row>
    <row r="22" spans="4:6" ht="15.65" x14ac:dyDescent="0.3">
      <c r="D22" s="51">
        <v>21</v>
      </c>
      <c r="E22" s="52">
        <v>0.41</v>
      </c>
      <c r="F22" s="53">
        <f t="shared" si="0"/>
        <v>-8.9469843681399652E-2</v>
      </c>
    </row>
    <row r="23" spans="4:6" ht="15.65" x14ac:dyDescent="0.3">
      <c r="D23" s="51">
        <v>22</v>
      </c>
      <c r="E23" s="52">
        <v>0.42</v>
      </c>
      <c r="F23" s="53">
        <f t="shared" si="0"/>
        <v>-4.6336485966094187E-2</v>
      </c>
    </row>
    <row r="24" spans="4:6" ht="15.65" x14ac:dyDescent="0.3">
      <c r="D24" s="51">
        <v>23</v>
      </c>
      <c r="E24" s="52">
        <v>0.43</v>
      </c>
      <c r="F24" s="53">
        <f t="shared" si="0"/>
        <v>8.5085574382901541E-3</v>
      </c>
    </row>
    <row r="25" spans="4:6" ht="15.65" x14ac:dyDescent="0.3">
      <c r="D25" s="51">
        <v>24</v>
      </c>
      <c r="E25" s="52">
        <v>0.44</v>
      </c>
      <c r="F25" s="53">
        <f t="shared" si="0"/>
        <v>7.3845450386215816E-2</v>
      </c>
    </row>
    <row r="26" spans="4:6" ht="15.65" x14ac:dyDescent="0.3">
      <c r="D26" s="51">
        <v>25</v>
      </c>
      <c r="E26" s="52">
        <v>0.45</v>
      </c>
      <c r="F26" s="53">
        <f t="shared" si="0"/>
        <v>0.1482183177540719</v>
      </c>
    </row>
    <row r="27" spans="4:6" ht="15.65" x14ac:dyDescent="0.3">
      <c r="D27" s="51">
        <v>26</v>
      </c>
      <c r="E27" s="52">
        <v>0.46</v>
      </c>
      <c r="F27" s="53">
        <f t="shared" si="0"/>
        <v>0.22997311699782585</v>
      </c>
    </row>
    <row r="28" spans="4:6" ht="15.65" x14ac:dyDescent="0.3">
      <c r="D28" s="51">
        <v>27</v>
      </c>
      <c r="E28" s="52">
        <v>0.47</v>
      </c>
      <c r="F28" s="53">
        <f t="shared" si="0"/>
        <v>0.31729150240607851</v>
      </c>
    </row>
    <row r="29" spans="4:6" ht="15.65" x14ac:dyDescent="0.3">
      <c r="D29" s="51">
        <v>28</v>
      </c>
      <c r="E29" s="52">
        <v>0.48</v>
      </c>
      <c r="F29" s="53">
        <f t="shared" si="0"/>
        <v>0.40822106531777536</v>
      </c>
    </row>
    <row r="30" spans="4:6" ht="15.65" x14ac:dyDescent="0.3">
      <c r="D30" s="51">
        <v>29</v>
      </c>
      <c r="E30" s="52">
        <v>0.49</v>
      </c>
      <c r="F30" s="53">
        <f t="shared" si="0"/>
        <v>0.50070229753691819</v>
      </c>
    </row>
    <row r="31" spans="4:6" ht="15.65" x14ac:dyDescent="0.3">
      <c r="D31" s="51">
        <v>30</v>
      </c>
      <c r="E31" s="52">
        <v>0.5</v>
      </c>
      <c r="F31" s="53">
        <f t="shared" si="0"/>
        <v>0.59259259259215469</v>
      </c>
    </row>
    <row r="32" spans="4:6" ht="15.65" x14ac:dyDescent="0.3">
      <c r="D32" s="51">
        <v>31</v>
      </c>
      <c r="E32" s="52">
        <v>0.51</v>
      </c>
      <c r="F32" s="53">
        <f t="shared" si="0"/>
        <v>0.68168756995328295</v>
      </c>
    </row>
    <row r="33" spans="4:6" ht="15.65" x14ac:dyDescent="0.3">
      <c r="D33" s="51">
        <v>32</v>
      </c>
      <c r="E33" s="52">
        <v>0.52</v>
      </c>
      <c r="F33" s="53">
        <f t="shared" si="0"/>
        <v>0.76573998051026138</v>
      </c>
    </row>
    <row r="34" spans="4:6" ht="15.65" x14ac:dyDescent="0.3">
      <c r="D34" s="51">
        <v>33</v>
      </c>
      <c r="E34" s="52">
        <v>0.53</v>
      </c>
      <c r="F34" s="53">
        <f t="shared" si="0"/>
        <v>0.84247642758327856</v>
      </c>
    </row>
    <row r="35" spans="4:6" ht="15.65" x14ac:dyDescent="0.3">
      <c r="D35" s="51">
        <v>34</v>
      </c>
      <c r="E35" s="52">
        <v>0.54</v>
      </c>
      <c r="F35" s="53">
        <f t="shared" si="0"/>
        <v>0.90961211577814538</v>
      </c>
    </row>
    <row r="36" spans="4:6" ht="15.65" x14ac:dyDescent="0.3">
      <c r="D36" s="51">
        <v>35</v>
      </c>
      <c r="E36" s="52">
        <v>0.55000000000000004</v>
      </c>
      <c r="F36" s="53">
        <f t="shared" si="0"/>
        <v>0.96486382009607041</v>
      </c>
    </row>
    <row r="37" spans="4:6" ht="15.65" x14ac:dyDescent="0.3">
      <c r="D37" s="51">
        <v>36</v>
      </c>
      <c r="E37" s="52">
        <v>0.56000000000000005</v>
      </c>
      <c r="F37" s="53">
        <f t="shared" si="0"/>
        <v>1.0059612499326249</v>
      </c>
    </row>
    <row r="38" spans="4:6" ht="15.65" x14ac:dyDescent="0.3">
      <c r="D38" s="51">
        <v>37</v>
      </c>
      <c r="E38" s="52">
        <v>0.56999999999999995</v>
      </c>
      <c r="F38" s="53">
        <f t="shared" si="0"/>
        <v>1.0306569660560854</v>
      </c>
    </row>
    <row r="39" spans="4:6" ht="15.65" x14ac:dyDescent="0.3">
      <c r="D39" s="51">
        <v>38</v>
      </c>
      <c r="E39" s="52">
        <v>0.57999999999999996</v>
      </c>
      <c r="F39" s="53">
        <f t="shared" si="0"/>
        <v>1.0367349942089277</v>
      </c>
    </row>
    <row r="40" spans="4:6" ht="15.65" x14ac:dyDescent="0.3">
      <c r="D40" s="51">
        <v>39</v>
      </c>
      <c r="E40" s="52">
        <v>0.59</v>
      </c>
      <c r="F40" s="53">
        <f t="shared" si="0"/>
        <v>1.0220182652610674</v>
      </c>
    </row>
    <row r="41" spans="4:6" ht="15.65" x14ac:dyDescent="0.3">
      <c r="D41" s="51">
        <v>40</v>
      </c>
      <c r="E41" s="52">
        <v>0.6</v>
      </c>
      <c r="F41" s="53">
        <f t="shared" si="0"/>
        <v>0.98437499999818101</v>
      </c>
    </row>
    <row r="42" spans="4:6" ht="15.65" x14ac:dyDescent="0.3">
      <c r="D42" s="51">
        <v>41</v>
      </c>
      <c r="E42" s="52">
        <v>0.61</v>
      </c>
      <c r="F42" s="53">
        <f t="shared" si="0"/>
        <v>0.9217241454307441</v>
      </c>
    </row>
    <row r="43" spans="4:6" ht="15.65" x14ac:dyDescent="0.3">
      <c r="D43" s="51">
        <v>42</v>
      </c>
      <c r="E43" s="52">
        <v>0.62</v>
      </c>
      <c r="F43" s="53">
        <f t="shared" si="0"/>
        <v>0.83203995955682331</v>
      </c>
    </row>
    <row r="44" spans="4:6" ht="15.65" x14ac:dyDescent="0.3">
      <c r="D44" s="51">
        <v>43</v>
      </c>
      <c r="E44" s="52">
        <v>0.63</v>
      </c>
      <c r="F44" s="53">
        <f t="shared" si="0"/>
        <v>0.71335583258678525</v>
      </c>
    </row>
    <row r="45" spans="4:6" ht="15.65" x14ac:dyDescent="0.3">
      <c r="D45" s="51">
        <v>44</v>
      </c>
      <c r="E45" s="52">
        <v>0.64</v>
      </c>
      <c r="F45" s="53">
        <f t="shared" si="0"/>
        <v>0.5637674240697379</v>
      </c>
    </row>
    <row r="46" spans="4:6" ht="15.65" x14ac:dyDescent="0.3">
      <c r="D46" s="51">
        <v>45</v>
      </c>
      <c r="E46" s="52">
        <v>0.65</v>
      </c>
      <c r="F46" s="53">
        <f t="shared" si="0"/>
        <v>0.38143518834567658</v>
      </c>
    </row>
    <row r="47" spans="4:6" ht="15.65" x14ac:dyDescent="0.3">
      <c r="D47" s="51">
        <v>46</v>
      </c>
      <c r="E47" s="52">
        <v>0.66</v>
      </c>
      <c r="F47" s="53">
        <f t="shared" si="0"/>
        <v>0.16458635357321327</v>
      </c>
    </row>
    <row r="48" spans="4:6" ht="15.65" x14ac:dyDescent="0.3">
      <c r="D48" s="51">
        <v>47</v>
      </c>
      <c r="E48" s="52">
        <v>0.67</v>
      </c>
      <c r="F48" s="53">
        <f t="shared" si="0"/>
        <v>-8.8483586439906503E-2</v>
      </c>
    </row>
    <row r="49" spans="4:6" ht="15.65" x14ac:dyDescent="0.3">
      <c r="D49" s="51">
        <v>48</v>
      </c>
      <c r="E49" s="52">
        <v>0.68</v>
      </c>
      <c r="F49" s="53">
        <f t="shared" si="0"/>
        <v>-0.379409813813254</v>
      </c>
    </row>
    <row r="50" spans="4:6" ht="15.65" x14ac:dyDescent="0.3">
      <c r="D50" s="51">
        <v>49</v>
      </c>
      <c r="E50" s="52">
        <v>0.69</v>
      </c>
      <c r="F50" s="53">
        <f t="shared" si="0"/>
        <v>-0.70975751322657743</v>
      </c>
    </row>
    <row r="51" spans="4:6" ht="15.65" x14ac:dyDescent="0.3">
      <c r="D51" s="51">
        <v>50</v>
      </c>
      <c r="E51" s="52">
        <v>0.7</v>
      </c>
      <c r="F51" s="53">
        <f t="shared" si="0"/>
        <v>-1.081021539493122</v>
      </c>
    </row>
  </sheetData>
  <conditionalFormatting sqref="F2:F51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339F-A196-4405-B863-E923C0620CAF}">
  <dimension ref="A1:H9"/>
  <sheetViews>
    <sheetView showGridLines="0" zoomScale="130" zoomScaleNormal="130" workbookViewId="0">
      <selection activeCell="D7" sqref="D7"/>
    </sheetView>
  </sheetViews>
  <sheetFormatPr defaultRowHeight="15.05" x14ac:dyDescent="0.3"/>
  <cols>
    <col min="1" max="1" width="7.77734375" customWidth="1"/>
    <col min="2" max="2" width="14.21875" customWidth="1"/>
    <col min="3" max="3" width="13.21875" bestFit="1" customWidth="1"/>
    <col min="4" max="4" width="14.44140625" bestFit="1" customWidth="1"/>
    <col min="7" max="7" width="22.5546875" bestFit="1" customWidth="1"/>
  </cols>
  <sheetData>
    <row r="1" spans="1:8" ht="15.65" x14ac:dyDescent="0.3">
      <c r="A1" s="1" t="s">
        <v>0</v>
      </c>
      <c r="B1" s="3" t="s">
        <v>21</v>
      </c>
      <c r="D1" s="57" t="s">
        <v>11</v>
      </c>
      <c r="E1" s="55">
        <v>0.11</v>
      </c>
    </row>
    <row r="2" spans="1:8" ht="15.65" x14ac:dyDescent="0.3">
      <c r="A2" s="4">
        <v>0</v>
      </c>
      <c r="B2" s="6">
        <v>-4700000</v>
      </c>
      <c r="D2" s="57" t="s">
        <v>51</v>
      </c>
      <c r="E2" s="69">
        <v>3.7999999999999999E-2</v>
      </c>
    </row>
    <row r="3" spans="1:8" ht="15.65" x14ac:dyDescent="0.3">
      <c r="A3" s="50" t="s">
        <v>50</v>
      </c>
      <c r="B3" s="8">
        <v>415000</v>
      </c>
    </row>
    <row r="5" spans="1:8" ht="30.7" x14ac:dyDescent="0.3">
      <c r="A5" s="57" t="s">
        <v>52</v>
      </c>
      <c r="B5" s="59">
        <f>B3/($E$1-$E$2)</f>
        <v>5763888.8888888881</v>
      </c>
      <c r="C5" s="13"/>
      <c r="D5" s="88" t="s">
        <v>53</v>
      </c>
      <c r="E5" s="66">
        <v>2.1702127652036975E-2</v>
      </c>
    </row>
    <row r="6" spans="1:8" ht="15.65" x14ac:dyDescent="0.3">
      <c r="A6" s="57" t="s">
        <v>3</v>
      </c>
      <c r="B6" s="59">
        <f>B2+B5</f>
        <v>1063888.8888888881</v>
      </c>
      <c r="C6" s="13"/>
      <c r="H6" s="29"/>
    </row>
    <row r="8" spans="1:8" ht="15.65" x14ac:dyDescent="0.3">
      <c r="A8" s="57" t="s">
        <v>3</v>
      </c>
      <c r="B8" s="87">
        <f>B2+B3/($E$1-E5)</f>
        <v>-4.0121190249919891E-4</v>
      </c>
    </row>
    <row r="9" spans="1:8" x14ac:dyDescent="0.3">
      <c r="B9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64BC-D3ED-42FB-9681-A37A3C6DB8A4}">
  <dimension ref="A1:E16"/>
  <sheetViews>
    <sheetView showGridLines="0" zoomScale="130" zoomScaleNormal="130" workbookViewId="0">
      <selection activeCell="D1" sqref="D1:E5"/>
    </sheetView>
  </sheetViews>
  <sheetFormatPr defaultRowHeight="15.05" x14ac:dyDescent="0.3"/>
  <cols>
    <col min="2" max="2" width="13.5546875" bestFit="1" customWidth="1"/>
    <col min="3" max="3" width="11.21875" bestFit="1" customWidth="1"/>
    <col min="4" max="4" width="14.44140625" bestFit="1" customWidth="1"/>
    <col min="8" max="8" width="15.77734375" bestFit="1" customWidth="1"/>
  </cols>
  <sheetData>
    <row r="1" spans="1:5" ht="15.65" x14ac:dyDescent="0.3">
      <c r="A1" s="1" t="s">
        <v>0</v>
      </c>
      <c r="B1" s="3" t="s">
        <v>21</v>
      </c>
      <c r="D1" s="57" t="s">
        <v>11</v>
      </c>
      <c r="E1" s="89">
        <v>0.13</v>
      </c>
    </row>
    <row r="2" spans="1:5" ht="15.65" x14ac:dyDescent="0.3">
      <c r="A2" s="4">
        <v>0</v>
      </c>
      <c r="B2" s="6">
        <v>-3400000</v>
      </c>
      <c r="D2" s="57" t="s">
        <v>51</v>
      </c>
      <c r="E2" s="55">
        <v>0.08</v>
      </c>
    </row>
    <row r="3" spans="1:5" x14ac:dyDescent="0.3">
      <c r="A3" s="4">
        <v>1</v>
      </c>
      <c r="B3" s="8">
        <v>575000</v>
      </c>
    </row>
    <row r="4" spans="1:5" x14ac:dyDescent="0.3">
      <c r="A4" s="4">
        <v>2</v>
      </c>
      <c r="B4" s="8">
        <v>575000</v>
      </c>
    </row>
    <row r="5" spans="1:5" ht="15.65" x14ac:dyDescent="0.3">
      <c r="A5" s="4">
        <v>3</v>
      </c>
      <c r="B5" s="8">
        <v>575000</v>
      </c>
      <c r="D5" s="57" t="s">
        <v>8</v>
      </c>
      <c r="E5" s="66">
        <v>0.18731951452815826</v>
      </c>
    </row>
    <row r="6" spans="1:5" x14ac:dyDescent="0.3">
      <c r="A6" s="4">
        <v>4</v>
      </c>
      <c r="B6" s="8">
        <v>575000</v>
      </c>
    </row>
    <row r="7" spans="1:5" x14ac:dyDescent="0.3">
      <c r="A7" s="4">
        <v>5</v>
      </c>
      <c r="B7" s="8">
        <v>575000</v>
      </c>
    </row>
    <row r="8" spans="1:5" x14ac:dyDescent="0.3">
      <c r="A8" s="4">
        <v>6</v>
      </c>
      <c r="B8" s="8">
        <v>575000</v>
      </c>
    </row>
    <row r="9" spans="1:5" x14ac:dyDescent="0.3">
      <c r="A9" s="4">
        <v>7</v>
      </c>
      <c r="B9" s="8">
        <v>575000</v>
      </c>
    </row>
    <row r="10" spans="1:5" x14ac:dyDescent="0.3">
      <c r="A10" s="4">
        <v>8</v>
      </c>
      <c r="B10" s="8">
        <v>575000</v>
      </c>
    </row>
    <row r="11" spans="1:5" x14ac:dyDescent="0.3">
      <c r="A11" s="4">
        <v>9</v>
      </c>
      <c r="B11" s="8">
        <v>575000</v>
      </c>
    </row>
    <row r="12" spans="1:5" x14ac:dyDescent="0.3">
      <c r="A12" s="4">
        <v>10</v>
      </c>
      <c r="B12" s="8">
        <v>575000</v>
      </c>
    </row>
    <row r="13" spans="1:5" x14ac:dyDescent="0.3">
      <c r="A13" s="4">
        <v>11</v>
      </c>
      <c r="B13" s="8">
        <v>575000</v>
      </c>
    </row>
    <row r="14" spans="1:5" x14ac:dyDescent="0.3">
      <c r="A14" s="4"/>
      <c r="B14" s="8">
        <v>-450000</v>
      </c>
      <c r="C14" s="12"/>
      <c r="D14" s="13"/>
      <c r="E14" s="29"/>
    </row>
    <row r="16" spans="1:5" ht="15.65" x14ac:dyDescent="0.3">
      <c r="A16" s="57" t="s">
        <v>3</v>
      </c>
      <c r="B16" s="87">
        <f>B2+B3*((1/(E5-E2))-(1/(E5-E2))*((1+E2)/(1+E5))^A13)+B14/(1+E5)^A13</f>
        <v>7.7716576925013214E-4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89C1-D4FD-417E-99CF-A66A9BDE09C4}">
  <dimension ref="A1:H8"/>
  <sheetViews>
    <sheetView showGridLines="0" topLeftCell="C1" zoomScale="130" zoomScaleNormal="130" workbookViewId="0">
      <selection activeCell="D1" sqref="D1:H2"/>
    </sheetView>
  </sheetViews>
  <sheetFormatPr defaultRowHeight="15.05" x14ac:dyDescent="0.3"/>
  <cols>
    <col min="1" max="1" width="6.21875" bestFit="1" customWidth="1"/>
    <col min="2" max="2" width="16" customWidth="1"/>
    <col min="3" max="3" width="11.21875" bestFit="1" customWidth="1"/>
    <col min="4" max="4" width="14.44140625" bestFit="1" customWidth="1"/>
    <col min="7" max="7" width="16.5546875" bestFit="1" customWidth="1"/>
    <col min="10" max="10" width="18" bestFit="1" customWidth="1"/>
  </cols>
  <sheetData>
    <row r="1" spans="1:8" ht="15.65" x14ac:dyDescent="0.3">
      <c r="A1" s="18" t="s">
        <v>0</v>
      </c>
      <c r="B1" s="3" t="s">
        <v>21</v>
      </c>
      <c r="D1" s="57" t="s">
        <v>11</v>
      </c>
      <c r="E1" s="55">
        <v>0.11</v>
      </c>
      <c r="G1" s="57" t="s">
        <v>48</v>
      </c>
      <c r="H1" s="55">
        <v>0.04</v>
      </c>
    </row>
    <row r="2" spans="1:8" ht="15.65" x14ac:dyDescent="0.3">
      <c r="A2" s="35">
        <v>0</v>
      </c>
      <c r="B2" s="6">
        <v>-945000</v>
      </c>
      <c r="D2" s="57" t="s">
        <v>8</v>
      </c>
      <c r="E2" s="66">
        <v>0.10373852078156202</v>
      </c>
    </row>
    <row r="3" spans="1:8" x14ac:dyDescent="0.3">
      <c r="A3" s="35">
        <v>1</v>
      </c>
      <c r="B3" s="8">
        <f>295000*1.04</f>
        <v>306800</v>
      </c>
      <c r="H3" s="29"/>
    </row>
    <row r="4" spans="1:8" x14ac:dyDescent="0.3">
      <c r="A4" s="35">
        <v>2</v>
      </c>
      <c r="B4" s="8">
        <f>325000*1.04</f>
        <v>338000</v>
      </c>
    </row>
    <row r="5" spans="1:8" x14ac:dyDescent="0.3">
      <c r="A5" s="35">
        <v>3</v>
      </c>
      <c r="B5" s="8">
        <f>413000*1.04</f>
        <v>429520</v>
      </c>
    </row>
    <row r="6" spans="1:8" x14ac:dyDescent="0.3">
      <c r="A6" s="35">
        <v>4</v>
      </c>
      <c r="B6" s="8">
        <f>240000*1.04</f>
        <v>249600</v>
      </c>
    </row>
    <row r="7" spans="1:8" ht="15.65" x14ac:dyDescent="0.3">
      <c r="A7" s="57" t="s">
        <v>3</v>
      </c>
      <c r="B7" s="90">
        <f>B2+B3/(1+E1)^2+B4/(1+E1)^3+B5/(1+E1)^4+B6/(1+E1)^5</f>
        <v>-17787.97110282621</v>
      </c>
      <c r="C7" s="13"/>
    </row>
    <row r="8" spans="1:8" ht="15.65" x14ac:dyDescent="0.3">
      <c r="A8" s="57" t="s">
        <v>3</v>
      </c>
      <c r="B8" s="87">
        <f>B2+B3/(1+E2)^2+B4/(1+E2)^3+B5/(1+E2)^4+B6/(1+E2)^5</f>
        <v>2.8230715543031693E-9</v>
      </c>
      <c r="C8" s="3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5281-CD0C-4CDE-9A67-3EEF7530A717}">
  <dimension ref="A1:H10"/>
  <sheetViews>
    <sheetView showGridLines="0" zoomScale="160" zoomScaleNormal="160" workbookViewId="0">
      <selection activeCell="C1" sqref="C1"/>
    </sheetView>
  </sheetViews>
  <sheetFormatPr defaultRowHeight="15.05" x14ac:dyDescent="0.3"/>
  <cols>
    <col min="2" max="2" width="11.6640625" bestFit="1" customWidth="1"/>
    <col min="3" max="3" width="11" bestFit="1" customWidth="1"/>
    <col min="5" max="5" width="13.109375" bestFit="1" customWidth="1"/>
  </cols>
  <sheetData>
    <row r="1" spans="1:8" ht="15.65" x14ac:dyDescent="0.3">
      <c r="A1" s="100"/>
      <c r="B1" s="101" t="s">
        <v>68</v>
      </c>
      <c r="C1" s="102"/>
      <c r="D1" s="100"/>
      <c r="E1" s="104" t="s">
        <v>69</v>
      </c>
      <c r="F1" s="108">
        <v>0.04</v>
      </c>
      <c r="G1" s="100" t="s">
        <v>70</v>
      </c>
      <c r="H1" s="100"/>
    </row>
    <row r="2" spans="1:8" ht="15.65" x14ac:dyDescent="0.3">
      <c r="A2" s="103" t="s">
        <v>60</v>
      </c>
      <c r="B2" s="103" t="s">
        <v>66</v>
      </c>
      <c r="C2" s="103" t="s">
        <v>67</v>
      </c>
      <c r="D2" s="100"/>
      <c r="E2" s="104" t="s">
        <v>71</v>
      </c>
      <c r="F2" s="108">
        <v>0.12</v>
      </c>
      <c r="G2" s="100"/>
      <c r="H2" s="100"/>
    </row>
    <row r="3" spans="1:8" ht="15.65" x14ac:dyDescent="0.3">
      <c r="A3" s="103">
        <v>1</v>
      </c>
      <c r="B3" s="104"/>
      <c r="C3" s="104"/>
      <c r="D3" s="100"/>
      <c r="E3" s="100"/>
      <c r="F3" s="100"/>
      <c r="G3" s="100"/>
      <c r="H3" s="100"/>
    </row>
    <row r="4" spans="1:8" ht="15.65" x14ac:dyDescent="0.3">
      <c r="A4" s="103">
        <v>2</v>
      </c>
      <c r="B4" s="106"/>
      <c r="C4" s="106">
        <v>-13000</v>
      </c>
      <c r="D4" s="100"/>
      <c r="E4" s="100"/>
      <c r="F4" s="100"/>
      <c r="G4" s="100"/>
      <c r="H4" s="100"/>
    </row>
    <row r="5" spans="1:8" ht="15.65" x14ac:dyDescent="0.3">
      <c r="A5" s="103">
        <v>3</v>
      </c>
      <c r="B5" s="106">
        <v>11600</v>
      </c>
      <c r="C5" s="106"/>
      <c r="D5" s="100"/>
      <c r="E5" s="100"/>
      <c r="F5" s="100"/>
      <c r="G5" s="100"/>
      <c r="H5" s="100"/>
    </row>
    <row r="6" spans="1:8" ht="15.65" x14ac:dyDescent="0.3">
      <c r="A6" s="100"/>
      <c r="B6" s="100"/>
      <c r="C6" s="100"/>
      <c r="D6" s="100"/>
      <c r="E6" s="100"/>
      <c r="F6" s="100"/>
      <c r="G6" s="100"/>
      <c r="H6" s="100"/>
    </row>
    <row r="7" spans="1:8" ht="15.65" x14ac:dyDescent="0.3">
      <c r="A7" s="104" t="s">
        <v>72</v>
      </c>
      <c r="B7" s="105">
        <f>PV($F$2,$A$4,,-($B$5/($F$2-$F$1)))</f>
        <v>115593.11224489796</v>
      </c>
      <c r="C7" s="100"/>
      <c r="D7" s="100"/>
      <c r="E7" s="100"/>
      <c r="F7" s="100"/>
      <c r="G7" s="100"/>
      <c r="H7" s="100"/>
    </row>
    <row r="8" spans="1:8" ht="15.65" x14ac:dyDescent="0.3">
      <c r="A8" s="104" t="s">
        <v>73</v>
      </c>
      <c r="B8" s="105">
        <f>PV($F$2,$A$3,,-($C$4/($F$2)))</f>
        <v>-96726.190476190473</v>
      </c>
      <c r="C8" s="100"/>
      <c r="D8" s="100"/>
      <c r="E8" s="100"/>
      <c r="F8" s="100"/>
      <c r="G8" s="100"/>
      <c r="H8" s="100"/>
    </row>
    <row r="9" spans="1:8" ht="15.65" x14ac:dyDescent="0.3">
      <c r="A9" s="104" t="s">
        <v>3</v>
      </c>
      <c r="B9" s="105">
        <f>NPV($B$10,$C$4/$B$10,$B$5/($B$10-$F$1))</f>
        <v>0</v>
      </c>
      <c r="C9" s="100"/>
      <c r="D9" s="100"/>
      <c r="E9" s="100"/>
      <c r="F9" s="100"/>
      <c r="G9" s="100"/>
      <c r="H9" s="100"/>
    </row>
    <row r="10" spans="1:8" ht="15.65" x14ac:dyDescent="0.3">
      <c r="A10" s="104" t="s">
        <v>8</v>
      </c>
      <c r="B10" s="107">
        <v>0.16899753506276319</v>
      </c>
      <c r="C10" s="100"/>
      <c r="D10" s="100"/>
      <c r="E10" s="100"/>
      <c r="F10" s="100"/>
      <c r="G10" s="100"/>
      <c r="H10" s="100"/>
    </row>
  </sheetData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4B7-3B86-48AA-AE8E-7946BC3B3409}">
  <dimension ref="A1:G6"/>
  <sheetViews>
    <sheetView showGridLines="0" zoomScale="160" zoomScaleNormal="160" workbookViewId="0">
      <selection sqref="A1:B4"/>
    </sheetView>
  </sheetViews>
  <sheetFormatPr defaultRowHeight="15.05" x14ac:dyDescent="0.25"/>
  <cols>
    <col min="1" max="1" width="4.77734375" style="111" bestFit="1" customWidth="1"/>
    <col min="2" max="2" width="14.33203125" style="111" bestFit="1" customWidth="1"/>
    <col min="3" max="3" width="14.109375" style="111" bestFit="1" customWidth="1"/>
    <col min="4" max="4" width="22" style="111" bestFit="1" customWidth="1"/>
    <col min="5" max="5" width="8.88671875" style="111"/>
    <col min="6" max="6" width="13.109375" style="111" bestFit="1" customWidth="1"/>
    <col min="7" max="16384" width="8.88671875" style="111"/>
  </cols>
  <sheetData>
    <row r="1" spans="1:7" x14ac:dyDescent="0.25">
      <c r="A1" s="109" t="s">
        <v>0</v>
      </c>
      <c r="B1" s="110" t="s">
        <v>74</v>
      </c>
      <c r="C1" s="110" t="s">
        <v>75</v>
      </c>
      <c r="D1" s="110" t="s">
        <v>76</v>
      </c>
      <c r="F1" s="112" t="s">
        <v>11</v>
      </c>
      <c r="G1" s="113">
        <v>0.12</v>
      </c>
    </row>
    <row r="2" spans="1:7" x14ac:dyDescent="0.25">
      <c r="A2" s="114">
        <v>0</v>
      </c>
      <c r="B2" s="115">
        <v>-1200</v>
      </c>
      <c r="C2" s="116">
        <f>-D6</f>
        <v>-1890.3243440233236</v>
      </c>
      <c r="D2" s="115">
        <f>-B2</f>
        <v>1200</v>
      </c>
    </row>
    <row r="3" spans="1:7" x14ac:dyDescent="0.25">
      <c r="A3" s="114">
        <v>1</v>
      </c>
      <c r="B3" s="115">
        <v>160</v>
      </c>
      <c r="C3" s="115">
        <v>400</v>
      </c>
      <c r="D3" s="115">
        <f>C3-B3</f>
        <v>240</v>
      </c>
    </row>
    <row r="4" spans="1:7" x14ac:dyDescent="0.25">
      <c r="A4" s="114">
        <v>2</v>
      </c>
      <c r="B4" s="117">
        <v>960</v>
      </c>
      <c r="C4" s="117">
        <v>1200</v>
      </c>
      <c r="D4" s="115">
        <f t="shared" ref="D4:D5" si="0">C4-B4</f>
        <v>240</v>
      </c>
    </row>
    <row r="5" spans="1:7" x14ac:dyDescent="0.25">
      <c r="A5" s="114">
        <v>3</v>
      </c>
      <c r="B5" s="117">
        <v>1200</v>
      </c>
      <c r="C5" s="117">
        <v>1600</v>
      </c>
      <c r="D5" s="115">
        <f t="shared" si="0"/>
        <v>400</v>
      </c>
    </row>
    <row r="6" spans="1:7" x14ac:dyDescent="0.25">
      <c r="A6" s="114" t="s">
        <v>3</v>
      </c>
      <c r="B6" s="117"/>
      <c r="C6" s="117"/>
      <c r="D6" s="118">
        <f>NPV($G$1,$D$3:$D$5)+$D$2</f>
        <v>1890.3243440233236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6023-16B7-4DAE-9051-9C0769EC2C61}">
  <dimension ref="A1:E18"/>
  <sheetViews>
    <sheetView showGridLines="0" zoomScale="130" zoomScaleNormal="130" workbookViewId="0">
      <selection activeCell="D1" sqref="D1:E1"/>
    </sheetView>
  </sheetViews>
  <sheetFormatPr defaultRowHeight="15.05" x14ac:dyDescent="0.3"/>
  <cols>
    <col min="1" max="1" width="23.21875" bestFit="1" customWidth="1"/>
    <col min="2" max="2" width="19.33203125" customWidth="1"/>
    <col min="3" max="3" width="14.33203125" bestFit="1" customWidth="1"/>
    <col min="4" max="4" width="13.109375" bestFit="1" customWidth="1"/>
    <col min="6" max="6" width="13.77734375" bestFit="1" customWidth="1"/>
  </cols>
  <sheetData>
    <row r="1" spans="1:5" ht="15.65" x14ac:dyDescent="0.3">
      <c r="A1" s="1" t="s">
        <v>0</v>
      </c>
      <c r="B1" s="91" t="s">
        <v>21</v>
      </c>
      <c r="D1" s="54" t="s">
        <v>11</v>
      </c>
      <c r="E1" s="55">
        <v>0.12</v>
      </c>
    </row>
    <row r="2" spans="1:5" x14ac:dyDescent="0.3">
      <c r="A2" s="4">
        <v>0</v>
      </c>
      <c r="B2" s="92">
        <v>-950000000</v>
      </c>
    </row>
    <row r="3" spans="1:5" x14ac:dyDescent="0.3">
      <c r="A3" s="4">
        <v>1</v>
      </c>
      <c r="B3" s="93">
        <v>190000000</v>
      </c>
      <c r="C3" s="12"/>
    </row>
    <row r="4" spans="1:5" x14ac:dyDescent="0.3">
      <c r="A4" s="4">
        <v>2</v>
      </c>
      <c r="B4" s="93">
        <v>215000000</v>
      </c>
    </row>
    <row r="5" spans="1:5" x14ac:dyDescent="0.3">
      <c r="A5" s="4">
        <v>3</v>
      </c>
      <c r="B5" s="93">
        <v>225000000</v>
      </c>
    </row>
    <row r="6" spans="1:5" x14ac:dyDescent="0.3">
      <c r="A6" s="4">
        <v>4</v>
      </c>
      <c r="B6" s="93">
        <v>285000000</v>
      </c>
    </row>
    <row r="7" spans="1:5" x14ac:dyDescent="0.3">
      <c r="A7" s="4">
        <v>5</v>
      </c>
      <c r="B7" s="93">
        <v>275000000</v>
      </c>
    </row>
    <row r="8" spans="1:5" x14ac:dyDescent="0.3">
      <c r="A8" s="4">
        <v>6</v>
      </c>
      <c r="B8" s="93">
        <v>235000000</v>
      </c>
    </row>
    <row r="9" spans="1:5" x14ac:dyDescent="0.3">
      <c r="A9" s="4">
        <v>7</v>
      </c>
      <c r="B9" s="93">
        <v>205000000</v>
      </c>
    </row>
    <row r="10" spans="1:5" x14ac:dyDescent="0.3">
      <c r="A10" s="4">
        <v>8</v>
      </c>
      <c r="B10" s="93">
        <v>165000000</v>
      </c>
    </row>
    <row r="11" spans="1:5" x14ac:dyDescent="0.3">
      <c r="A11" s="4">
        <v>9</v>
      </c>
      <c r="B11" s="92">
        <v>-75000000</v>
      </c>
    </row>
    <row r="12" spans="1:5" ht="15.65" x14ac:dyDescent="0.3">
      <c r="A12" s="54" t="s">
        <v>56</v>
      </c>
      <c r="B12" s="76">
        <f>4+(-B2-B3-B4-B5-B6)/B7</f>
        <v>4.127272727272727</v>
      </c>
      <c r="C12" s="9" t="s">
        <v>57</v>
      </c>
    </row>
    <row r="13" spans="1:5" ht="15.65" x14ac:dyDescent="0.3">
      <c r="A13" s="54" t="s">
        <v>58</v>
      </c>
      <c r="B13" s="76">
        <f>4+(-B2-NPV(E1,B3:B6))/PV(E1,A7,,-B7)</f>
        <v>5.7154778205090926</v>
      </c>
      <c r="C13" s="9" t="s">
        <v>57</v>
      </c>
    </row>
    <row r="14" spans="1:5" ht="15.65" x14ac:dyDescent="0.3">
      <c r="A14" s="54" t="s">
        <v>8</v>
      </c>
      <c r="B14" s="66">
        <f>IRR(B2:B11)</f>
        <v>0.16187558500427568</v>
      </c>
      <c r="C14" s="9"/>
    </row>
    <row r="15" spans="1:5" ht="15.65" x14ac:dyDescent="0.3">
      <c r="A15" s="54" t="s">
        <v>8</v>
      </c>
      <c r="B15" s="66">
        <f>IRR(B2:B11,-0.99)</f>
        <v>-0.70616197835134908</v>
      </c>
      <c r="C15" s="9"/>
    </row>
    <row r="16" spans="1:5" ht="15.65" x14ac:dyDescent="0.3">
      <c r="A16" s="54" t="s">
        <v>43</v>
      </c>
      <c r="B16" s="66">
        <f>MIRR(B2:B11,E1,E1)</f>
        <v>0.13675945452414484</v>
      </c>
      <c r="C16" s="9"/>
    </row>
    <row r="17" spans="1:3" ht="15.65" x14ac:dyDescent="0.3">
      <c r="A17" s="54" t="s">
        <v>59</v>
      </c>
      <c r="B17" s="76">
        <f>NPV(E1,B3:B11)/-B2</f>
        <v>1.1470947553747857</v>
      </c>
      <c r="C17" s="9"/>
    </row>
    <row r="18" spans="1:3" ht="15.65" x14ac:dyDescent="0.3">
      <c r="A18" s="54" t="s">
        <v>3</v>
      </c>
      <c r="B18" s="68">
        <f>NPV(E1,B3:B11)+B2</f>
        <v>139740017.60604644</v>
      </c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1.</vt:lpstr>
      <vt:lpstr>2.</vt:lpstr>
      <vt:lpstr>3.</vt:lpstr>
      <vt:lpstr>4.</vt:lpstr>
      <vt:lpstr>5.</vt:lpstr>
      <vt:lpstr>6.</vt:lpstr>
      <vt:lpstr>7.</vt:lpstr>
      <vt:lpstr>8.</vt:lpstr>
      <vt:lpstr>10.</vt:lpstr>
      <vt:lpstr>11.</vt:lpstr>
      <vt:lpstr>12.</vt:lpstr>
      <vt:lpstr>13.</vt:lpstr>
      <vt:lpstr>14.</vt:lpstr>
      <vt:lpstr>15.</vt:lpstr>
      <vt:lpstr>16.</vt:lpstr>
      <vt:lpstr>17.</vt:lpstr>
      <vt:lpstr>18.</vt:lpstr>
      <vt:lpstr>19.</vt:lpstr>
      <vt:lpstr>20. &amp; 21.</vt:lpstr>
      <vt:lpstr>23.</vt:lpstr>
      <vt:lpstr>24.</vt:lpstr>
      <vt:lpstr>25.</vt:lpstr>
      <vt:lpstr>26.</vt:lpstr>
      <vt:lpstr>27.</vt:lpstr>
      <vt:lpstr>28.</vt:lpstr>
      <vt:lpstr>29.</vt:lpstr>
      <vt:lpstr>BULLOCK GOLD 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PC-5985614</dc:creator>
  <cp:lastModifiedBy>BusinessLearn365</cp:lastModifiedBy>
  <dcterms:created xsi:type="dcterms:W3CDTF">2021-12-30T09:21:11Z</dcterms:created>
  <dcterms:modified xsi:type="dcterms:W3CDTF">2023-01-04T08:31:36Z</dcterms:modified>
</cp:coreProperties>
</file>