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e\Corporate. Finance(As result)\Corporate Finance [12]\Excel\"/>
    </mc:Choice>
  </mc:AlternateContent>
  <xr:revisionPtr revIDLastSave="0" documentId="13_ncr:1_{6053BCCB-5DCE-4432-AED3-940DE35E2C17}" xr6:coauthVersionLast="47" xr6:coauthVersionMax="47" xr10:uidLastSave="{00000000-0000-0000-0000-000000000000}"/>
  <bookViews>
    <workbookView xWindow="-113" yWindow="-113" windowWidth="17330" windowHeight="9842" firstSheet="29" activeTab="36" xr2:uid="{27CD1112-284C-4A29-A2E2-A72B966D83E5}"/>
  </bookViews>
  <sheets>
    <sheet name="1." sheetId="1" r:id="rId1"/>
    <sheet name="2." sheetId="2" r:id="rId2"/>
    <sheet name="3. &amp; 4. &amp; 5. &amp; 6." sheetId="3" r:id="rId3"/>
    <sheet name="MACRS" sheetId="4" r:id="rId4"/>
    <sheet name="7." sheetId="5" r:id="rId5"/>
    <sheet name="8. &amp; 9." sheetId="6" r:id="rId6"/>
    <sheet name="10." sheetId="7" r:id="rId7"/>
    <sheet name="11." sheetId="8" r:id="rId8"/>
    <sheet name="12." sheetId="9" r:id="rId9"/>
    <sheet name="13. &amp; 14." sheetId="10" r:id="rId10"/>
    <sheet name="15. &amp; 16." sheetId="11" r:id="rId11"/>
    <sheet name="17." sheetId="12" r:id="rId12"/>
    <sheet name="18." sheetId="13" r:id="rId13"/>
    <sheet name="19." sheetId="14" r:id="rId14"/>
    <sheet name="20." sheetId="15" r:id="rId15"/>
    <sheet name="21." sheetId="16" r:id="rId16"/>
    <sheet name="22." sheetId="46" r:id="rId17"/>
    <sheet name="23." sheetId="17" r:id="rId18"/>
    <sheet name="24." sheetId="18" r:id="rId19"/>
    <sheet name="25." sheetId="19" r:id="rId20"/>
    <sheet name="26." sheetId="20" r:id="rId21"/>
    <sheet name="27." sheetId="21" r:id="rId22"/>
    <sheet name="28. &amp; 29." sheetId="22" r:id="rId23"/>
    <sheet name="30." sheetId="23" r:id="rId24"/>
    <sheet name="31." sheetId="24" r:id="rId25"/>
    <sheet name="32." sheetId="25" r:id="rId26"/>
    <sheet name="33." sheetId="61" r:id="rId27"/>
    <sheet name="34. &amp; 35." sheetId="26" r:id="rId28"/>
    <sheet name="36." sheetId="27" r:id="rId29"/>
    <sheet name="37." sheetId="28" r:id="rId30"/>
    <sheet name="38." sheetId="63" r:id="rId31"/>
    <sheet name="39." sheetId="62" r:id="rId32"/>
    <sheet name="40." sheetId="30" r:id="rId33"/>
    <sheet name="41." sheetId="64" r:id="rId34"/>
    <sheet name="42." sheetId="65" r:id="rId35"/>
    <sheet name="BETHESDA MINING" sheetId="60" r:id="rId36"/>
    <sheet name="GOODWEEK TIRES, INC." sheetId="66" r:id="rId37"/>
  </sheets>
  <definedNames>
    <definedName name="Depreciation" localSheetId="1">'2.'!$C$5:$F$5</definedName>
    <definedName name="EBIT" localSheetId="1">'2.'!$C$6:$F$6</definedName>
    <definedName name="Incremental_CFO" localSheetId="1">'2.'!$C$11:$F$11</definedName>
    <definedName name="Net_Income" localSheetId="1">'2.'!$C$8:$F$8</definedName>
    <definedName name="NWC" localSheetId="1">'2.'!$C$10:$F$10</definedName>
    <definedName name="OCF" localSheetId="1">'2.'!$C$9:$F$9</definedName>
    <definedName name="Operating_Costs" localSheetId="1">'2.'!$C$4:$F$4</definedName>
    <definedName name="Sales_Revenue" localSheetId="1">'2.'!$C$3:$F$3</definedName>
    <definedName name="Tax" localSheetId="1">'2.'!$C$7:$F$7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66" l="1"/>
  <c r="P10" i="66"/>
  <c r="Q10" i="66" s="1"/>
  <c r="R10" i="66" s="1"/>
  <c r="O45" i="66" l="1"/>
  <c r="R38" i="66"/>
  <c r="O37" i="66"/>
  <c r="O29" i="66" a="1"/>
  <c r="O29" i="66" s="1"/>
  <c r="O28" i="66"/>
  <c r="P28" i="66" s="1"/>
  <c r="Q28" i="66" s="1"/>
  <c r="R28" i="66" s="1"/>
  <c r="O15" i="66"/>
  <c r="O16" i="66"/>
  <c r="I7" i="66"/>
  <c r="P11" i="66"/>
  <c r="O11" i="66"/>
  <c r="O3" i="66"/>
  <c r="O4" i="66" s="1"/>
  <c r="O5" i="66" s="1"/>
  <c r="H7" i="66"/>
  <c r="G17" i="60"/>
  <c r="G18" i="60" s="1"/>
  <c r="F14" i="60"/>
  <c r="F16" i="60" s="1"/>
  <c r="C14" i="60"/>
  <c r="D14" i="60"/>
  <c r="E14" i="60"/>
  <c r="B14" i="60"/>
  <c r="B13" i="60" a="1"/>
  <c r="B13" i="60" s="1"/>
  <c r="B3" i="60" a="1"/>
  <c r="B3" i="60" s="1"/>
  <c r="B2" i="60"/>
  <c r="C2" i="60"/>
  <c r="D2" i="60"/>
  <c r="E2" i="60"/>
  <c r="C43" i="65"/>
  <c r="D43" i="65"/>
  <c r="E43" i="65"/>
  <c r="F43" i="65"/>
  <c r="B43" i="65"/>
  <c r="F42" i="65"/>
  <c r="C42" i="65"/>
  <c r="B38" i="65"/>
  <c r="C38" i="65"/>
  <c r="D38" i="65"/>
  <c r="E38" i="65"/>
  <c r="F38" i="65"/>
  <c r="F37" i="65"/>
  <c r="C36" i="65"/>
  <c r="D36" i="65"/>
  <c r="E36" i="65"/>
  <c r="F36" i="65"/>
  <c r="B36" i="65"/>
  <c r="C35" i="65"/>
  <c r="D35" i="65"/>
  <c r="E35" i="65"/>
  <c r="F35" i="65"/>
  <c r="B35" i="65"/>
  <c r="C27" i="65"/>
  <c r="D27" i="65"/>
  <c r="E27" i="65"/>
  <c r="F27" i="65"/>
  <c r="B27" i="65"/>
  <c r="B6" i="65" a="1"/>
  <c r="B6" i="65" s="1"/>
  <c r="C6" i="65"/>
  <c r="E6" i="65"/>
  <c r="E28" i="65" s="1"/>
  <c r="B15" i="65"/>
  <c r="B12" i="65"/>
  <c r="B13" i="65" s="1"/>
  <c r="B16" i="65" s="1"/>
  <c r="B3" i="65"/>
  <c r="B21" i="65" s="1"/>
  <c r="C3" i="65"/>
  <c r="C21" i="65" s="1"/>
  <c r="D3" i="65"/>
  <c r="D21" i="65" s="1"/>
  <c r="E3" i="65"/>
  <c r="E21" i="65" s="1"/>
  <c r="F3" i="65"/>
  <c r="F21" i="65" s="1"/>
  <c r="B2" i="65" a="1"/>
  <c r="F2" i="65" s="1"/>
  <c r="F20" i="65" s="1"/>
  <c r="B25" i="64"/>
  <c r="C20" i="64"/>
  <c r="D19" i="64"/>
  <c r="D20" i="64" s="1"/>
  <c r="C19" i="64"/>
  <c r="B19" i="64"/>
  <c r="B20" i="64" s="1"/>
  <c r="B18" i="64"/>
  <c r="C18" i="64"/>
  <c r="D18" i="64"/>
  <c r="B17" i="64"/>
  <c r="C17" i="64"/>
  <c r="D17" i="64"/>
  <c r="B13" i="64"/>
  <c r="D5" i="64"/>
  <c r="C5" i="64"/>
  <c r="B5" i="64"/>
  <c r="B4" i="64"/>
  <c r="C4" i="64"/>
  <c r="D4" i="64"/>
  <c r="B3" i="64"/>
  <c r="C3" i="64"/>
  <c r="D3" i="64"/>
  <c r="F8" i="30"/>
  <c r="F9" i="30" s="1"/>
  <c r="E8" i="30"/>
  <c r="E9" i="30" s="1"/>
  <c r="D8" i="30"/>
  <c r="D9" i="30" s="1"/>
  <c r="C8" i="30"/>
  <c r="C9" i="30" s="1"/>
  <c r="C6" i="30"/>
  <c r="D6" i="30" s="1"/>
  <c r="C4" i="30"/>
  <c r="D4" i="30" s="1"/>
  <c r="F3" i="30"/>
  <c r="E3" i="30"/>
  <c r="D3" i="30"/>
  <c r="C3" i="30"/>
  <c r="B7" i="62"/>
  <c r="F3" i="62"/>
  <c r="E3" i="62"/>
  <c r="E4" i="62"/>
  <c r="F4" i="62" s="1"/>
  <c r="E5" i="62"/>
  <c r="F5" i="62" s="1"/>
  <c r="E2" i="62"/>
  <c r="F2" i="62" s="1"/>
  <c r="D52" i="63"/>
  <c r="D51" i="63"/>
  <c r="C31" i="63"/>
  <c r="C49" i="63"/>
  <c r="D43" i="63"/>
  <c r="B42" i="63"/>
  <c r="B41" i="63"/>
  <c r="B40" i="63"/>
  <c r="B37" i="63"/>
  <c r="B36" i="63"/>
  <c r="B35" i="63"/>
  <c r="D42" i="63"/>
  <c r="D41" i="63"/>
  <c r="B44" i="63"/>
  <c r="D26" i="63"/>
  <c r="B26" i="63"/>
  <c r="D25" i="63"/>
  <c r="D24" i="63"/>
  <c r="B24" i="63"/>
  <c r="D23" i="63"/>
  <c r="B23" i="63"/>
  <c r="D22" i="63"/>
  <c r="B22" i="63"/>
  <c r="B18" i="63"/>
  <c r="B17" i="63"/>
  <c r="B19" i="63" s="1"/>
  <c r="B11" i="63"/>
  <c r="B10" i="63"/>
  <c r="B12" i="63" s="1"/>
  <c r="B13" i="63" s="1"/>
  <c r="C28" i="28"/>
  <c r="B15" i="28"/>
  <c r="B16" i="28" s="1"/>
  <c r="B13" i="28"/>
  <c r="B14" i="28" s="1"/>
  <c r="G11" i="28"/>
  <c r="G7" i="28"/>
  <c r="F7" i="28"/>
  <c r="E7" i="28"/>
  <c r="D7" i="28"/>
  <c r="C7" i="28"/>
  <c r="C14" i="27"/>
  <c r="B17" i="27"/>
  <c r="B14" i="27"/>
  <c r="D11" i="27"/>
  <c r="F9" i="27"/>
  <c r="E9" i="27"/>
  <c r="D9" i="27"/>
  <c r="C9" i="27"/>
  <c r="F8" i="27"/>
  <c r="E8" i="27"/>
  <c r="D8" i="27"/>
  <c r="C8" i="27"/>
  <c r="F7" i="27"/>
  <c r="E7" i="27"/>
  <c r="D7" i="27"/>
  <c r="C7" i="27"/>
  <c r="F6" i="27"/>
  <c r="E6" i="27"/>
  <c r="D6" i="27"/>
  <c r="C6" i="27"/>
  <c r="F5" i="27"/>
  <c r="F10" i="27" s="1"/>
  <c r="E5" i="27"/>
  <c r="E10" i="27" s="1"/>
  <c r="D5" i="27"/>
  <c r="D10" i="27" s="1"/>
  <c r="C5" i="27"/>
  <c r="C10" i="27" s="1"/>
  <c r="B13" i="26"/>
  <c r="F7" i="26"/>
  <c r="E7" i="26"/>
  <c r="D7" i="26"/>
  <c r="G6" i="26"/>
  <c r="F6" i="26"/>
  <c r="E6" i="26"/>
  <c r="D6" i="26"/>
  <c r="C6" i="26"/>
  <c r="G5" i="26"/>
  <c r="F5" i="26"/>
  <c r="E5" i="26"/>
  <c r="D5" i="26"/>
  <c r="C5" i="26"/>
  <c r="G4" i="26"/>
  <c r="F4" i="26"/>
  <c r="E4" i="26"/>
  <c r="D4" i="26"/>
  <c r="C4" i="26"/>
  <c r="G3" i="26"/>
  <c r="F3" i="26"/>
  <c r="E3" i="26"/>
  <c r="D3" i="26"/>
  <c r="C3" i="26"/>
  <c r="B11" i="61"/>
  <c r="B9" i="61"/>
  <c r="H7" i="61"/>
  <c r="G7" i="61"/>
  <c r="F7" i="61"/>
  <c r="B7" i="61"/>
  <c r="B8" i="61" s="1"/>
  <c r="H6" i="61"/>
  <c r="G6" i="61"/>
  <c r="F6" i="61"/>
  <c r="E6" i="61"/>
  <c r="G8" i="25"/>
  <c r="G6" i="25"/>
  <c r="F6" i="25"/>
  <c r="E6" i="25"/>
  <c r="D6" i="25"/>
  <c r="C6" i="25"/>
  <c r="G5" i="25"/>
  <c r="F5" i="25"/>
  <c r="E5" i="25"/>
  <c r="D5" i="25"/>
  <c r="C5" i="25"/>
  <c r="C4" i="25" a="1"/>
  <c r="G4" i="25" s="1"/>
  <c r="C3" i="25" a="1"/>
  <c r="G3" i="25" s="1"/>
  <c r="B17" i="25"/>
  <c r="B14" i="24"/>
  <c r="B13" i="24"/>
  <c r="B12" i="24"/>
  <c r="B11" i="24"/>
  <c r="B15" i="24" s="1"/>
  <c r="G6" i="24"/>
  <c r="F6" i="24"/>
  <c r="E6" i="24"/>
  <c r="D6" i="24"/>
  <c r="C6" i="24"/>
  <c r="G5" i="24"/>
  <c r="F5" i="24"/>
  <c r="E5" i="24"/>
  <c r="D5" i="24"/>
  <c r="C5" i="24"/>
  <c r="C4" i="24"/>
  <c r="D4" i="24" s="1"/>
  <c r="E4" i="24" s="1"/>
  <c r="F4" i="24" s="1"/>
  <c r="G4" i="24" s="1"/>
  <c r="C3" i="24"/>
  <c r="P3" i="66" l="1"/>
  <c r="P4" i="66" s="1"/>
  <c r="P5" i="66" s="1"/>
  <c r="P16" i="66"/>
  <c r="Q16" i="66" s="1"/>
  <c r="R16" i="66" s="1"/>
  <c r="O21" i="66"/>
  <c r="P15" i="66"/>
  <c r="Q15" i="66" s="1"/>
  <c r="R15" i="66" s="1"/>
  <c r="P27" i="66"/>
  <c r="O20" i="66"/>
  <c r="O27" i="66"/>
  <c r="P45" i="66"/>
  <c r="R29" i="66"/>
  <c r="P29" i="66"/>
  <c r="Q29" i="66"/>
  <c r="E13" i="60"/>
  <c r="C13" i="60"/>
  <c r="D13" i="60"/>
  <c r="E3" i="60"/>
  <c r="C3" i="60"/>
  <c r="D3" i="60"/>
  <c r="B9" i="65"/>
  <c r="B17" i="65"/>
  <c r="F6" i="65"/>
  <c r="F28" i="65" s="1"/>
  <c r="D6" i="65"/>
  <c r="D28" i="65" s="1"/>
  <c r="F22" i="65"/>
  <c r="F26" i="65" s="1"/>
  <c r="C12" i="65"/>
  <c r="E2" i="65"/>
  <c r="B2" i="65"/>
  <c r="C2" i="65"/>
  <c r="F4" i="65"/>
  <c r="F25" i="65" s="1"/>
  <c r="F29" i="65" s="1"/>
  <c r="D2" i="65"/>
  <c r="B21" i="64"/>
  <c r="B23" i="64" s="1"/>
  <c r="D23" i="64"/>
  <c r="D21" i="64"/>
  <c r="D22" i="64" s="1"/>
  <c r="C22" i="64"/>
  <c r="C21" i="64"/>
  <c r="C23" i="64" s="1"/>
  <c r="C6" i="64"/>
  <c r="D6" i="64"/>
  <c r="B6" i="64"/>
  <c r="D7" i="30"/>
  <c r="E6" i="30"/>
  <c r="D5" i="30"/>
  <c r="D10" i="30" s="1"/>
  <c r="E4" i="30"/>
  <c r="C5" i="30"/>
  <c r="C10" i="30" s="1"/>
  <c r="C7" i="30"/>
  <c r="B45" i="63"/>
  <c r="B47" i="63" s="1"/>
  <c r="D40" i="63"/>
  <c r="D44" i="63" s="1"/>
  <c r="B27" i="63"/>
  <c r="B28" i="63" s="1"/>
  <c r="D27" i="63"/>
  <c r="D29" i="63" s="1"/>
  <c r="B10" i="61"/>
  <c r="G7" i="25"/>
  <c r="D3" i="25"/>
  <c r="F3" i="25"/>
  <c r="D4" i="25"/>
  <c r="F4" i="25"/>
  <c r="C3" i="25"/>
  <c r="E3" i="25"/>
  <c r="C4" i="25"/>
  <c r="E4" i="25"/>
  <c r="C7" i="24"/>
  <c r="D3" i="24"/>
  <c r="E3" i="24" s="1"/>
  <c r="E7" i="24"/>
  <c r="F3" i="24"/>
  <c r="D7" i="24"/>
  <c r="P20" i="66" l="1"/>
  <c r="Q3" i="66"/>
  <c r="O22" i="66"/>
  <c r="O26" i="66" s="1"/>
  <c r="O30" i="66" s="1"/>
  <c r="P21" i="66"/>
  <c r="Q11" i="66"/>
  <c r="Q21" i="66" s="1"/>
  <c r="R11" i="66"/>
  <c r="R21" i="66" s="1"/>
  <c r="P37" i="66"/>
  <c r="O41" i="66"/>
  <c r="O42" i="66" s="1"/>
  <c r="Q4" i="66"/>
  <c r="Q5" i="66" s="1"/>
  <c r="R3" i="66"/>
  <c r="R4" i="66" s="1"/>
  <c r="R5" i="66" s="1"/>
  <c r="F30" i="65"/>
  <c r="F32" i="65" s="1"/>
  <c r="F41" i="65" s="1"/>
  <c r="F44" i="65" s="1"/>
  <c r="B20" i="65"/>
  <c r="B22" i="65" s="1"/>
  <c r="B26" i="65" s="1"/>
  <c r="B8" i="65"/>
  <c r="B10" i="65" s="1"/>
  <c r="B4" i="65"/>
  <c r="B25" i="65" s="1"/>
  <c r="B29" i="65" s="1"/>
  <c r="D20" i="65"/>
  <c r="D22" i="65" s="1"/>
  <c r="D26" i="65" s="1"/>
  <c r="D4" i="65"/>
  <c r="D25" i="65" s="1"/>
  <c r="C20" i="65"/>
  <c r="C22" i="65" s="1"/>
  <c r="C26" i="65" s="1"/>
  <c r="C4" i="65"/>
  <c r="C25" i="65" s="1"/>
  <c r="E20" i="65"/>
  <c r="E22" i="65" s="1"/>
  <c r="E26" i="65" s="1"/>
  <c r="E4" i="65"/>
  <c r="E25" i="65" s="1"/>
  <c r="B22" i="64"/>
  <c r="D7" i="64"/>
  <c r="B7" i="64"/>
  <c r="C7" i="64"/>
  <c r="F4" i="30"/>
  <c r="F5" i="30" s="1"/>
  <c r="E5" i="30"/>
  <c r="F6" i="30"/>
  <c r="F7" i="30" s="1"/>
  <c r="E7" i="30"/>
  <c r="B46" i="63"/>
  <c r="D45" i="63"/>
  <c r="D47" i="63" s="1"/>
  <c r="B29" i="63"/>
  <c r="D28" i="63"/>
  <c r="E8" i="25"/>
  <c r="E7" i="25"/>
  <c r="F7" i="25"/>
  <c r="F8" i="25"/>
  <c r="C8" i="25"/>
  <c r="C7" i="25"/>
  <c r="D7" i="25"/>
  <c r="D10" i="25" s="1"/>
  <c r="D8" i="25"/>
  <c r="G3" i="24"/>
  <c r="G7" i="24" s="1"/>
  <c r="F7" i="24"/>
  <c r="P22" i="66" l="1"/>
  <c r="P26" i="66" s="1"/>
  <c r="Q37" i="66" s="1"/>
  <c r="P38" i="66" s="1"/>
  <c r="P39" i="66" s="1"/>
  <c r="P30" i="66"/>
  <c r="R27" i="66"/>
  <c r="R20" i="66"/>
  <c r="R22" i="66" s="1"/>
  <c r="R26" i="66" s="1"/>
  <c r="Q27" i="66"/>
  <c r="Q20" i="66"/>
  <c r="Q22" i="66" s="1"/>
  <c r="Q26" i="66" s="1"/>
  <c r="O38" i="66"/>
  <c r="O39" i="66" s="1"/>
  <c r="E29" i="65"/>
  <c r="C29" i="65"/>
  <c r="C32" i="65" s="1"/>
  <c r="C41" i="65" s="1"/>
  <c r="C44" i="65" s="1"/>
  <c r="D29" i="65"/>
  <c r="F31" i="65"/>
  <c r="E30" i="65"/>
  <c r="E32" i="65" s="1"/>
  <c r="E41" i="65" s="1"/>
  <c r="E44" i="65" s="1"/>
  <c r="C30" i="65"/>
  <c r="D30" i="65"/>
  <c r="D31" i="65" s="1"/>
  <c r="B30" i="65"/>
  <c r="B31" i="65" s="1"/>
  <c r="C8" i="64"/>
  <c r="B8" i="64"/>
  <c r="D8" i="64"/>
  <c r="C9" i="64"/>
  <c r="B9" i="64"/>
  <c r="D9" i="64"/>
  <c r="E10" i="30"/>
  <c r="F10" i="30"/>
  <c r="D46" i="63"/>
  <c r="E10" i="25"/>
  <c r="C10" i="25"/>
  <c r="F10" i="25"/>
  <c r="R30" i="66" l="1"/>
  <c r="R37" i="66"/>
  <c r="Q30" i="66"/>
  <c r="C31" i="65"/>
  <c r="E31" i="65"/>
  <c r="B32" i="65"/>
  <c r="B41" i="65" s="1"/>
  <c r="B44" i="65" s="1"/>
  <c r="D32" i="65"/>
  <c r="D41" i="65" s="1"/>
  <c r="D44" i="65" s="1"/>
  <c r="B11" i="64"/>
  <c r="B48" i="23"/>
  <c r="B46" i="23"/>
  <c r="B39" i="23"/>
  <c r="B35" i="23"/>
  <c r="B37" i="23" s="1"/>
  <c r="B34" i="23"/>
  <c r="C37" i="23" s="1"/>
  <c r="B26" i="23"/>
  <c r="B40" i="23" s="1"/>
  <c r="B25" i="23"/>
  <c r="B27" i="23" s="1"/>
  <c r="B23" i="23"/>
  <c r="C50" i="23" s="1"/>
  <c r="B22" i="23"/>
  <c r="B11" i="23"/>
  <c r="B10" i="23"/>
  <c r="B12" i="23" s="1"/>
  <c r="B8" i="23"/>
  <c r="B49" i="23" s="1"/>
  <c r="B7" i="23"/>
  <c r="B36" i="23" s="1"/>
  <c r="F11" i="22"/>
  <c r="C8" i="22"/>
  <c r="F7" i="22"/>
  <c r="E7" i="22"/>
  <c r="D7" i="22"/>
  <c r="C7" i="22"/>
  <c r="F14" i="22" s="1"/>
  <c r="F6" i="22"/>
  <c r="E6" i="22"/>
  <c r="D6" i="22"/>
  <c r="C6" i="22"/>
  <c r="F4" i="22"/>
  <c r="E4" i="22"/>
  <c r="E5" i="22" s="1"/>
  <c r="D4" i="22"/>
  <c r="C4" i="22"/>
  <c r="C5" i="22" s="1"/>
  <c r="B14" i="21"/>
  <c r="B13" i="21"/>
  <c r="B12" i="21"/>
  <c r="B11" i="21"/>
  <c r="B15" i="21" s="1"/>
  <c r="G8" i="21"/>
  <c r="B7" i="21"/>
  <c r="G6" i="21"/>
  <c r="F6" i="21"/>
  <c r="E6" i="21"/>
  <c r="D6" i="21"/>
  <c r="C6" i="21"/>
  <c r="G5" i="21"/>
  <c r="F5" i="21"/>
  <c r="E5" i="21"/>
  <c r="D5" i="21"/>
  <c r="C5" i="21"/>
  <c r="C4" i="21"/>
  <c r="D4" i="21" s="1"/>
  <c r="E4" i="21" s="1"/>
  <c r="F4" i="21" s="1"/>
  <c r="G4" i="21" s="1"/>
  <c r="D3" i="21"/>
  <c r="D7" i="21" s="1"/>
  <c r="C3" i="21"/>
  <c r="B22" i="20"/>
  <c r="B21" i="20"/>
  <c r="B20" i="20"/>
  <c r="B23" i="20" s="1"/>
  <c r="B8" i="20"/>
  <c r="B18" i="20"/>
  <c r="E15" i="20"/>
  <c r="F15" i="20"/>
  <c r="G15" i="20" s="1"/>
  <c r="H15" i="20" s="1"/>
  <c r="I15" i="20" s="1"/>
  <c r="D15" i="20"/>
  <c r="E16" i="20"/>
  <c r="F16" i="20"/>
  <c r="G16" i="20" s="1"/>
  <c r="H16" i="20" s="1"/>
  <c r="I16" i="20" s="1"/>
  <c r="C16" i="20"/>
  <c r="C15" i="20"/>
  <c r="D14" i="20"/>
  <c r="E14" i="20"/>
  <c r="F14" i="20"/>
  <c r="G14" i="20"/>
  <c r="H14" i="20"/>
  <c r="I14" i="20"/>
  <c r="C14" i="20"/>
  <c r="D6" i="20"/>
  <c r="E6" i="20"/>
  <c r="F6" i="20"/>
  <c r="G6" i="20"/>
  <c r="H6" i="20"/>
  <c r="I6" i="20"/>
  <c r="C6" i="20"/>
  <c r="E5" i="20"/>
  <c r="F5" i="20"/>
  <c r="G5" i="20" s="1"/>
  <c r="H5" i="20" s="1"/>
  <c r="I5" i="20" s="1"/>
  <c r="D5" i="20"/>
  <c r="L7" i="20"/>
  <c r="L6" i="20"/>
  <c r="G20" i="60"/>
  <c r="B38" i="60" s="1"/>
  <c r="F17" i="60"/>
  <c r="F18" i="60" s="1"/>
  <c r="C15" i="60"/>
  <c r="D15" i="60"/>
  <c r="E15" i="60"/>
  <c r="B15" i="60"/>
  <c r="B19" i="60" s="1"/>
  <c r="D12" i="28"/>
  <c r="D10" i="28"/>
  <c r="C10" i="28"/>
  <c r="B10" i="28"/>
  <c r="B9" i="22"/>
  <c r="F9" i="19"/>
  <c r="B9" i="19"/>
  <c r="B1" i="46"/>
  <c r="D12" i="12"/>
  <c r="C10" i="11"/>
  <c r="C9" i="11"/>
  <c r="C9" i="10"/>
  <c r="F4" i="10"/>
  <c r="B9" i="9"/>
  <c r="B7" i="9"/>
  <c r="B3" i="7"/>
  <c r="C6" i="6"/>
  <c r="G5" i="6"/>
  <c r="C5" i="6"/>
  <c r="E11" i="3"/>
  <c r="C11" i="3"/>
  <c r="E10" i="3"/>
  <c r="C10" i="3"/>
  <c r="B8" i="1"/>
  <c r="B7" i="1"/>
  <c r="B11" i="30"/>
  <c r="B10" i="30"/>
  <c r="D21" i="28"/>
  <c r="C23" i="28"/>
  <c r="C22" i="28"/>
  <c r="C21" i="28"/>
  <c r="B21" i="28"/>
  <c r="E6" i="28"/>
  <c r="B9" i="28"/>
  <c r="D9" i="28"/>
  <c r="E9" i="28"/>
  <c r="F9" i="28"/>
  <c r="C9" i="28"/>
  <c r="B24" i="28" s="1"/>
  <c r="D24" i="28" s="1"/>
  <c r="B11" i="27"/>
  <c r="F13" i="27"/>
  <c r="B16" i="27" s="1"/>
  <c r="F12" i="27"/>
  <c r="B7" i="26"/>
  <c r="B8" i="26" s="1"/>
  <c r="G9" i="26"/>
  <c r="B16" i="26"/>
  <c r="G10" i="26" s="1"/>
  <c r="B10" i="25"/>
  <c r="B13" i="25"/>
  <c r="G9" i="25" s="1"/>
  <c r="G10" i="25" s="1"/>
  <c r="G8" i="24"/>
  <c r="B7" i="24"/>
  <c r="B10" i="22"/>
  <c r="D16" i="20"/>
  <c r="C17" i="20"/>
  <c r="B17" i="20"/>
  <c r="C7" i="20"/>
  <c r="B7" i="20"/>
  <c r="D4" i="20"/>
  <c r="E4" i="20" s="1"/>
  <c r="B30" i="19"/>
  <c r="B29" i="19"/>
  <c r="B28" i="19"/>
  <c r="D9" i="19"/>
  <c r="E9" i="19"/>
  <c r="C9" i="19"/>
  <c r="D6" i="19"/>
  <c r="E6" i="19"/>
  <c r="F6" i="19"/>
  <c r="C6" i="19"/>
  <c r="B18" i="19"/>
  <c r="B19" i="19" s="1"/>
  <c r="B16" i="19"/>
  <c r="B8" i="19"/>
  <c r="D5" i="19"/>
  <c r="D8" i="19" s="1"/>
  <c r="E5" i="19"/>
  <c r="E8" i="19" s="1"/>
  <c r="F5" i="19"/>
  <c r="C5" i="19"/>
  <c r="C8" i="19" s="1"/>
  <c r="F7" i="19"/>
  <c r="D8" i="18"/>
  <c r="E8" i="18"/>
  <c r="F8" i="18"/>
  <c r="C8" i="18"/>
  <c r="B8" i="18"/>
  <c r="E5" i="18"/>
  <c r="G5" i="18"/>
  <c r="G7" i="18"/>
  <c r="G6" i="18"/>
  <c r="G8" i="18" s="1"/>
  <c r="B9" i="18" s="1"/>
  <c r="D4" i="18"/>
  <c r="D5" i="18" s="1"/>
  <c r="E4" i="18"/>
  <c r="F4" i="18"/>
  <c r="F5" i="18" s="1"/>
  <c r="G4" i="18"/>
  <c r="C4" i="18"/>
  <c r="C5" i="18" s="1"/>
  <c r="B6" i="17"/>
  <c r="B4" i="17"/>
  <c r="B5" i="17" s="1"/>
  <c r="B7" i="17"/>
  <c r="C5" i="17" s="1"/>
  <c r="B13" i="16"/>
  <c r="B15" i="16"/>
  <c r="G11" i="16" s="1"/>
  <c r="G12" i="16"/>
  <c r="D6" i="16"/>
  <c r="E6" i="16"/>
  <c r="F6" i="16"/>
  <c r="G6" i="16"/>
  <c r="C6" i="16"/>
  <c r="C7" i="16" s="1"/>
  <c r="D5" i="16"/>
  <c r="E5" i="16" s="1"/>
  <c r="F5" i="16" s="1"/>
  <c r="G5" i="16" s="1"/>
  <c r="D4" i="16"/>
  <c r="B3" i="15"/>
  <c r="B4" i="15" s="1"/>
  <c r="B2" i="15"/>
  <c r="B5" i="15" s="1"/>
  <c r="B1" i="15"/>
  <c r="C6" i="14"/>
  <c r="B6" i="14"/>
  <c r="G3" i="14"/>
  <c r="F4" i="13"/>
  <c r="F8" i="13" s="1"/>
  <c r="E4" i="13"/>
  <c r="E8" i="13" s="1"/>
  <c r="F3" i="13"/>
  <c r="E3" i="13"/>
  <c r="F2" i="13"/>
  <c r="F5" i="13" s="1"/>
  <c r="E2" i="13"/>
  <c r="E5" i="13" s="1"/>
  <c r="B6" i="13"/>
  <c r="B2" i="13"/>
  <c r="B13" i="12"/>
  <c r="C6" i="12"/>
  <c r="B14" i="12"/>
  <c r="D10" i="12"/>
  <c r="D4" i="12"/>
  <c r="D7" i="12" s="1"/>
  <c r="C4" i="12"/>
  <c r="C7" i="12" s="1"/>
  <c r="B12" i="11"/>
  <c r="B11" i="11"/>
  <c r="B10" i="11"/>
  <c r="B9" i="11"/>
  <c r="B8" i="11"/>
  <c r="B7" i="11"/>
  <c r="F9" i="10"/>
  <c r="B11" i="10" s="1"/>
  <c r="D9" i="10"/>
  <c r="E9" i="10"/>
  <c r="E7" i="10"/>
  <c r="F7" i="10"/>
  <c r="D7" i="10"/>
  <c r="C7" i="10"/>
  <c r="B14" i="10"/>
  <c r="E5" i="10"/>
  <c r="E6" i="10" s="1"/>
  <c r="E8" i="10" s="1"/>
  <c r="F5" i="10"/>
  <c r="F6" i="10" s="1"/>
  <c r="D5" i="10"/>
  <c r="D6" i="10" s="1"/>
  <c r="D8" i="10" s="1"/>
  <c r="C5" i="10"/>
  <c r="C6" i="10" s="1"/>
  <c r="C8" i="10" s="1"/>
  <c r="C9" i="9"/>
  <c r="B10" i="9"/>
  <c r="B8" i="9"/>
  <c r="B6" i="9"/>
  <c r="F10" i="8"/>
  <c r="D10" i="8"/>
  <c r="E10" i="8"/>
  <c r="C10" i="8"/>
  <c r="D5" i="8"/>
  <c r="E5" i="8"/>
  <c r="F5" i="8"/>
  <c r="C5" i="8"/>
  <c r="D4" i="8"/>
  <c r="E4" i="8"/>
  <c r="F4" i="8"/>
  <c r="C4" i="8"/>
  <c r="B4" i="7"/>
  <c r="B10" i="6"/>
  <c r="E6" i="6"/>
  <c r="F6" i="6"/>
  <c r="D6" i="6"/>
  <c r="B11" i="6"/>
  <c r="G6" i="6" s="1"/>
  <c r="G4" i="6"/>
  <c r="F4" i="6"/>
  <c r="F5" i="6" s="1"/>
  <c r="E4" i="6"/>
  <c r="E5" i="6" s="1"/>
  <c r="D4" i="6"/>
  <c r="C4" i="6"/>
  <c r="D5" i="6"/>
  <c r="R39" i="66" l="1"/>
  <c r="O49" i="66" s="1"/>
  <c r="P49" i="66" s="1"/>
  <c r="Q38" i="66"/>
  <c r="Q39" i="66" s="1"/>
  <c r="O46" i="66" s="1" a="1"/>
  <c r="D19" i="60"/>
  <c r="E19" i="60"/>
  <c r="C19" i="60"/>
  <c r="C16" i="60"/>
  <c r="F20" i="60"/>
  <c r="B37" i="60" s="1"/>
  <c r="B27" i="60"/>
  <c r="B4" i="60"/>
  <c r="B8" i="60" s="1"/>
  <c r="E4" i="60"/>
  <c r="E12" i="60" s="1"/>
  <c r="E23" i="60" s="1"/>
  <c r="C4" i="60"/>
  <c r="C12" i="60" s="1"/>
  <c r="C23" i="60" s="1"/>
  <c r="D4" i="60"/>
  <c r="D12" i="60" s="1"/>
  <c r="D23" i="60" s="1"/>
  <c r="B46" i="65"/>
  <c r="B25" i="28"/>
  <c r="D25" i="28" s="1"/>
  <c r="B23" i="28"/>
  <c r="D23" i="28" s="1"/>
  <c r="B22" i="28"/>
  <c r="D22" i="28" s="1"/>
  <c r="J2" i="26"/>
  <c r="B13" i="23"/>
  <c r="B15" i="23" s="1"/>
  <c r="B30" i="23"/>
  <c r="B28" i="23"/>
  <c r="B29" i="23" s="1"/>
  <c r="B41" i="23"/>
  <c r="B47" i="23"/>
  <c r="B50" i="23" s="1"/>
  <c r="C10" i="22"/>
  <c r="C9" i="22"/>
  <c r="E10" i="22"/>
  <c r="E9" i="22"/>
  <c r="D5" i="22"/>
  <c r="D10" i="22" s="1"/>
  <c r="F5" i="22"/>
  <c r="F10" i="22" s="1"/>
  <c r="D9" i="22"/>
  <c r="F9" i="22"/>
  <c r="C7" i="21"/>
  <c r="E3" i="21"/>
  <c r="D7" i="20"/>
  <c r="D17" i="20"/>
  <c r="G9" i="28"/>
  <c r="B26" i="28" s="1"/>
  <c r="D26" i="28" s="1"/>
  <c r="F8" i="26"/>
  <c r="D8" i="26"/>
  <c r="G8" i="26"/>
  <c r="E8" i="26"/>
  <c r="C8" i="26"/>
  <c r="E17" i="20"/>
  <c r="F4" i="20"/>
  <c r="D7" i="16"/>
  <c r="F8" i="19"/>
  <c r="B20" i="19"/>
  <c r="B22" i="19" s="1"/>
  <c r="D22" i="19"/>
  <c r="B10" i="19"/>
  <c r="B11" i="19"/>
  <c r="D8" i="16"/>
  <c r="D10" i="16" s="1"/>
  <c r="D13" i="16" s="1"/>
  <c r="C8" i="16"/>
  <c r="C10" i="16" s="1"/>
  <c r="C13" i="16" s="1"/>
  <c r="E4" i="16"/>
  <c r="E6" i="13"/>
  <c r="E7" i="13" s="1"/>
  <c r="E9" i="13" s="1"/>
  <c r="B10" i="13" s="1"/>
  <c r="B12" i="13" s="1"/>
  <c r="F6" i="13"/>
  <c r="F7" i="13" s="1"/>
  <c r="F9" i="13" s="1"/>
  <c r="B11" i="13" s="1"/>
  <c r="B13" i="13" s="1"/>
  <c r="D8" i="12"/>
  <c r="D9" i="12" s="1"/>
  <c r="C8" i="12"/>
  <c r="C9" i="12" s="1"/>
  <c r="B12" i="10"/>
  <c r="B13" i="10" s="1"/>
  <c r="F8" i="10" s="1"/>
  <c r="B10" i="10" s="1"/>
  <c r="C6" i="8"/>
  <c r="E6" i="8"/>
  <c r="F6" i="8"/>
  <c r="D6" i="8"/>
  <c r="B9" i="6"/>
  <c r="G5" i="5"/>
  <c r="B10" i="5" s="1"/>
  <c r="B5" i="5"/>
  <c r="D5" i="5"/>
  <c r="E5" i="5"/>
  <c r="F5" i="5"/>
  <c r="C5" i="5"/>
  <c r="D4" i="5"/>
  <c r="E4" i="5"/>
  <c r="F4" i="5"/>
  <c r="G4" i="5"/>
  <c r="C4" i="5"/>
  <c r="B9" i="5"/>
  <c r="D9" i="3"/>
  <c r="D10" i="3" s="1"/>
  <c r="E9" i="3"/>
  <c r="C9" i="3"/>
  <c r="B15" i="3"/>
  <c r="D11" i="3"/>
  <c r="B18" i="3"/>
  <c r="E7" i="3"/>
  <c r="D5" i="3"/>
  <c r="E5" i="3"/>
  <c r="C5" i="3"/>
  <c r="B6" i="3" s="1"/>
  <c r="F10" i="2"/>
  <c r="C6" i="2" a="1"/>
  <c r="C6" i="2" s="1"/>
  <c r="B2" i="2"/>
  <c r="D8" i="1"/>
  <c r="C8" i="1"/>
  <c r="O46" i="66" l="1"/>
  <c r="O48" i="66"/>
  <c r="P48" i="66" s="1"/>
  <c r="O47" i="66"/>
  <c r="P47" i="66" s="1"/>
  <c r="E16" i="60"/>
  <c r="D16" i="60"/>
  <c r="B28" i="60"/>
  <c r="B29" i="60" s="1"/>
  <c r="B9" i="60"/>
  <c r="B32" i="60" s="1"/>
  <c r="B12" i="60"/>
  <c r="B23" i="60" s="1"/>
  <c r="C16" i="23"/>
  <c r="B16" i="23"/>
  <c r="B57" i="23" s="1"/>
  <c r="B42" i="23"/>
  <c r="B44" i="23" s="1"/>
  <c r="B31" i="23"/>
  <c r="C31" i="23"/>
  <c r="B14" i="23"/>
  <c r="B16" i="22"/>
  <c r="B15" i="22"/>
  <c r="E7" i="21"/>
  <c r="F3" i="21"/>
  <c r="F17" i="20"/>
  <c r="E7" i="20"/>
  <c r="G4" i="20"/>
  <c r="F7" i="20"/>
  <c r="C9" i="16"/>
  <c r="F22" i="19"/>
  <c r="H22" i="19"/>
  <c r="G22" i="19"/>
  <c r="E22" i="19"/>
  <c r="B24" i="19"/>
  <c r="B21" i="19"/>
  <c r="F4" i="16"/>
  <c r="E7" i="16"/>
  <c r="D9" i="16"/>
  <c r="C12" i="12"/>
  <c r="D7" i="8"/>
  <c r="D8" i="8"/>
  <c r="D9" i="8"/>
  <c r="E7" i="8"/>
  <c r="E9" i="8" s="1"/>
  <c r="E8" i="8"/>
  <c r="F7" i="8"/>
  <c r="F9" i="8"/>
  <c r="F8" i="8"/>
  <c r="C7" i="8"/>
  <c r="C9" i="8" s="1"/>
  <c r="C8" i="8"/>
  <c r="B16" i="3"/>
  <c r="B17" i="3" s="1"/>
  <c r="D12" i="3"/>
  <c r="C6" i="3"/>
  <c r="D6" i="3"/>
  <c r="E6" i="3" s="1"/>
  <c r="C12" i="3"/>
  <c r="B12" i="3"/>
  <c r="C7" i="2" a="1"/>
  <c r="C7" i="2" s="1"/>
  <c r="O54" i="66" l="1"/>
  <c r="P46" i="66"/>
  <c r="O53" i="66"/>
  <c r="O50" i="66"/>
  <c r="D17" i="60"/>
  <c r="D18" i="60" s="1"/>
  <c r="B16" i="60"/>
  <c r="E17" i="60"/>
  <c r="E18" i="60" s="1"/>
  <c r="C17" i="60"/>
  <c r="D24" i="60"/>
  <c r="E25" i="60"/>
  <c r="D25" i="60"/>
  <c r="C24" i="60"/>
  <c r="C25" i="60" s="1"/>
  <c r="B24" i="60"/>
  <c r="B9" i="24"/>
  <c r="C52" i="23"/>
  <c r="B52" i="23"/>
  <c r="B56" i="23"/>
  <c r="B53" i="23"/>
  <c r="B43" i="23"/>
  <c r="F7" i="21"/>
  <c r="G3" i="21"/>
  <c r="G7" i="21" s="1"/>
  <c r="B12" i="25"/>
  <c r="B11" i="25"/>
  <c r="G17" i="20"/>
  <c r="H4" i="20"/>
  <c r="G7" i="20"/>
  <c r="B25" i="19"/>
  <c r="E8" i="16"/>
  <c r="E9" i="16" s="1"/>
  <c r="G4" i="16"/>
  <c r="G7" i="16" s="1"/>
  <c r="F7" i="16"/>
  <c r="B13" i="8"/>
  <c r="B14" i="3"/>
  <c r="B13" i="3"/>
  <c r="C8" i="2" a="1"/>
  <c r="C8" i="2" s="1"/>
  <c r="C9" i="2" a="1"/>
  <c r="C9" i="2" s="1"/>
  <c r="C11" i="2" s="1" a="1"/>
  <c r="C11" i="2" s="1"/>
  <c r="B12" i="2" s="1"/>
  <c r="O52" i="66" l="1"/>
  <c r="O51" i="66"/>
  <c r="C20" i="60"/>
  <c r="C18" i="60"/>
  <c r="B34" i="60"/>
  <c r="B25" i="60"/>
  <c r="E20" i="60"/>
  <c r="B36" i="60" s="1"/>
  <c r="B17" i="60"/>
  <c r="B20" i="60" s="1"/>
  <c r="D20" i="60"/>
  <c r="B35" i="60" s="1"/>
  <c r="B9" i="21"/>
  <c r="I17" i="20"/>
  <c r="H17" i="20"/>
  <c r="I4" i="20"/>
  <c r="I7" i="20" s="1"/>
  <c r="H7" i="20"/>
  <c r="E10" i="16"/>
  <c r="E13" i="16" s="1"/>
  <c r="G8" i="16"/>
  <c r="G9" i="16" s="1"/>
  <c r="F8" i="16"/>
  <c r="F10" i="16" s="1"/>
  <c r="F13" i="16" s="1"/>
  <c r="B18" i="60" l="1"/>
  <c r="B33" i="60"/>
  <c r="B42" i="60" s="1"/>
  <c r="F9" i="16"/>
  <c r="G10" i="16"/>
  <c r="G13" i="16" s="1"/>
  <c r="B40" i="60" l="1"/>
  <c r="B41" i="60"/>
  <c r="B43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<sst xmlns="http://schemas.openxmlformats.org/spreadsheetml/2006/main" count="1046" uniqueCount="391">
  <si>
    <t>Cost Soufflé maker</t>
  </si>
  <si>
    <t xml:space="preserve">Economic life </t>
  </si>
  <si>
    <t>The machine will produce :</t>
  </si>
  <si>
    <t>per year</t>
  </si>
  <si>
    <t>Each costing</t>
  </si>
  <si>
    <t>Priced at</t>
  </si>
  <si>
    <t>Discount rate</t>
  </si>
  <si>
    <t>Tax rate</t>
  </si>
  <si>
    <t>Tax shield approach (OCF)</t>
  </si>
  <si>
    <t>NPV</t>
  </si>
  <si>
    <t>Year 0</t>
  </si>
  <si>
    <t>Year 1</t>
  </si>
  <si>
    <t>Year 2</t>
  </si>
  <si>
    <t>Year 3</t>
  </si>
  <si>
    <t>Year 4</t>
  </si>
  <si>
    <t>Investment</t>
  </si>
  <si>
    <t>Sales revenue</t>
  </si>
  <si>
    <t>Operating costs</t>
  </si>
  <si>
    <t>Depreciation</t>
  </si>
  <si>
    <t>Net working capital spending</t>
  </si>
  <si>
    <t>OCF</t>
  </si>
  <si>
    <t>Net Income</t>
  </si>
  <si>
    <t>EBIT</t>
  </si>
  <si>
    <t>Tax</t>
  </si>
  <si>
    <t>Incremental cash flow</t>
  </si>
  <si>
    <t>Required return</t>
  </si>
  <si>
    <t>NWC</t>
  </si>
  <si>
    <t>Capital Spending</t>
  </si>
  <si>
    <t>Recovery Period Class</t>
  </si>
  <si>
    <t>Year</t>
  </si>
  <si>
    <t>3 Years</t>
  </si>
  <si>
    <t>5 Years</t>
  </si>
  <si>
    <t>7 Years</t>
  </si>
  <si>
    <t>10 Years</t>
  </si>
  <si>
    <t>15 Years</t>
  </si>
  <si>
    <t>20 Years</t>
  </si>
  <si>
    <t>Net Cash Flow</t>
  </si>
  <si>
    <t>Book value in 3 years</t>
  </si>
  <si>
    <t>MACRS</t>
  </si>
  <si>
    <t>Aftertax salvage value</t>
  </si>
  <si>
    <t>Save before taxes per year</t>
  </si>
  <si>
    <t>Year 5</t>
  </si>
  <si>
    <t>Deprectiation</t>
  </si>
  <si>
    <t>IRR</t>
  </si>
  <si>
    <t>Discount Rate</t>
  </si>
  <si>
    <t>Acquisition cost</t>
  </si>
  <si>
    <t>Will be sold for</t>
  </si>
  <si>
    <t>Book Value _4</t>
  </si>
  <si>
    <t>NI</t>
  </si>
  <si>
    <t>The Techron I costs</t>
  </si>
  <si>
    <t>Pretax operating costs</t>
  </si>
  <si>
    <t>The Techron II costs</t>
  </si>
  <si>
    <t>3-year life</t>
  </si>
  <si>
    <t>5-year life</t>
  </si>
  <si>
    <t>Salvage value</t>
  </si>
  <si>
    <t>EAC_Techron_I</t>
  </si>
  <si>
    <t>OCF_Techron_I</t>
  </si>
  <si>
    <t>OCF_Techron_II</t>
  </si>
  <si>
    <t>EAC_Techron_II</t>
  </si>
  <si>
    <t>Pretax cost savings</t>
  </si>
  <si>
    <t>inventory</t>
  </si>
  <si>
    <t>Book Value_4</t>
  </si>
  <si>
    <t>The A costs</t>
  </si>
  <si>
    <t>The B costs</t>
  </si>
  <si>
    <t>4-year life</t>
  </si>
  <si>
    <t>6-year life</t>
  </si>
  <si>
    <t>OCF_A</t>
  </si>
  <si>
    <t>OCF_B</t>
  </si>
  <si>
    <t>EAC_A</t>
  </si>
  <si>
    <t>EAC_B</t>
  </si>
  <si>
    <t>NPV_A</t>
  </si>
  <si>
    <t>NPV_B</t>
  </si>
  <si>
    <t>Year 1</t>
  </si>
  <si>
    <t>Years 2-5</t>
  </si>
  <si>
    <t>Sales</t>
  </si>
  <si>
    <t>Variable costs</t>
  </si>
  <si>
    <t>Fixed costs</t>
  </si>
  <si>
    <t>Net income</t>
  </si>
  <si>
    <t>+ Depreciation</t>
  </si>
  <si>
    <t>Year 0</t>
  </si>
  <si>
    <t>Machine A costs</t>
  </si>
  <si>
    <t>Machine B costs</t>
  </si>
  <si>
    <t>Machine A</t>
  </si>
  <si>
    <t>Machine B</t>
  </si>
  <si>
    <t>EBT</t>
  </si>
  <si>
    <t>The sales for each machine will be :</t>
  </si>
  <si>
    <t>9-year life</t>
  </si>
  <si>
    <t>Project A</t>
  </si>
  <si>
    <t>Project B</t>
  </si>
  <si>
    <t>Nominal interest rate</t>
  </si>
  <si>
    <t>Inflation rate</t>
  </si>
  <si>
    <t>Real interest rate</t>
  </si>
  <si>
    <t>Aftertax revenue in Year 1 in real terms</t>
  </si>
  <si>
    <t>PVPG of revenues</t>
  </si>
  <si>
    <t>Aftertax costs in year 1 in real terms</t>
  </si>
  <si>
    <t>PVPG of costs</t>
  </si>
  <si>
    <t>Value of the firm</t>
  </si>
  <si>
    <t>Year 2</t>
  </si>
  <si>
    <t>Year 3</t>
  </si>
  <si>
    <t>Year 4</t>
  </si>
  <si>
    <t>Year 5</t>
  </si>
  <si>
    <t>Expenses</t>
  </si>
  <si>
    <t>Capital spending</t>
  </si>
  <si>
    <t>Total cash flow</t>
  </si>
  <si>
    <t>Nominal cash flows</t>
  </si>
  <si>
    <t>Equipment costs</t>
  </si>
  <si>
    <t>Operate costs</t>
  </si>
  <si>
    <t>EAC</t>
  </si>
  <si>
    <t>Saved salaries</t>
  </si>
  <si>
    <t xml:space="preserve"> Buy New machine</t>
  </si>
  <si>
    <t>Book value</t>
  </si>
  <si>
    <t>Market value</t>
  </si>
  <si>
    <t>four years left</t>
  </si>
  <si>
    <t>Aftertax cost value</t>
  </si>
  <si>
    <t>Keep old machine:</t>
  </si>
  <si>
    <t>Taxes</t>
  </si>
  <si>
    <t>Sell old machine and Buy new Machine:</t>
  </si>
  <si>
    <t>Differential NPV</t>
  </si>
  <si>
    <t>Operating revenues</t>
  </si>
  <si>
    <t>Year 6</t>
  </si>
  <si>
    <t>Year 7</t>
  </si>
  <si>
    <t>Production costs</t>
  </si>
  <si>
    <t>Real discount rate</t>
  </si>
  <si>
    <t>Nominal discount rate</t>
  </si>
  <si>
    <t>Nominal Cash Flows</t>
  </si>
  <si>
    <t>Real Cash Flows</t>
  </si>
  <si>
    <t>Real cost increase</t>
  </si>
  <si>
    <t>PVAG of aftertax revenues</t>
  </si>
  <si>
    <t>PVAG of aftertax costs</t>
  </si>
  <si>
    <t>PV of depreciation tax shield</t>
  </si>
  <si>
    <t>Grow Rate</t>
  </si>
  <si>
    <t>PV of fixed costs</t>
  </si>
  <si>
    <t>PV of depreciation</t>
  </si>
  <si>
    <t>PV of variable costs</t>
  </si>
  <si>
    <t>Marketing Cost</t>
  </si>
  <si>
    <t>Land</t>
  </si>
  <si>
    <t xml:space="preserve">Units for Sell </t>
  </si>
  <si>
    <t>The machine’s current salvage value is :</t>
  </si>
  <si>
    <t>Current book value</t>
  </si>
  <si>
    <t>Maintenance costs</t>
  </si>
  <si>
    <t>next five years</t>
  </si>
  <si>
    <t>At the end of five years</t>
  </si>
  <si>
    <t>Machine costs</t>
  </si>
  <si>
    <t>Now</t>
  </si>
  <si>
    <t xml:space="preserve">In five years, a replacement machine will cost </t>
  </si>
  <si>
    <t>Cost Of Keep Old Machine</t>
  </si>
  <si>
    <t>AfterTax Salvage value</t>
  </si>
  <si>
    <t>Sell old Machine and buy new Machine</t>
  </si>
  <si>
    <t>Purchase new machine</t>
  </si>
  <si>
    <t>Sell old machine</t>
  </si>
  <si>
    <t>Taxes on old machine</t>
  </si>
  <si>
    <t>Total</t>
  </si>
  <si>
    <t>Maintenance cost</t>
  </si>
  <si>
    <t>Sell machine</t>
  </si>
  <si>
    <t>Lost sale of old</t>
  </si>
  <si>
    <t>Taxes on lost sale of old</t>
  </si>
  <si>
    <t>EAC_Replace</t>
  </si>
  <si>
    <t>EAC_Keep</t>
  </si>
  <si>
    <t>Old machine :</t>
  </si>
  <si>
    <t>Replacement machine :</t>
  </si>
  <si>
    <t>Grow Rate Sales Price</t>
  </si>
  <si>
    <t>PV of revenues</t>
  </si>
  <si>
    <t>Unit Sales</t>
  </si>
  <si>
    <t>Bid Price</t>
  </si>
  <si>
    <t>a.</t>
  </si>
  <si>
    <t>Price of unit</t>
  </si>
  <si>
    <t>NPV (a)</t>
  </si>
  <si>
    <t>The minimum number of cartons sold to still break even : (b)</t>
  </si>
  <si>
    <t>The highest level of fixed costs: (c)</t>
  </si>
  <si>
    <t xml:space="preserve">NPV </t>
  </si>
  <si>
    <t>In addition to the contract</t>
  </si>
  <si>
    <t xml:space="preserve">In Addition Sales </t>
  </si>
  <si>
    <t>NPV of market sales</t>
  </si>
  <si>
    <t>Old computer costs</t>
  </si>
  <si>
    <t>New computer costs</t>
  </si>
  <si>
    <t xml:space="preserve">New Computer Depreciation </t>
  </si>
  <si>
    <t xml:space="preserve">Old Computer Depreciation </t>
  </si>
  <si>
    <t>Old computer Sell now</t>
  </si>
  <si>
    <t>Old computer Sell in two years</t>
  </si>
  <si>
    <t>Operating save costs New computer</t>
  </si>
  <si>
    <t>OCF New Computer</t>
  </si>
  <si>
    <t>Capital Spending New Computer</t>
  </si>
  <si>
    <t>NPV New Computer</t>
  </si>
  <si>
    <t>EAC New Computer</t>
  </si>
  <si>
    <t>OCF Old Computer</t>
  </si>
  <si>
    <t>Capital Spending Old Computer</t>
  </si>
  <si>
    <t>NPV Old Computer</t>
  </si>
  <si>
    <t>EAC Old Computer</t>
  </si>
  <si>
    <t>b,</t>
  </si>
  <si>
    <t>t</t>
  </si>
  <si>
    <t>New computer</t>
  </si>
  <si>
    <t>Old computer</t>
  </si>
  <si>
    <t>Difference</t>
  </si>
  <si>
    <t>Physical production, in units</t>
  </si>
  <si>
    <t>Labor input, in hours</t>
  </si>
  <si>
    <t>Energy input, physical units</t>
  </si>
  <si>
    <t>Labor costs</t>
  </si>
  <si>
    <t>Energy costs</t>
  </si>
  <si>
    <t>Real labor cost each year</t>
  </si>
  <si>
    <t>Real energy cost each year</t>
  </si>
  <si>
    <t>Real Depreciation</t>
  </si>
  <si>
    <t>Tax Rate</t>
  </si>
  <si>
    <t>PVPG</t>
  </si>
  <si>
    <t>Grow Rate Production Cost</t>
  </si>
  <si>
    <t>Contract</t>
  </si>
  <si>
    <t>Spot</t>
  </si>
  <si>
    <t xml:space="preserve">Equipment </t>
  </si>
  <si>
    <t xml:space="preserve">Land </t>
  </si>
  <si>
    <t xml:space="preserve">NWC </t>
  </si>
  <si>
    <t xml:space="preserve">Total </t>
  </si>
  <si>
    <t>Year 6</t>
  </si>
  <si>
    <t>VC</t>
  </si>
  <si>
    <t>FC</t>
  </si>
  <si>
    <t>Dep.</t>
  </si>
  <si>
    <t>+ Dep.</t>
  </si>
  <si>
    <t>Beg. NWC</t>
  </si>
  <si>
    <t>End NWC</t>
  </si>
  <si>
    <t>Book value of equipment</t>
  </si>
  <si>
    <t>Taxes on sale of equipment</t>
  </si>
  <si>
    <t>Time</t>
  </si>
  <si>
    <t>CFO</t>
  </si>
  <si>
    <t>Payback period</t>
  </si>
  <si>
    <t>years</t>
  </si>
  <si>
    <t>Profitability index</t>
  </si>
  <si>
    <t>NPER</t>
  </si>
  <si>
    <t xml:space="preserve">GrowthRateProductionCosts </t>
  </si>
  <si>
    <t>Quantity</t>
  </si>
  <si>
    <t>P</t>
  </si>
  <si>
    <t>Price</t>
  </si>
  <si>
    <t>for five years</t>
  </si>
  <si>
    <t xml:space="preserve">Replace now </t>
  </si>
  <si>
    <t>per unit</t>
  </si>
  <si>
    <t>GrowthRateInNWC</t>
  </si>
  <si>
    <t>Investement cost</t>
  </si>
  <si>
    <t>TaxRate</t>
  </si>
  <si>
    <t>AfterTaxSalvageValue</t>
  </si>
  <si>
    <t>1.Step</t>
  </si>
  <si>
    <t>right side</t>
  </si>
  <si>
    <t>Pretax cost savings necessary</t>
  </si>
  <si>
    <t>2.Step</t>
  </si>
  <si>
    <t>left side</t>
  </si>
  <si>
    <t>3.Step</t>
  </si>
  <si>
    <t xml:space="preserve">result </t>
  </si>
  <si>
    <t>Result</t>
  </si>
  <si>
    <t>units per year</t>
  </si>
  <si>
    <t>Steps</t>
  </si>
  <si>
    <t>This price makes NPV = 100000$</t>
  </si>
  <si>
    <t>Positive factor</t>
  </si>
  <si>
    <t>SalvageValue</t>
  </si>
  <si>
    <t>The new computer after five years</t>
  </si>
  <si>
    <t>Product A</t>
  </si>
  <si>
    <t>Product B</t>
  </si>
  <si>
    <t>Initial cash outlay for building modifications</t>
  </si>
  <si>
    <t>Initial cash outlay for equipment</t>
  </si>
  <si>
    <t>Annual pretax cash revenues (generated for 15 years)</t>
  </si>
  <si>
    <t>Annual pretax expenditures (generated for 15 years)</t>
  </si>
  <si>
    <t>Cost of restoring the building after 15 years</t>
  </si>
  <si>
    <t>on each alternative</t>
  </si>
  <si>
    <t>Required rate</t>
  </si>
  <si>
    <t>The purchase price of the building</t>
  </si>
  <si>
    <t>Continue to rent:</t>
  </si>
  <si>
    <t>Rent</t>
  </si>
  <si>
    <t>Annually</t>
  </si>
  <si>
    <t>Product A:</t>
  </si>
  <si>
    <t>Initial cash outlay:</t>
  </si>
  <si>
    <t>Building modifications</t>
  </si>
  <si>
    <t>Equipment</t>
  </si>
  <si>
    <t> Years 1-14</t>
  </si>
  <si>
    <t> Year 15</t>
  </si>
  <si>
    <t>Revenue</t>
  </si>
  <si>
    <t>Expenditures</t>
  </si>
  <si>
    <t>Restoration cost</t>
  </si>
  <si>
    <t>Product B:</t>
  </si>
  <si>
    <t>NPV of differential cash flows between Product A and continuing to rent:</t>
  </si>
  <si>
    <t>NPV of differential cash flows between Product B and continuing to rent:</t>
  </si>
  <si>
    <t>Revenues</t>
  </si>
  <si>
    <t>Other costs</t>
  </si>
  <si>
    <t>Lease machinery</t>
  </si>
  <si>
    <t>Revenues will increase by</t>
  </si>
  <si>
    <t>per year in real terms</t>
  </si>
  <si>
    <t>Labor costs will increase by</t>
  </si>
  <si>
    <t xml:space="preserve">Other costs will increase by </t>
  </si>
  <si>
    <t>InflationRate</t>
  </si>
  <si>
    <t>The required rate</t>
  </si>
  <si>
    <t>in real terms</t>
  </si>
  <si>
    <t>In nominal terms</t>
  </si>
  <si>
    <t>In real terms</t>
  </si>
  <si>
    <t>per hour</t>
  </si>
  <si>
    <t>Labor costs will increase</t>
  </si>
  <si>
    <t>per physical unit</t>
  </si>
  <si>
    <t>Energy costs will increase</t>
  </si>
  <si>
    <t>The inflation rate</t>
  </si>
  <si>
    <t>Headache only:</t>
  </si>
  <si>
    <t> Year 1</t>
  </si>
  <si>
    <t>per package in real terms for BOTH</t>
  </si>
  <si>
    <t>The headache-only</t>
  </si>
  <si>
    <t>packages a year</t>
  </si>
  <si>
    <t>The headache and arthritis</t>
  </si>
  <si>
    <t>Costs of production</t>
  </si>
  <si>
    <t>for the headache-only brand in real terms</t>
  </si>
  <si>
    <t>for the headache and arthritis pill in real terms</t>
  </si>
  <si>
    <t>Equipment costing</t>
  </si>
  <si>
    <t xml:space="preserve">The headache-only </t>
  </si>
  <si>
    <t>Salvage Value</t>
  </si>
  <si>
    <t>Headache and arthritis:</t>
  </si>
  <si>
    <t>AfterTaxSalavgeValue</t>
  </si>
  <si>
    <t>New</t>
  </si>
  <si>
    <t>Lost sales</t>
  </si>
  <si>
    <t>a new mahogany dining room table set</t>
  </si>
  <si>
    <t xml:space="preserve"> of sales</t>
  </si>
  <si>
    <t>IC</t>
  </si>
  <si>
    <t xml:space="preserve"> of sales produced and stock-piled in the year prior to sales</t>
  </si>
  <si>
    <t>The new table</t>
  </si>
  <si>
    <t>will cause a loss of tables per year</t>
  </si>
  <si>
    <t>per table</t>
  </si>
  <si>
    <t xml:space="preserve">Old VC </t>
  </si>
  <si>
    <t>Old IC</t>
  </si>
  <si>
    <t>Old NPER</t>
  </si>
  <si>
    <t>will continue indefinitely</t>
  </si>
  <si>
    <t>Equipment cost</t>
  </si>
  <si>
    <t xml:space="preserve"> today</t>
  </si>
  <si>
    <t>In five years  if purchased today</t>
  </si>
  <si>
    <t>In five years  if purchased in two years</t>
  </si>
  <si>
    <t>Old price tables</t>
  </si>
  <si>
    <t>New table</t>
  </si>
  <si>
    <t>Old table</t>
  </si>
  <si>
    <t>Taxes on salvage</t>
  </si>
  <si>
    <t>Sell equipment</t>
  </si>
  <si>
    <t>Beginning</t>
  </si>
  <si>
    <t>Ending</t>
  </si>
  <si>
    <t>Change</t>
  </si>
  <si>
    <t>Inventory</t>
  </si>
  <si>
    <t>Q</t>
  </si>
  <si>
    <t>Quanity</t>
  </si>
  <si>
    <t>The contract calls for the delivery per year</t>
  </si>
  <si>
    <t>under contract</t>
  </si>
  <si>
    <t>on Spot market</t>
  </si>
  <si>
    <t>The required NWC percentage Year 1 from Sales</t>
  </si>
  <si>
    <t>The cost of reclamation</t>
  </si>
  <si>
    <t xml:space="preserve">Charitable expense </t>
  </si>
  <si>
    <t>This will occur in Year 6</t>
  </si>
  <si>
    <t>Borrow Tax (Tax Credit on Interest)</t>
  </si>
  <si>
    <t>∆NWC</t>
  </si>
  <si>
    <t>of its initial purchase price in four years</t>
  </si>
  <si>
    <t>Sunk costs</t>
  </si>
  <si>
    <t>Test marketing</t>
  </si>
  <si>
    <t>Initially invest</t>
  </si>
  <si>
    <t xml:space="preserve">in production equipment </t>
  </si>
  <si>
    <t>at the end of four years</t>
  </si>
  <si>
    <t>Market</t>
  </si>
  <si>
    <t>OEM</t>
  </si>
  <si>
    <t>RM</t>
  </si>
  <si>
    <t>per tire</t>
  </si>
  <si>
    <t>Growth</t>
  </si>
  <si>
    <t xml:space="preserve">Marketing and general administration costs </t>
  </si>
  <si>
    <t>the first year</t>
  </si>
  <si>
    <t>Inflation Rate</t>
  </si>
  <si>
    <t>Automotive industry analysts expect</t>
  </si>
  <si>
    <t>Production to grow</t>
  </si>
  <si>
    <t>per year thereafter</t>
  </si>
  <si>
    <t xml:space="preserve">Goodweek Tires expects the SuperTread to capture </t>
  </si>
  <si>
    <t>Industry analysts estimate that the replacement tire market size</t>
  </si>
  <si>
    <t>market share</t>
  </si>
  <si>
    <t>The immediate initial working capital requirement</t>
  </si>
  <si>
    <t xml:space="preserve">of sales Thereafter  requirement </t>
  </si>
  <si>
    <t>NWC:</t>
  </si>
  <si>
    <t>To produce new cars this year</t>
  </si>
  <si>
    <t>The research and development costs</t>
  </si>
  <si>
    <t>The nominal growth</t>
  </si>
  <si>
    <t xml:space="preserve"> will increase  above the inflation rate</t>
  </si>
  <si>
    <t>Automobiles sold</t>
  </si>
  <si>
    <t>Tires for automobiles sold</t>
  </si>
  <si>
    <t>SuperTread tires sold</t>
  </si>
  <si>
    <t>The number of tires sold in the OEM market will be:</t>
  </si>
  <si>
    <t>The number of tires sold in the replacement market will be:</t>
  </si>
  <si>
    <t>Total tires sold in market</t>
  </si>
  <si>
    <t>Data on Market OEM:</t>
  </si>
  <si>
    <t>Data on Market RM:</t>
  </si>
  <si>
    <t>Target OEM:</t>
  </si>
  <si>
    <t>Target RM:</t>
  </si>
  <si>
    <t>So the price each year will be:</t>
  </si>
  <si>
    <t>Replacement</t>
  </si>
  <si>
    <t>OEM market</t>
  </si>
  <si>
    <t>Replacement market</t>
  </si>
  <si>
    <t>The revenue each year will be:</t>
  </si>
  <si>
    <t>Mkt. and general costs</t>
  </si>
  <si>
    <t>We will calculate the nominal cash flows</t>
  </si>
  <si>
    <t>NWC cash flow</t>
  </si>
  <si>
    <t>The net working capital cash flows will be:</t>
  </si>
  <si>
    <t>Discounted cash flow</t>
  </si>
  <si>
    <t>DCFO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</si>
</sst>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164" formatCode="#,##0.0000"/>
    <numFmt numFmtId="165" formatCode="0.0%"/>
    <numFmt numFmtId="166" formatCode="&quot;$&quot;#,##0"/>
    <numFmt numFmtId="167" formatCode="&quot;$&quot;#,##0.00"/>
    <numFmt numFmtId="168" formatCode="&quot;$&quot;#,##0.0000_);[Red]\(&quot;$&quot;#,##0.0000\)"/>
    <numFmt numFmtId="169" formatCode="0.00000000000000%"/>
    <numFmt numFmtId="170" formatCode="0.0000%"/>
    <numFmt numFmtId="180" formatCode="#,##0.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i/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name val="Arial Narrow"/>
      <family val="2"/>
    </font>
    <font>
      <b/>
      <sz val="12"/>
      <color indexed="9"/>
      <name val="Arial Narrow"/>
      <family val="2"/>
    </font>
    <font>
      <sz val="12"/>
      <color indexed="63"/>
      <name val="Arial Narrow"/>
      <family val="2"/>
    </font>
    <font>
      <b/>
      <sz val="12"/>
      <color indexed="63"/>
      <name val="Arial Narrow"/>
      <family val="2"/>
    </font>
    <font>
      <b/>
      <sz val="11.5"/>
      <color indexed="63"/>
      <name val="Arial Narrow"/>
      <family val="2"/>
    </font>
    <font>
      <b/>
      <sz val="11.5"/>
      <color indexed="9"/>
      <name val="Arial Narrow"/>
      <family val="2"/>
    </font>
    <font>
      <sz val="11.5"/>
      <color indexed="63"/>
      <name val="Arial Narrow"/>
      <family val="2"/>
    </font>
    <font>
      <sz val="11.5"/>
      <name val="Arial Narrow"/>
      <family val="2"/>
    </font>
    <font>
      <sz val="11"/>
      <color indexed="8"/>
      <name val="Arial"/>
      <family val="2"/>
    </font>
    <font>
      <u/>
      <sz val="11"/>
      <color indexed="8"/>
      <name val="Times New Roman"/>
      <family val="2"/>
    </font>
    <font>
      <sz val="11"/>
      <color indexed="8"/>
      <name val="Times New Roman"/>
      <family val="2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  <font>
      <b/>
      <i/>
      <sz val="12"/>
      <color indexed="8"/>
      <name val="Arial Narrow"/>
      <family val="2"/>
    </font>
    <font>
      <b/>
      <i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u/>
      <sz val="12"/>
      <color indexed="63"/>
      <name val="Arial Narrow"/>
      <family val="2"/>
    </font>
    <font>
      <i/>
      <sz val="12"/>
      <color indexed="8"/>
      <name val="Arial Narrow"/>
      <family val="2"/>
    </font>
    <font>
      <u/>
      <sz val="12"/>
      <color indexed="8"/>
      <name val="Arial Narrow"/>
      <family val="2"/>
    </font>
    <font>
      <u/>
      <sz val="12"/>
      <name val="Arial Narrow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5622A"/>
        <bgColor indexed="64"/>
      </patternFill>
    </fill>
    <fill>
      <patternFill patternType="solid">
        <fgColor rgb="FFFFF0D8"/>
        <bgColor indexed="64"/>
      </patternFill>
    </fill>
    <fill>
      <patternFill patternType="solid">
        <fgColor rgb="FFFFE1B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32" fillId="0" borderId="0"/>
    <xf numFmtId="0" fontId="6" fillId="0" borderId="0"/>
  </cellStyleXfs>
  <cellXfs count="376">
    <xf numFmtId="0" fontId="0" fillId="0" borderId="0" xfId="0"/>
    <xf numFmtId="6" fontId="9" fillId="0" borderId="0" xfId="0" applyNumberFormat="1" applyFont="1"/>
    <xf numFmtId="0" fontId="9" fillId="0" borderId="0" xfId="0" applyFont="1"/>
    <xf numFmtId="8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left" vertical="top" wrapText="1" indent="1"/>
    </xf>
    <xf numFmtId="0" fontId="13" fillId="2" borderId="0" xfId="0" applyFont="1" applyFill="1" applyAlignment="1">
      <alignment horizontal="right" vertical="top" wrapText="1" indent="1"/>
    </xf>
    <xf numFmtId="0" fontId="14" fillId="3" borderId="0" xfId="0" applyFont="1" applyFill="1" applyAlignment="1">
      <alignment horizontal="left" vertical="top" wrapText="1" indent="1"/>
    </xf>
    <xf numFmtId="0" fontId="15" fillId="3" borderId="0" xfId="0" applyFont="1" applyFill="1" applyAlignment="1">
      <alignment horizontal="left" vertical="top" wrapText="1" indent="1"/>
    </xf>
    <xf numFmtId="6" fontId="14" fillId="3" borderId="0" xfId="0" applyNumberFormat="1" applyFont="1" applyFill="1" applyAlignment="1">
      <alignment horizontal="right" vertical="top" shrinkToFit="1"/>
    </xf>
    <xf numFmtId="6" fontId="12" fillId="3" borderId="0" xfId="0" applyNumberFormat="1" applyFont="1" applyFill="1" applyAlignment="1">
      <alignment horizontal="right" vertical="center" wrapText="1"/>
    </xf>
    <xf numFmtId="6" fontId="12" fillId="3" borderId="0" xfId="0" applyNumberFormat="1" applyFont="1" applyFill="1" applyAlignment="1">
      <alignment horizontal="right" wrapText="1"/>
    </xf>
    <xf numFmtId="6" fontId="14" fillId="3" borderId="0" xfId="0" applyNumberFormat="1" applyFont="1" applyFill="1" applyAlignment="1">
      <alignment horizontal="right" vertical="top" wrapText="1"/>
    </xf>
    <xf numFmtId="8" fontId="12" fillId="3" borderId="0" xfId="0" applyNumberFormat="1" applyFont="1" applyFill="1" applyAlignment="1">
      <alignment horizontal="right" wrapText="1"/>
    </xf>
    <xf numFmtId="0" fontId="13" fillId="2" borderId="0" xfId="0" applyFont="1" applyFill="1" applyAlignment="1">
      <alignment horizontal="center" vertical="top" wrapText="1"/>
    </xf>
    <xf numFmtId="0" fontId="17" fillId="2" borderId="0" xfId="0" applyFont="1" applyFill="1" applyAlignment="1">
      <alignment horizontal="center" vertical="top" wrapText="1"/>
    </xf>
    <xf numFmtId="0" fontId="17" fillId="2" borderId="0" xfId="0" applyFont="1" applyFill="1" applyAlignment="1">
      <alignment horizontal="left" vertical="top" wrapText="1" indent="1"/>
    </xf>
    <xf numFmtId="1" fontId="18" fillId="3" borderId="0" xfId="0" applyNumberFormat="1" applyFont="1" applyFill="1" applyAlignment="1">
      <alignment horizontal="center" vertical="top" shrinkToFit="1"/>
    </xf>
    <xf numFmtId="164" fontId="18" fillId="3" borderId="0" xfId="0" applyNumberFormat="1" applyFont="1" applyFill="1" applyAlignment="1">
      <alignment horizontal="center" vertical="top" shrinkToFit="1"/>
    </xf>
    <xf numFmtId="164" fontId="18" fillId="3" borderId="0" xfId="0" applyNumberFormat="1" applyFont="1" applyFill="1" applyAlignment="1">
      <alignment horizontal="left" vertical="top" indent="2" shrinkToFit="1"/>
    </xf>
    <xf numFmtId="164" fontId="19" fillId="3" borderId="0" xfId="0" applyNumberFormat="1" applyFont="1" applyFill="1" applyAlignment="1">
      <alignment horizontal="left" vertical="center" wrapText="1"/>
    </xf>
    <xf numFmtId="164" fontId="19" fillId="3" borderId="0" xfId="0" applyNumberFormat="1" applyFont="1" applyFill="1" applyAlignment="1">
      <alignment horizontal="left" wrapText="1"/>
    </xf>
    <xf numFmtId="0" fontId="15" fillId="0" borderId="0" xfId="0" applyFont="1" applyFill="1" applyAlignment="1">
      <alignment horizontal="left" vertical="top" wrapText="1" indent="1"/>
    </xf>
    <xf numFmtId="6" fontId="0" fillId="0" borderId="0" xfId="0" applyNumberFormat="1"/>
    <xf numFmtId="8" fontId="0" fillId="0" borderId="0" xfId="0" applyNumberFormat="1"/>
    <xf numFmtId="8" fontId="14" fillId="3" borderId="0" xfId="0" applyNumberFormat="1" applyFont="1" applyFill="1" applyAlignment="1">
      <alignment horizontal="right" vertical="top" shrinkToFit="1"/>
    </xf>
    <xf numFmtId="164" fontId="18" fillId="0" borderId="2" xfId="0" applyNumberFormat="1" applyFont="1" applyFill="1" applyBorder="1" applyAlignment="1">
      <alignment horizontal="center" vertical="top" shrinkToFit="1"/>
    </xf>
    <xf numFmtId="164" fontId="18" fillId="0" borderId="0" xfId="0" applyNumberFormat="1" applyFont="1" applyFill="1" applyBorder="1" applyAlignment="1">
      <alignment horizontal="center" vertical="top" shrinkToFit="1"/>
    </xf>
    <xf numFmtId="0" fontId="21" fillId="0" borderId="0" xfId="0" applyFont="1" applyAlignment="1">
      <alignment horizontal="right" vertical="top" wrapText="1"/>
    </xf>
    <xf numFmtId="3" fontId="20" fillId="0" borderId="0" xfId="0" applyNumberFormat="1" applyFont="1" applyAlignment="1">
      <alignment horizontal="right" vertical="top" shrinkToFit="1"/>
    </xf>
    <xf numFmtId="0" fontId="12" fillId="0" borderId="0" xfId="0" applyFont="1" applyAlignment="1">
      <alignment horizontal="left" wrapText="1"/>
    </xf>
    <xf numFmtId="6" fontId="23" fillId="0" borderId="0" xfId="0" applyNumberFormat="1" applyFont="1" applyAlignment="1">
      <alignment horizontal="right" vertical="top" wrapText="1"/>
    </xf>
    <xf numFmtId="0" fontId="12" fillId="0" borderId="3" xfId="0" applyFont="1" applyBorder="1" applyAlignment="1">
      <alignment horizontal="left" wrapText="1"/>
    </xf>
    <xf numFmtId="0" fontId="22" fillId="0" borderId="0" xfId="0" applyFont="1" applyAlignment="1">
      <alignment horizontal="left" vertical="top" wrapText="1" indent="2"/>
    </xf>
    <xf numFmtId="0" fontId="22" fillId="0" borderId="0" xfId="0" applyFont="1" applyAlignment="1">
      <alignment horizontal="right" vertical="top" wrapText="1"/>
    </xf>
    <xf numFmtId="0" fontId="23" fillId="6" borderId="6" xfId="0" applyFont="1" applyFill="1" applyBorder="1" applyAlignment="1">
      <alignment horizontal="left" vertical="top" wrapText="1" indent="1"/>
    </xf>
    <xf numFmtId="0" fontId="23" fillId="6" borderId="3" xfId="0" applyFont="1" applyFill="1" applyBorder="1" applyAlignment="1">
      <alignment horizontal="right" vertical="top" wrapText="1" indent="1"/>
    </xf>
    <xf numFmtId="6" fontId="23" fillId="6" borderId="3" xfId="0" applyNumberFormat="1" applyFont="1" applyFill="1" applyBorder="1" applyAlignment="1">
      <alignment horizontal="right" vertical="top" shrinkToFit="1"/>
    </xf>
    <xf numFmtId="6" fontId="23" fillId="6" borderId="7" xfId="0" applyNumberFormat="1" applyFont="1" applyFill="1" applyBorder="1" applyAlignment="1">
      <alignment horizontal="right" vertical="top" shrinkToFit="1"/>
    </xf>
    <xf numFmtId="0" fontId="23" fillId="6" borderId="7" xfId="0" applyFont="1" applyFill="1" applyBorder="1" applyAlignment="1">
      <alignment horizontal="left" vertical="top" wrapText="1" indent="1"/>
    </xf>
    <xf numFmtId="6" fontId="23" fillId="6" borderId="3" xfId="0" applyNumberFormat="1" applyFont="1" applyFill="1" applyBorder="1" applyAlignment="1">
      <alignment horizontal="right" vertical="top" wrapText="1"/>
    </xf>
    <xf numFmtId="6" fontId="23" fillId="6" borderId="7" xfId="0" applyNumberFormat="1" applyFont="1" applyFill="1" applyBorder="1" applyAlignment="1">
      <alignment horizontal="right" vertical="top" wrapText="1"/>
    </xf>
    <xf numFmtId="0" fontId="24" fillId="6" borderId="7" xfId="0" applyFont="1" applyFill="1" applyBorder="1" applyAlignment="1">
      <alignment horizontal="left" vertical="top" wrapText="1" indent="1"/>
    </xf>
    <xf numFmtId="0" fontId="23" fillId="6" borderId="3" xfId="0" applyFont="1" applyFill="1" applyBorder="1" applyAlignment="1">
      <alignment horizontal="right" vertical="top" wrapText="1"/>
    </xf>
    <xf numFmtId="166" fontId="23" fillId="6" borderId="7" xfId="0" applyNumberFormat="1" applyFont="1" applyFill="1" applyBorder="1" applyAlignment="1">
      <alignment horizontal="right" vertical="top" shrinkToFit="1"/>
    </xf>
    <xf numFmtId="0" fontId="24" fillId="6" borderId="8" xfId="0" applyFont="1" applyFill="1" applyBorder="1" applyAlignment="1">
      <alignment horizontal="left" vertical="top" wrapText="1" indent="1"/>
    </xf>
    <xf numFmtId="0" fontId="23" fillId="6" borderId="8" xfId="0" applyFont="1" applyFill="1" applyBorder="1" applyAlignment="1">
      <alignment horizontal="right" vertical="top" wrapText="1" indent="1"/>
    </xf>
    <xf numFmtId="0" fontId="23" fillId="6" borderId="2" xfId="0" applyFont="1" applyFill="1" applyBorder="1" applyAlignment="1">
      <alignment horizontal="center" vertical="top" wrapText="1"/>
    </xf>
    <xf numFmtId="0" fontId="23" fillId="6" borderId="5" xfId="0" applyFont="1" applyFill="1" applyBorder="1" applyAlignment="1">
      <alignment horizontal="center" vertical="top" wrapText="1"/>
    </xf>
    <xf numFmtId="0" fontId="23" fillId="6" borderId="7" xfId="0" applyFont="1" applyFill="1" applyBorder="1" applyAlignment="1">
      <alignment horizontal="right" vertical="top" wrapText="1"/>
    </xf>
    <xf numFmtId="3" fontId="23" fillId="6" borderId="3" xfId="0" applyNumberFormat="1" applyFont="1" applyFill="1" applyBorder="1" applyAlignment="1">
      <alignment horizontal="right" vertical="top" shrinkToFit="1"/>
    </xf>
    <xf numFmtId="3" fontId="23" fillId="6" borderId="7" xfId="0" applyNumberFormat="1" applyFont="1" applyFill="1" applyBorder="1" applyAlignment="1">
      <alignment horizontal="right" vertical="top" shrinkToFit="1"/>
    </xf>
    <xf numFmtId="6" fontId="23" fillId="6" borderId="8" xfId="0" applyNumberFormat="1" applyFont="1" applyFill="1" applyBorder="1" applyAlignment="1">
      <alignment horizontal="right" vertical="top" wrapText="1"/>
    </xf>
    <xf numFmtId="8" fontId="23" fillId="0" borderId="0" xfId="0" applyNumberFormat="1" applyFont="1" applyFill="1" applyAlignment="1">
      <alignment horizontal="right" vertical="top" wrapText="1"/>
    </xf>
    <xf numFmtId="8" fontId="23" fillId="0" borderId="0" xfId="0" applyNumberFormat="1" applyFont="1" applyFill="1" applyBorder="1" applyAlignment="1">
      <alignment horizontal="right" vertical="top" wrapText="1"/>
    </xf>
    <xf numFmtId="0" fontId="13" fillId="2" borderId="0" xfId="0" applyFont="1" applyFill="1" applyAlignment="1">
      <alignment horizontal="right" vertical="top" wrapText="1" indent="2"/>
    </xf>
    <xf numFmtId="1" fontId="14" fillId="3" borderId="0" xfId="0" applyNumberFormat="1" applyFont="1" applyFill="1" applyAlignment="1">
      <alignment horizontal="center" vertical="top" shrinkToFit="1"/>
    </xf>
    <xf numFmtId="6" fontId="14" fillId="3" borderId="0" xfId="0" applyNumberFormat="1" applyFont="1" applyFill="1" applyAlignment="1">
      <alignment horizontal="right" vertical="top" wrapText="1" indent="2"/>
    </xf>
    <xf numFmtId="6" fontId="14" fillId="3" borderId="0" xfId="0" applyNumberFormat="1" applyFont="1" applyFill="1" applyAlignment="1">
      <alignment horizontal="right" vertical="top" wrapText="1" indent="1"/>
    </xf>
    <xf numFmtId="6" fontId="14" fillId="3" borderId="0" xfId="0" applyNumberFormat="1" applyFont="1" applyFill="1" applyAlignment="1">
      <alignment horizontal="right" vertical="top" indent="2" shrinkToFit="1"/>
    </xf>
    <xf numFmtId="0" fontId="23" fillId="0" borderId="6" xfId="0" applyFont="1" applyBorder="1" applyAlignment="1">
      <alignment horizontal="left" vertical="top" wrapText="1" indent="1"/>
    </xf>
    <xf numFmtId="0" fontId="23" fillId="0" borderId="7" xfId="0" applyFont="1" applyBorder="1" applyAlignment="1">
      <alignment horizontal="left" vertical="top" wrapText="1" indent="1"/>
    </xf>
    <xf numFmtId="0" fontId="24" fillId="0" borderId="7" xfId="0" applyFont="1" applyBorder="1" applyAlignment="1">
      <alignment horizontal="left" vertical="top" wrapText="1" indent="1"/>
    </xf>
    <xf numFmtId="0" fontId="25" fillId="0" borderId="8" xfId="0" applyFont="1" applyBorder="1" applyAlignment="1">
      <alignment horizontal="left" vertical="top" wrapText="1" indent="1"/>
    </xf>
    <xf numFmtId="166" fontId="23" fillId="0" borderId="9" xfId="0" applyNumberFormat="1" applyFont="1" applyBorder="1" applyAlignment="1">
      <alignment horizontal="left" vertical="top" indent="1" shrinkToFit="1"/>
    </xf>
    <xf numFmtId="166" fontId="23" fillId="0" borderId="3" xfId="0" applyNumberFormat="1" applyFont="1" applyBorder="1" applyAlignment="1">
      <alignment horizontal="left" vertical="top" indent="1" shrinkToFit="1"/>
    </xf>
    <xf numFmtId="166" fontId="23" fillId="0" borderId="10" xfId="0" applyNumberFormat="1" applyFont="1" applyBorder="1" applyAlignment="1">
      <alignment horizontal="left" vertical="top" indent="1" shrinkToFit="1"/>
    </xf>
    <xf numFmtId="166" fontId="23" fillId="0" borderId="4" xfId="0" applyNumberFormat="1" applyFont="1" applyBorder="1" applyAlignment="1">
      <alignment horizontal="left" vertical="top" indent="1" shrinkToFit="1"/>
    </xf>
    <xf numFmtId="166" fontId="23" fillId="0" borderId="6" xfId="0" applyNumberFormat="1" applyFont="1" applyBorder="1" applyAlignment="1">
      <alignment horizontal="left" vertical="top" indent="1" shrinkToFit="1"/>
    </xf>
    <xf numFmtId="166" fontId="23" fillId="0" borderId="7" xfId="0" applyNumberFormat="1" applyFont="1" applyBorder="1" applyAlignment="1">
      <alignment horizontal="left" vertical="top" indent="1" shrinkToFit="1"/>
    </xf>
    <xf numFmtId="166" fontId="23" fillId="0" borderId="8" xfId="0" applyNumberFormat="1" applyFont="1" applyBorder="1" applyAlignment="1">
      <alignment horizontal="left" vertical="top" indent="1" shrinkToFit="1"/>
    </xf>
    <xf numFmtId="0" fontId="23" fillId="0" borderId="11" xfId="0" applyFont="1" applyBorder="1" applyAlignment="1">
      <alignment horizontal="left" vertical="top" wrapText="1" indent="2"/>
    </xf>
    <xf numFmtId="0" fontId="23" fillId="0" borderId="12" xfId="0" applyFont="1" applyBorder="1" applyAlignment="1">
      <alignment horizontal="left" vertical="top" wrapText="1" indent="2"/>
    </xf>
    <xf numFmtId="0" fontId="23" fillId="0" borderId="12" xfId="0" applyFont="1" applyBorder="1" applyAlignment="1">
      <alignment horizontal="left" vertical="top" wrapText="1" indent="1"/>
    </xf>
    <xf numFmtId="0" fontId="23" fillId="0" borderId="5" xfId="0" applyFont="1" applyBorder="1" applyAlignment="1">
      <alignment horizontal="left" vertical="top" wrapText="1" indent="1"/>
    </xf>
    <xf numFmtId="166" fontId="23" fillId="0" borderId="2" xfId="0" applyNumberFormat="1" applyFont="1" applyBorder="1" applyAlignment="1">
      <alignment horizontal="left" vertical="top" indent="1" shrinkToFit="1"/>
    </xf>
    <xf numFmtId="6" fontId="23" fillId="6" borderId="2" xfId="0" applyNumberFormat="1" applyFont="1" applyFill="1" applyBorder="1" applyAlignment="1">
      <alignment horizontal="right" vertical="top" wrapText="1"/>
    </xf>
    <xf numFmtId="166" fontId="23" fillId="6" borderId="2" xfId="0" applyNumberFormat="1" applyFont="1" applyFill="1" applyBorder="1" applyAlignment="1">
      <alignment horizontal="right" vertical="top" shrinkToFit="1"/>
    </xf>
    <xf numFmtId="166" fontId="9" fillId="0" borderId="0" xfId="0" applyNumberFormat="1" applyFont="1"/>
    <xf numFmtId="167" fontId="9" fillId="0" borderId="0" xfId="0" applyNumberFormat="1" applyFont="1"/>
    <xf numFmtId="8" fontId="12" fillId="3" borderId="0" xfId="0" applyNumberFormat="1" applyFont="1" applyFill="1" applyAlignment="1">
      <alignment horizontal="right" vertical="center" wrapText="1"/>
    </xf>
    <xf numFmtId="1" fontId="14" fillId="3" borderId="0" xfId="0" applyNumberFormat="1" applyFont="1" applyFill="1" applyAlignment="1">
      <alignment horizontal="left" vertical="top" indent="1" shrinkToFit="1"/>
    </xf>
    <xf numFmtId="3" fontId="14" fillId="3" borderId="0" xfId="0" applyNumberFormat="1" applyFont="1" applyFill="1" applyAlignment="1">
      <alignment horizontal="right" vertical="top" indent="1" shrinkToFit="1"/>
    </xf>
    <xf numFmtId="8" fontId="12" fillId="7" borderId="0" xfId="0" applyNumberFormat="1" applyFont="1" applyFill="1" applyAlignment="1">
      <alignment horizontal="right" vertical="center" wrapText="1"/>
    </xf>
    <xf numFmtId="0" fontId="28" fillId="3" borderId="0" xfId="0" applyFont="1" applyFill="1" applyAlignment="1">
      <alignment horizontal="left" vertical="top" wrapText="1" indent="1"/>
    </xf>
    <xf numFmtId="0" fontId="27" fillId="0" borderId="0" xfId="0" applyFont="1"/>
    <xf numFmtId="6" fontId="9" fillId="0" borderId="0" xfId="0" applyNumberFormat="1" applyFont="1" applyFill="1"/>
    <xf numFmtId="0" fontId="15" fillId="3" borderId="0" xfId="0" applyFont="1" applyFill="1" applyAlignment="1">
      <alignment horizontal="left" vertical="top" wrapText="1"/>
    </xf>
    <xf numFmtId="0" fontId="15" fillId="0" borderId="0" xfId="0" applyFont="1" applyFill="1" applyAlignment="1">
      <alignment horizontal="left" wrapText="1"/>
    </xf>
    <xf numFmtId="8" fontId="12" fillId="9" borderId="0" xfId="0" applyNumberFormat="1" applyFont="1" applyFill="1" applyAlignment="1">
      <alignment horizontal="right" vertical="center" wrapText="1"/>
    </xf>
    <xf numFmtId="3" fontId="12" fillId="3" borderId="0" xfId="0" applyNumberFormat="1" applyFont="1" applyFill="1" applyAlignment="1">
      <alignment horizontal="right" vertical="center" wrapText="1"/>
    </xf>
    <xf numFmtId="6" fontId="12" fillId="3" borderId="10" xfId="0" applyNumberFormat="1" applyFont="1" applyFill="1" applyBorder="1" applyAlignment="1">
      <alignment horizontal="right" vertical="center" wrapText="1"/>
    </xf>
    <xf numFmtId="8" fontId="12" fillId="3" borderId="3" xfId="0" applyNumberFormat="1" applyFont="1" applyFill="1" applyBorder="1" applyAlignment="1">
      <alignment horizontal="right" vertical="center" wrapText="1"/>
    </xf>
    <xf numFmtId="6" fontId="12" fillId="3" borderId="3" xfId="0" applyNumberFormat="1" applyFont="1" applyFill="1" applyBorder="1" applyAlignment="1">
      <alignment horizontal="right" vertical="center" wrapText="1"/>
    </xf>
    <xf numFmtId="0" fontId="0" fillId="0" borderId="10" xfId="0" applyBorder="1"/>
    <xf numFmtId="0" fontId="0" fillId="0" borderId="13" xfId="0" applyBorder="1"/>
    <xf numFmtId="0" fontId="14" fillId="3" borderId="3" xfId="0" applyFont="1" applyFill="1" applyBorder="1" applyAlignment="1">
      <alignment horizontal="left" vertical="top" wrapText="1" indent="1"/>
    </xf>
    <xf numFmtId="0" fontId="28" fillId="3" borderId="3" xfId="0" applyFont="1" applyFill="1" applyBorder="1" applyAlignment="1">
      <alignment horizontal="left" vertical="top" wrapText="1" indent="1"/>
    </xf>
    <xf numFmtId="0" fontId="0" fillId="0" borderId="11" xfId="0" applyBorder="1"/>
    <xf numFmtId="0" fontId="0" fillId="0" borderId="12" xfId="0" applyBorder="1"/>
    <xf numFmtId="6" fontId="12" fillId="3" borderId="9" xfId="0" applyNumberFormat="1" applyFont="1" applyFill="1" applyBorder="1" applyAlignment="1">
      <alignment horizontal="right" vertical="center" wrapText="1"/>
    </xf>
    <xf numFmtId="6" fontId="12" fillId="3" borderId="12" xfId="0" applyNumberFormat="1" applyFont="1" applyFill="1" applyBorder="1" applyAlignment="1">
      <alignment horizontal="right" vertical="center" wrapText="1"/>
    </xf>
    <xf numFmtId="6" fontId="12" fillId="3" borderId="5" xfId="0" applyNumberFormat="1" applyFont="1" applyFill="1" applyBorder="1" applyAlignment="1">
      <alignment horizontal="right" vertical="center" wrapText="1"/>
    </xf>
    <xf numFmtId="6" fontId="12" fillId="3" borderId="4" xfId="0" applyNumberFormat="1" applyFont="1" applyFill="1" applyBorder="1" applyAlignment="1">
      <alignment horizontal="right" vertical="center" wrapText="1"/>
    </xf>
    <xf numFmtId="0" fontId="0" fillId="0" borderId="0" xfId="0" applyBorder="1"/>
    <xf numFmtId="0" fontId="14" fillId="3" borderId="4" xfId="0" applyFont="1" applyFill="1" applyBorder="1" applyAlignment="1">
      <alignment horizontal="left" vertical="top" wrapText="1" indent="1"/>
    </xf>
    <xf numFmtId="0" fontId="13" fillId="2" borderId="0" xfId="0" applyFont="1" applyFill="1" applyAlignment="1">
      <alignment horizontal="left" vertical="top" wrapText="1" indent="2"/>
    </xf>
    <xf numFmtId="0" fontId="9" fillId="0" borderId="2" xfId="0" applyFont="1" applyBorder="1" applyAlignment="1">
      <alignment wrapText="1"/>
    </xf>
    <xf numFmtId="6" fontId="9" fillId="0" borderId="2" xfId="0" applyNumberFormat="1" applyFont="1" applyBorder="1"/>
    <xf numFmtId="0" fontId="9" fillId="0" borderId="2" xfId="0" applyFont="1" applyBorder="1"/>
    <xf numFmtId="4" fontId="9" fillId="0" borderId="2" xfId="0" applyNumberFormat="1" applyFont="1" applyBorder="1"/>
    <xf numFmtId="8" fontId="9" fillId="0" borderId="2" xfId="0" applyNumberFormat="1" applyFont="1" applyBorder="1"/>
    <xf numFmtId="0" fontId="11" fillId="0" borderId="2" xfId="0" applyFont="1" applyBorder="1"/>
    <xf numFmtId="8" fontId="9" fillId="0" borderId="2" xfId="0" applyNumberFormat="1" applyFont="1" applyFill="1" applyBorder="1"/>
    <xf numFmtId="9" fontId="9" fillId="0" borderId="2" xfId="0" applyNumberFormat="1" applyFont="1" applyBorder="1"/>
    <xf numFmtId="8" fontId="14" fillId="0" borderId="1" xfId="0" applyNumberFormat="1" applyFont="1" applyFill="1" applyBorder="1" applyAlignment="1">
      <alignment horizontal="right" vertical="top" shrinkToFit="1"/>
    </xf>
    <xf numFmtId="8" fontId="9" fillId="0" borderId="8" xfId="0" applyNumberFormat="1" applyFont="1" applyFill="1" applyBorder="1"/>
    <xf numFmtId="8" fontId="9" fillId="0" borderId="6" xfId="0" applyNumberFormat="1" applyFont="1" applyFill="1" applyBorder="1"/>
    <xf numFmtId="0" fontId="15" fillId="0" borderId="2" xfId="0" applyFont="1" applyFill="1" applyBorder="1" applyAlignment="1">
      <alignment horizontal="left" vertical="top" wrapText="1" indent="1"/>
    </xf>
    <xf numFmtId="10" fontId="9" fillId="0" borderId="2" xfId="0" applyNumberFormat="1" applyFont="1" applyBorder="1"/>
    <xf numFmtId="8" fontId="9" fillId="0" borderId="6" xfId="0" applyNumberFormat="1" applyFont="1" applyBorder="1"/>
    <xf numFmtId="168" fontId="0" fillId="0" borderId="0" xfId="0" applyNumberFormat="1"/>
    <xf numFmtId="0" fontId="11" fillId="0" borderId="2" xfId="0" applyFont="1" applyFill="1" applyBorder="1"/>
    <xf numFmtId="6" fontId="9" fillId="0" borderId="2" xfId="0" applyNumberFormat="1" applyFont="1" applyFill="1" applyBorder="1"/>
    <xf numFmtId="165" fontId="9" fillId="0" borderId="2" xfId="0" applyNumberFormat="1" applyFont="1" applyBorder="1"/>
    <xf numFmtId="0" fontId="24" fillId="0" borderId="2" xfId="0" applyFont="1" applyBorder="1" applyAlignment="1">
      <alignment horizontal="left" vertical="top" wrapText="1" indent="1"/>
    </xf>
    <xf numFmtId="167" fontId="23" fillId="0" borderId="2" xfId="0" applyNumberFormat="1" applyFont="1" applyFill="1" applyBorder="1" applyAlignment="1">
      <alignment horizontal="right" vertical="top" shrinkToFit="1"/>
    </xf>
    <xf numFmtId="0" fontId="23" fillId="0" borderId="2" xfId="0" applyFont="1" applyBorder="1" applyAlignment="1">
      <alignment horizontal="left" vertical="top" wrapText="1" indent="1"/>
    </xf>
    <xf numFmtId="6" fontId="23" fillId="0" borderId="2" xfId="0" applyNumberFormat="1" applyFont="1" applyBorder="1" applyAlignment="1">
      <alignment horizontal="right" vertical="top" wrapText="1"/>
    </xf>
    <xf numFmtId="8" fontId="23" fillId="0" borderId="2" xfId="0" applyNumberFormat="1" applyFont="1" applyFill="1" applyBorder="1" applyAlignment="1">
      <alignment horizontal="right" vertical="top" wrapText="1"/>
    </xf>
    <xf numFmtId="4" fontId="11" fillId="0" borderId="2" xfId="0" applyNumberFormat="1" applyFont="1" applyBorder="1"/>
    <xf numFmtId="169" fontId="0" fillId="0" borderId="0" xfId="0" applyNumberFormat="1"/>
    <xf numFmtId="10" fontId="9" fillId="0" borderId="2" xfId="0" applyNumberFormat="1" applyFont="1" applyFill="1" applyBorder="1"/>
    <xf numFmtId="167" fontId="9" fillId="0" borderId="2" xfId="0" applyNumberFormat="1" applyFont="1" applyFill="1" applyBorder="1"/>
    <xf numFmtId="166" fontId="23" fillId="0" borderId="2" xfId="0" applyNumberFormat="1" applyFont="1" applyBorder="1" applyAlignment="1">
      <alignment horizontal="right" vertical="top" shrinkToFit="1"/>
    </xf>
    <xf numFmtId="166" fontId="23" fillId="0" borderId="2" xfId="0" applyNumberFormat="1" applyFont="1" applyBorder="1" applyAlignment="1">
      <alignment horizontal="right" vertical="top" wrapText="1"/>
    </xf>
    <xf numFmtId="167" fontId="9" fillId="0" borderId="2" xfId="0" applyNumberFormat="1" applyFont="1" applyBorder="1"/>
    <xf numFmtId="170" fontId="0" fillId="0" borderId="0" xfId="0" applyNumberFormat="1"/>
    <xf numFmtId="3" fontId="23" fillId="0" borderId="2" xfId="0" applyNumberFormat="1" applyFont="1" applyBorder="1" applyAlignment="1">
      <alignment horizontal="right" vertical="top" shrinkToFit="1"/>
    </xf>
    <xf numFmtId="10" fontId="9" fillId="0" borderId="6" xfId="0" applyNumberFormat="1" applyFont="1" applyFill="1" applyBorder="1"/>
    <xf numFmtId="6" fontId="12" fillId="7" borderId="2" xfId="0" applyNumberFormat="1" applyFont="1" applyFill="1" applyBorder="1" applyAlignment="1">
      <alignment horizontal="right" vertical="center" wrapText="1"/>
    </xf>
    <xf numFmtId="0" fontId="24" fillId="0" borderId="2" xfId="0" applyFont="1" applyBorder="1" applyAlignment="1">
      <alignment horizontal="right" vertical="top" wrapText="1" indent="1"/>
    </xf>
    <xf numFmtId="8" fontId="23" fillId="0" borderId="2" xfId="0" applyNumberFormat="1" applyFont="1" applyBorder="1" applyAlignment="1">
      <alignment horizontal="right" vertical="top" wrapText="1"/>
    </xf>
    <xf numFmtId="6" fontId="23" fillId="0" borderId="2" xfId="0" applyNumberFormat="1" applyFont="1" applyBorder="1" applyAlignment="1">
      <alignment horizontal="right" vertical="top" wrapText="1" indent="1"/>
    </xf>
    <xf numFmtId="6" fontId="23" fillId="0" borderId="2" xfId="0" applyNumberFormat="1" applyFont="1" applyBorder="1" applyAlignment="1">
      <alignment horizontal="right" vertical="top" wrapText="1" indent="2"/>
    </xf>
    <xf numFmtId="6" fontId="12" fillId="0" borderId="2" xfId="0" applyNumberFormat="1" applyFont="1" applyFill="1" applyBorder="1" applyAlignment="1">
      <alignment horizontal="right" vertical="center" wrapText="1"/>
    </xf>
    <xf numFmtId="3" fontId="23" fillId="0" borderId="2" xfId="0" applyNumberFormat="1" applyFont="1" applyBorder="1" applyAlignment="1">
      <alignment horizontal="right" vertical="top" indent="2" shrinkToFit="1"/>
    </xf>
    <xf numFmtId="1" fontId="23" fillId="0" borderId="2" xfId="0" applyNumberFormat="1" applyFont="1" applyBorder="1" applyAlignment="1">
      <alignment horizontal="right" vertical="top" indent="2" shrinkToFit="1"/>
    </xf>
    <xf numFmtId="3" fontId="0" fillId="0" borderId="0" xfId="0" applyNumberFormat="1"/>
    <xf numFmtId="6" fontId="23" fillId="0" borderId="2" xfId="0" applyNumberFormat="1" applyFont="1" applyBorder="1" applyAlignment="1">
      <alignment vertical="top" wrapText="1"/>
    </xf>
    <xf numFmtId="166" fontId="23" fillId="0" borderId="2" xfId="0" applyNumberFormat="1" applyFont="1" applyBorder="1" applyAlignment="1">
      <alignment vertical="top" wrapText="1"/>
    </xf>
    <xf numFmtId="0" fontId="23" fillId="0" borderId="2" xfId="0" applyFont="1" applyBorder="1" applyAlignment="1">
      <alignment horizontal="left" vertical="top" wrapText="1"/>
    </xf>
    <xf numFmtId="0" fontId="29" fillId="0" borderId="0" xfId="0" applyFont="1" applyBorder="1" applyAlignment="1">
      <alignment horizontal="left" vertical="top" wrapText="1" indent="2"/>
    </xf>
    <xf numFmtId="166" fontId="23" fillId="0" borderId="0" xfId="0" applyNumberFormat="1" applyFont="1" applyBorder="1" applyAlignment="1">
      <alignment horizontal="right" vertical="top" shrinkToFit="1"/>
    </xf>
    <xf numFmtId="6" fontId="23" fillId="0" borderId="0" xfId="0" applyNumberFormat="1" applyFont="1" applyBorder="1" applyAlignment="1">
      <alignment vertical="top" wrapText="1"/>
    </xf>
    <xf numFmtId="166" fontId="23" fillId="0" borderId="0" xfId="0" applyNumberFormat="1" applyFont="1" applyBorder="1" applyAlignment="1">
      <alignment vertical="top" wrapText="1"/>
    </xf>
    <xf numFmtId="0" fontId="31" fillId="0" borderId="2" xfId="0" applyFont="1" applyBorder="1" applyAlignment="1">
      <alignment horizontal="left" wrapText="1"/>
    </xf>
    <xf numFmtId="1" fontId="30" fillId="0" borderId="2" xfId="0" applyNumberFormat="1" applyFont="1" applyBorder="1" applyAlignment="1">
      <alignment horizontal="right" vertical="top" indent="1" shrinkToFit="1"/>
    </xf>
    <xf numFmtId="1" fontId="30" fillId="0" borderId="2" xfId="0" applyNumberFormat="1" applyFont="1" applyBorder="1" applyAlignment="1">
      <alignment horizontal="right" vertical="top" shrinkToFit="1"/>
    </xf>
    <xf numFmtId="166" fontId="23" fillId="0" borderId="2" xfId="0" applyNumberFormat="1" applyFont="1" applyBorder="1" applyAlignment="1">
      <alignment horizontal="right" vertical="top" indent="1" shrinkToFit="1"/>
    </xf>
    <xf numFmtId="166" fontId="23" fillId="0" borderId="2" xfId="0" applyNumberFormat="1" applyFont="1" applyBorder="1" applyAlignment="1">
      <alignment horizontal="right" vertical="top" wrapText="1" indent="1"/>
    </xf>
    <xf numFmtId="3" fontId="23" fillId="0" borderId="2" xfId="0" applyNumberFormat="1" applyFont="1" applyBorder="1" applyAlignment="1">
      <alignment horizontal="right" vertical="top" wrapText="1"/>
    </xf>
    <xf numFmtId="0" fontId="24" fillId="0" borderId="2" xfId="0" applyFont="1" applyBorder="1" applyAlignment="1">
      <alignment horizontal="left" vertical="top" wrapText="1"/>
    </xf>
    <xf numFmtId="164" fontId="9" fillId="0" borderId="2" xfId="0" applyNumberFormat="1" applyFont="1" applyBorder="1"/>
    <xf numFmtId="0" fontId="2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3" fontId="9" fillId="0" borderId="2" xfId="0" applyNumberFormat="1" applyFont="1" applyBorder="1"/>
    <xf numFmtId="0" fontId="9" fillId="0" borderId="2" xfId="0" applyFont="1" applyFill="1" applyBorder="1" applyAlignment="1">
      <alignment horizontal="center"/>
    </xf>
    <xf numFmtId="166" fontId="9" fillId="0" borderId="2" xfId="0" applyNumberFormat="1" applyFont="1" applyBorder="1"/>
    <xf numFmtId="0" fontId="8" fillId="0" borderId="2" xfId="1" applyFont="1" applyBorder="1"/>
    <xf numFmtId="9" fontId="8" fillId="0" borderId="2" xfId="1" applyNumberFormat="1" applyFont="1" applyBorder="1"/>
    <xf numFmtId="10" fontId="8" fillId="0" borderId="2" xfId="1" applyNumberFormat="1" applyFont="1" applyBorder="1"/>
    <xf numFmtId="0" fontId="11" fillId="0" borderId="0" xfId="0" applyFont="1" applyAlignment="1">
      <alignment horizontal="centerContinuous"/>
    </xf>
    <xf numFmtId="8" fontId="8" fillId="0" borderId="2" xfId="1" applyNumberFormat="1" applyFont="1" applyBorder="1"/>
    <xf numFmtId="6" fontId="8" fillId="0" borderId="2" xfId="1" applyNumberFormat="1" applyFont="1" applyBorder="1"/>
    <xf numFmtId="6" fontId="12" fillId="3" borderId="0" xfId="1" applyNumberFormat="1" applyFont="1" applyFill="1" applyAlignment="1">
      <alignment horizontal="right" vertical="center" wrapText="1"/>
    </xf>
    <xf numFmtId="8" fontId="12" fillId="3" borderId="0" xfId="1" applyNumberFormat="1" applyFont="1" applyFill="1" applyAlignment="1">
      <alignment horizontal="right" vertical="center" wrapText="1"/>
    </xf>
    <xf numFmtId="0" fontId="12" fillId="3" borderId="0" xfId="0" applyNumberFormat="1" applyFont="1" applyFill="1" applyAlignment="1">
      <alignment horizontal="right" vertical="center" wrapText="1"/>
    </xf>
    <xf numFmtId="0" fontId="11" fillId="0" borderId="0" xfId="1" applyFont="1"/>
    <xf numFmtId="0" fontId="7" fillId="0" borderId="0" xfId="1" applyFont="1"/>
    <xf numFmtId="0" fontId="32" fillId="0" borderId="0" xfId="1"/>
    <xf numFmtId="0" fontId="7" fillId="0" borderId="2" xfId="1" applyFont="1" applyBorder="1"/>
    <xf numFmtId="6" fontId="7" fillId="0" borderId="2" xfId="1" applyNumberFormat="1" applyFont="1" applyBorder="1"/>
    <xf numFmtId="9" fontId="7" fillId="0" borderId="2" xfId="1" applyNumberFormat="1" applyFont="1" applyBorder="1"/>
    <xf numFmtId="6" fontId="7" fillId="0" borderId="0" xfId="1" applyNumberFormat="1" applyFont="1"/>
    <xf numFmtId="0" fontId="11" fillId="0" borderId="2" xfId="1" applyFont="1" applyBorder="1"/>
    <xf numFmtId="8" fontId="7" fillId="0" borderId="0" xfId="1" applyNumberFormat="1" applyFont="1"/>
    <xf numFmtId="8" fontId="7" fillId="0" borderId="2" xfId="1" applyNumberFormat="1" applyFont="1" applyBorder="1"/>
    <xf numFmtId="0" fontId="23" fillId="0" borderId="2" xfId="1" applyFont="1" applyBorder="1" applyAlignment="1">
      <alignment horizontal="left" vertical="top" wrapText="1" indent="1"/>
    </xf>
    <xf numFmtId="6" fontId="23" fillId="0" borderId="2" xfId="1" applyNumberFormat="1" applyFont="1" applyBorder="1" applyAlignment="1">
      <alignment horizontal="right" vertical="top" wrapText="1"/>
    </xf>
    <xf numFmtId="3" fontId="23" fillId="0" borderId="2" xfId="1" applyNumberFormat="1" applyFont="1" applyBorder="1" applyAlignment="1">
      <alignment horizontal="right" vertical="top" shrinkToFit="1"/>
    </xf>
    <xf numFmtId="0" fontId="24" fillId="0" borderId="2" xfId="1" applyFont="1" applyBorder="1" applyAlignment="1">
      <alignment horizontal="left" vertical="top" wrapText="1" indent="1"/>
    </xf>
    <xf numFmtId="3" fontId="7" fillId="0" borderId="0" xfId="1" applyNumberFormat="1" applyFont="1"/>
    <xf numFmtId="166" fontId="23" fillId="0" borderId="2" xfId="1" applyNumberFormat="1" applyFont="1" applyBorder="1" applyAlignment="1">
      <alignment horizontal="right" vertical="top" shrinkToFit="1"/>
    </xf>
    <xf numFmtId="3" fontId="14" fillId="3" borderId="0" xfId="1" applyNumberFormat="1" applyFont="1" applyFill="1" applyAlignment="1">
      <alignment horizontal="right" vertical="top" shrinkToFit="1"/>
    </xf>
    <xf numFmtId="0" fontId="6" fillId="0" borderId="2" xfId="2" applyBorder="1"/>
    <xf numFmtId="6" fontId="6" fillId="0" borderId="2" xfId="2" applyNumberFormat="1" applyBorder="1"/>
    <xf numFmtId="0" fontId="6" fillId="0" borderId="0" xfId="2"/>
    <xf numFmtId="9" fontId="6" fillId="0" borderId="2" xfId="2" applyNumberFormat="1" applyBorder="1"/>
    <xf numFmtId="164" fontId="18" fillId="0" borderId="2" xfId="1" applyNumberFormat="1" applyFont="1" applyBorder="1" applyAlignment="1">
      <alignment horizontal="center" vertical="top" shrinkToFit="1"/>
    </xf>
    <xf numFmtId="8" fontId="6" fillId="0" borderId="0" xfId="2" applyNumberFormat="1"/>
    <xf numFmtId="8" fontId="6" fillId="0" borderId="2" xfId="2" applyNumberFormat="1" applyBorder="1"/>
    <xf numFmtId="8" fontId="6" fillId="11" borderId="0" xfId="2" applyNumberFormat="1" applyFill="1"/>
    <xf numFmtId="0" fontId="6" fillId="0" borderId="2" xfId="1" applyFont="1" applyBorder="1"/>
    <xf numFmtId="0" fontId="6" fillId="0" borderId="0" xfId="1" applyFont="1"/>
    <xf numFmtId="6" fontId="6" fillId="0" borderId="2" xfId="1" applyNumberFormat="1" applyFont="1" applyBorder="1"/>
    <xf numFmtId="8" fontId="6" fillId="0" borderId="2" xfId="1" applyNumberFormat="1" applyFont="1" applyBorder="1"/>
    <xf numFmtId="6" fontId="6" fillId="11" borderId="0" xfId="1" applyNumberFormat="1" applyFont="1" applyFill="1"/>
    <xf numFmtId="8" fontId="12" fillId="8" borderId="0" xfId="1" applyNumberFormat="1" applyFont="1" applyFill="1" applyAlignment="1">
      <alignment horizontal="right" vertical="center" wrapText="1"/>
    </xf>
    <xf numFmtId="8" fontId="12" fillId="10" borderId="0" xfId="1" applyNumberFormat="1" applyFont="1" applyFill="1" applyAlignment="1">
      <alignment horizontal="right" vertical="center" wrapText="1"/>
    </xf>
    <xf numFmtId="8" fontId="6" fillId="8" borderId="2" xfId="1" applyNumberFormat="1" applyFont="1" applyFill="1" applyBorder="1"/>
    <xf numFmtId="8" fontId="6" fillId="11" borderId="2" xfId="1" applyNumberFormat="1" applyFont="1" applyFill="1" applyBorder="1"/>
    <xf numFmtId="3" fontId="6" fillId="9" borderId="2" xfId="1" applyNumberFormat="1" applyFont="1" applyFill="1" applyBorder="1"/>
    <xf numFmtId="8" fontId="6" fillId="10" borderId="6" xfId="1" applyNumberFormat="1" applyFont="1" applyFill="1" applyBorder="1"/>
    <xf numFmtId="0" fontId="6" fillId="0" borderId="11" xfId="1" applyFont="1" applyBorder="1" applyAlignment="1">
      <alignment horizontal="centerContinuous"/>
    </xf>
    <xf numFmtId="0" fontId="6" fillId="0" borderId="5" xfId="1" applyFont="1" applyBorder="1" applyAlignment="1">
      <alignment horizontal="centerContinuous"/>
    </xf>
    <xf numFmtId="0" fontId="6" fillId="0" borderId="2" xfId="1" applyFont="1" applyBorder="1" applyAlignment="1">
      <alignment horizontal="center"/>
    </xf>
    <xf numFmtId="8" fontId="12" fillId="7" borderId="2" xfId="1" applyNumberFormat="1" applyFont="1" applyFill="1" applyBorder="1" applyAlignment="1">
      <alignment horizontal="right" vertical="center" wrapText="1"/>
    </xf>
    <xf numFmtId="8" fontId="12" fillId="8" borderId="2" xfId="1" applyNumberFormat="1" applyFont="1" applyFill="1" applyBorder="1" applyAlignment="1">
      <alignment horizontal="right" vertical="center" wrapText="1"/>
    </xf>
    <xf numFmtId="6" fontId="6" fillId="11" borderId="2" xfId="1" applyNumberFormat="1" applyFont="1" applyFill="1" applyBorder="1"/>
    <xf numFmtId="8" fontId="12" fillId="9" borderId="2" xfId="0" applyNumberFormat="1" applyFont="1" applyFill="1" applyBorder="1" applyAlignment="1">
      <alignment horizontal="right" vertical="center" wrapText="1"/>
    </xf>
    <xf numFmtId="8" fontId="12" fillId="10" borderId="2" xfId="1" applyNumberFormat="1" applyFont="1" applyFill="1" applyBorder="1" applyAlignment="1">
      <alignment horizontal="right" vertical="center" wrapText="1"/>
    </xf>
    <xf numFmtId="6" fontId="12" fillId="11" borderId="0" xfId="1" applyNumberFormat="1" applyFont="1" applyFill="1" applyAlignment="1">
      <alignment horizontal="right" vertical="center" wrapText="1"/>
    </xf>
    <xf numFmtId="8" fontId="12" fillId="5" borderId="0" xfId="1" applyNumberFormat="1" applyFont="1" applyFill="1" applyAlignment="1">
      <alignment horizontal="right" vertical="center" wrapText="1"/>
    </xf>
    <xf numFmtId="8" fontId="12" fillId="11" borderId="2" xfId="1" applyNumberFormat="1" applyFont="1" applyFill="1" applyBorder="1" applyAlignment="1">
      <alignment horizontal="right" vertical="center" wrapText="1"/>
    </xf>
    <xf numFmtId="6" fontId="12" fillId="0" borderId="0" xfId="0" applyNumberFormat="1" applyFont="1" applyFill="1" applyBorder="1" applyAlignment="1">
      <alignment horizontal="right" vertical="center" wrapText="1"/>
    </xf>
    <xf numFmtId="8" fontId="6" fillId="5" borderId="2" xfId="1" applyNumberFormat="1" applyFont="1" applyFill="1" applyBorder="1"/>
    <xf numFmtId="8" fontId="12" fillId="5" borderId="2" xfId="1" applyNumberFormat="1" applyFont="1" applyFill="1" applyBorder="1" applyAlignment="1">
      <alignment horizontal="right" vertical="center" wrapText="1"/>
    </xf>
    <xf numFmtId="0" fontId="5" fillId="0" borderId="2" xfId="1" applyFont="1" applyBorder="1"/>
    <xf numFmtId="6" fontId="5" fillId="0" borderId="2" xfId="1" applyNumberFormat="1" applyFont="1" applyBorder="1"/>
    <xf numFmtId="167" fontId="5" fillId="0" borderId="0" xfId="1" applyNumberFormat="1" applyFont="1"/>
    <xf numFmtId="6" fontId="12" fillId="3" borderId="5" xfId="1" applyNumberFormat="1" applyFont="1" applyFill="1" applyBorder="1" applyAlignment="1">
      <alignment horizontal="right" vertical="center" wrapText="1"/>
    </xf>
    <xf numFmtId="8" fontId="5" fillId="0" borderId="2" xfId="1" applyNumberFormat="1" applyFont="1" applyBorder="1"/>
    <xf numFmtId="0" fontId="23" fillId="0" borderId="2" xfId="0" applyFont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top" wrapText="1"/>
    </xf>
    <xf numFmtId="1" fontId="23" fillId="0" borderId="2" xfId="0" applyNumberFormat="1" applyFont="1" applyBorder="1" applyAlignment="1">
      <alignment horizontal="center" vertical="top" shrinkToFit="1"/>
    </xf>
    <xf numFmtId="166" fontId="14" fillId="3" borderId="0" xfId="0" applyNumberFormat="1" applyFont="1" applyFill="1" applyAlignment="1">
      <alignment horizontal="right" vertical="top" indent="1" shrinkToFit="1"/>
    </xf>
    <xf numFmtId="6" fontId="14" fillId="3" borderId="0" xfId="0" applyNumberFormat="1" applyFont="1" applyFill="1" applyBorder="1" applyAlignment="1">
      <alignment vertical="top" shrinkToFit="1"/>
    </xf>
    <xf numFmtId="0" fontId="13" fillId="2" borderId="0" xfId="0" applyFont="1" applyFill="1" applyBorder="1" applyAlignment="1">
      <alignment horizontal="center" vertical="top" wrapText="1"/>
    </xf>
    <xf numFmtId="0" fontId="14" fillId="3" borderId="0" xfId="0" applyFont="1" applyFill="1" applyBorder="1" applyAlignment="1">
      <alignment horizontal="left" vertical="top" wrapText="1"/>
    </xf>
    <xf numFmtId="6" fontId="14" fillId="3" borderId="0" xfId="0" applyNumberFormat="1" applyFont="1" applyFill="1" applyBorder="1" applyAlignment="1">
      <alignment horizontal="centerContinuous" vertical="top" shrinkToFit="1"/>
    </xf>
    <xf numFmtId="0" fontId="5" fillId="0" borderId="0" xfId="0" applyFont="1"/>
    <xf numFmtId="0" fontId="24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left" vertical="top" wrapText="1"/>
    </xf>
    <xf numFmtId="0" fontId="30" fillId="0" borderId="0" xfId="0" applyFont="1" applyAlignment="1">
      <alignment wrapText="1"/>
    </xf>
    <xf numFmtId="6" fontId="23" fillId="0" borderId="0" xfId="0" applyNumberFormat="1" applyFont="1" applyAlignment="1">
      <alignment wrapText="1"/>
    </xf>
    <xf numFmtId="0" fontId="23" fillId="0" borderId="0" xfId="0" applyFont="1" applyAlignment="1">
      <alignment wrapText="1"/>
    </xf>
    <xf numFmtId="6" fontId="23" fillId="0" borderId="0" xfId="0" applyNumberFormat="1" applyFont="1" applyAlignment="1">
      <alignment vertical="top" wrapText="1"/>
    </xf>
    <xf numFmtId="0" fontId="23" fillId="0" borderId="0" xfId="0" applyFont="1" applyAlignment="1">
      <alignment horizontal="left" vertical="top" wrapText="1" indent="2"/>
    </xf>
    <xf numFmtId="0" fontId="30" fillId="0" borderId="0" xfId="0" applyFont="1" applyAlignment="1">
      <alignment horizontal="left" vertical="top" wrapText="1" indent="3"/>
    </xf>
    <xf numFmtId="0" fontId="12" fillId="0" borderId="0" xfId="0" applyFont="1" applyAlignment="1">
      <alignment horizontal="left" vertical="center" wrapText="1"/>
    </xf>
    <xf numFmtId="0" fontId="30" fillId="0" borderId="0" xfId="0" applyFont="1" applyAlignment="1">
      <alignment horizontal="center" vertical="top" wrapText="1"/>
    </xf>
    <xf numFmtId="166" fontId="23" fillId="0" borderId="0" xfId="0" applyNumberFormat="1" applyFont="1" applyAlignment="1">
      <alignment vertical="top" shrinkToFit="1"/>
    </xf>
    <xf numFmtId="166" fontId="23" fillId="0" borderId="0" xfId="0" applyNumberFormat="1" applyFont="1" applyAlignment="1">
      <alignment horizontal="left" vertical="top" indent="4" shrinkToFit="1"/>
    </xf>
    <xf numFmtId="3" fontId="23" fillId="0" borderId="0" xfId="0" applyNumberFormat="1" applyFont="1" applyAlignment="1">
      <alignment horizontal="left" vertical="top" indent="5" shrinkToFit="1"/>
    </xf>
    <xf numFmtId="3" fontId="23" fillId="0" borderId="0" xfId="0" applyNumberFormat="1" applyFont="1" applyAlignment="1">
      <alignment horizontal="left" vertical="top" indent="6" shrinkToFit="1"/>
    </xf>
    <xf numFmtId="1" fontId="23" fillId="0" borderId="0" xfId="0" applyNumberFormat="1" applyFont="1" applyAlignment="1">
      <alignment vertical="top" shrinkToFit="1"/>
    </xf>
    <xf numFmtId="1" fontId="23" fillId="0" borderId="0" xfId="0" applyNumberFormat="1" applyFont="1" applyAlignment="1">
      <alignment horizontal="left" vertical="top" shrinkToFit="1"/>
    </xf>
    <xf numFmtId="3" fontId="23" fillId="0" borderId="0" xfId="0" applyNumberFormat="1" applyFont="1" applyAlignment="1">
      <alignment horizontal="left" vertical="top" shrinkToFit="1"/>
    </xf>
    <xf numFmtId="166" fontId="23" fillId="0" borderId="16" xfId="0" applyNumberFormat="1" applyFont="1" applyBorder="1" applyAlignment="1">
      <alignment vertical="top" shrinkToFit="1"/>
    </xf>
    <xf numFmtId="166" fontId="23" fillId="0" borderId="16" xfId="0" applyNumberFormat="1" applyFont="1" applyBorder="1" applyAlignment="1">
      <alignment horizontal="left" vertical="top" indent="4" shrinkToFit="1"/>
    </xf>
    <xf numFmtId="166" fontId="23" fillId="0" borderId="17" xfId="0" applyNumberFormat="1" applyFont="1" applyBorder="1" applyAlignment="1">
      <alignment vertical="top" shrinkToFit="1"/>
    </xf>
    <xf numFmtId="166" fontId="23" fillId="0" borderId="17" xfId="0" applyNumberFormat="1" applyFont="1" applyBorder="1" applyAlignment="1">
      <alignment horizontal="left" vertical="top" indent="4" shrinkToFit="1"/>
    </xf>
    <xf numFmtId="0" fontId="5" fillId="0" borderId="2" xfId="0" applyFont="1" applyBorder="1"/>
    <xf numFmtId="9" fontId="5" fillId="0" borderId="2" xfId="0" applyNumberFormat="1" applyFont="1" applyBorder="1"/>
    <xf numFmtId="6" fontId="5" fillId="0" borderId="2" xfId="0" applyNumberFormat="1" applyFont="1" applyBorder="1"/>
    <xf numFmtId="8" fontId="5" fillId="0" borderId="2" xfId="0" applyNumberFormat="1" applyFont="1" applyBorder="1"/>
    <xf numFmtId="8" fontId="11" fillId="0" borderId="2" xfId="0" applyNumberFormat="1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10" xfId="0" applyFont="1" applyBorder="1"/>
    <xf numFmtId="0" fontId="5" fillId="0" borderId="4" xfId="0" applyFont="1" applyBorder="1"/>
    <xf numFmtId="0" fontId="24" fillId="0" borderId="0" xfId="0" applyFont="1" applyAlignment="1">
      <alignment horizontal="center" vertical="top" wrapText="1"/>
    </xf>
    <xf numFmtId="0" fontId="14" fillId="3" borderId="0" xfId="0" applyFont="1" applyFill="1" applyAlignment="1">
      <alignment vertical="top" wrapText="1"/>
    </xf>
    <xf numFmtId="167" fontId="14" fillId="3" borderId="0" xfId="0" applyNumberFormat="1" applyFont="1" applyFill="1" applyAlignment="1">
      <alignment horizontal="right" vertical="top" indent="1" shrinkToFit="1"/>
    </xf>
    <xf numFmtId="0" fontId="14" fillId="0" borderId="2" xfId="0" applyFont="1" applyFill="1" applyBorder="1" applyAlignment="1">
      <alignment vertical="top" wrapText="1"/>
    </xf>
    <xf numFmtId="0" fontId="4" fillId="0" borderId="0" xfId="0" applyFont="1" applyAlignment="1">
      <alignment horizontal="centerContinuous"/>
    </xf>
    <xf numFmtId="0" fontId="4" fillId="0" borderId="0" xfId="0" applyFont="1"/>
    <xf numFmtId="167" fontId="4" fillId="0" borderId="0" xfId="0" applyNumberFormat="1" applyFont="1"/>
    <xf numFmtId="0" fontId="4" fillId="0" borderId="2" xfId="0" applyFont="1" applyBorder="1"/>
    <xf numFmtId="9" fontId="4" fillId="0" borderId="2" xfId="0" applyNumberFormat="1" applyFont="1" applyBorder="1"/>
    <xf numFmtId="167" fontId="4" fillId="0" borderId="2" xfId="0" applyNumberFormat="1" applyFont="1" applyBorder="1"/>
    <xf numFmtId="0" fontId="4" fillId="0" borderId="0" xfId="0" applyFont="1" applyAlignment="1">
      <alignment horizontal="center"/>
    </xf>
    <xf numFmtId="0" fontId="3" fillId="0" borderId="2" xfId="1" applyFont="1" applyBorder="1"/>
    <xf numFmtId="9" fontId="3" fillId="0" borderId="2" xfId="1" applyNumberFormat="1" applyFont="1" applyBorder="1"/>
    <xf numFmtId="0" fontId="3" fillId="0" borderId="0" xfId="1" applyFont="1"/>
    <xf numFmtId="6" fontId="3" fillId="0" borderId="2" xfId="1" applyNumberFormat="1" applyFont="1" applyBorder="1"/>
    <xf numFmtId="8" fontId="3" fillId="0" borderId="2" xfId="1" applyNumberFormat="1" applyFont="1" applyBorder="1"/>
    <xf numFmtId="6" fontId="14" fillId="3" borderId="0" xfId="1" applyNumberFormat="1" applyFont="1" applyFill="1" applyAlignment="1">
      <alignment horizontal="right" vertical="top" shrinkToFit="1"/>
    </xf>
    <xf numFmtId="8" fontId="14" fillId="3" borderId="0" xfId="1" applyNumberFormat="1" applyFont="1" applyFill="1" applyAlignment="1">
      <alignment horizontal="right" vertical="top" shrinkToFit="1"/>
    </xf>
    <xf numFmtId="0" fontId="3" fillId="0" borderId="0" xfId="0" applyFont="1" applyAlignment="1">
      <alignment horizontal="centerContinuous"/>
    </xf>
    <xf numFmtId="0" fontId="3" fillId="0" borderId="0" xfId="0" applyFont="1"/>
    <xf numFmtId="0" fontId="3" fillId="0" borderId="2" xfId="0" applyFont="1" applyBorder="1"/>
    <xf numFmtId="8" fontId="3" fillId="0" borderId="2" xfId="0" applyNumberFormat="1" applyFont="1" applyBorder="1" applyAlignment="1"/>
    <xf numFmtId="0" fontId="3" fillId="0" borderId="2" xfId="0" applyNumberFormat="1" applyFont="1" applyBorder="1" applyAlignment="1"/>
    <xf numFmtId="3" fontId="23" fillId="0" borderId="0" xfId="0" applyNumberFormat="1" applyFont="1" applyAlignment="1">
      <alignment vertical="top" shrinkToFit="1"/>
    </xf>
    <xf numFmtId="8" fontId="23" fillId="0" borderId="2" xfId="0" applyNumberFormat="1" applyFont="1" applyBorder="1" applyAlignment="1">
      <alignment vertical="top" shrinkToFit="1"/>
    </xf>
    <xf numFmtId="166" fontId="23" fillId="0" borderId="2" xfId="0" applyNumberFormat="1" applyFont="1" applyBorder="1" applyAlignment="1">
      <alignment vertical="top" shrinkToFit="1"/>
    </xf>
    <xf numFmtId="166" fontId="23" fillId="0" borderId="2" xfId="0" applyNumberFormat="1" applyFont="1" applyFill="1" applyBorder="1" applyAlignment="1">
      <alignment vertical="top" shrinkToFit="1"/>
    </xf>
    <xf numFmtId="0" fontId="23" fillId="0" borderId="2" xfId="0" applyNumberFormat="1" applyFont="1" applyFill="1" applyBorder="1" applyAlignment="1">
      <alignment vertical="top" shrinkToFit="1"/>
    </xf>
    <xf numFmtId="9" fontId="3" fillId="0" borderId="2" xfId="0" applyNumberFormat="1" applyFont="1" applyBorder="1" applyAlignment="1"/>
    <xf numFmtId="167" fontId="11" fillId="0" borderId="2" xfId="0" applyNumberFormat="1" applyFont="1" applyBorder="1"/>
    <xf numFmtId="166" fontId="3" fillId="0" borderId="2" xfId="0" applyNumberFormat="1" applyFont="1" applyBorder="1"/>
    <xf numFmtId="0" fontId="3" fillId="0" borderId="0" xfId="0" applyFont="1" applyBorder="1"/>
    <xf numFmtId="9" fontId="3" fillId="0" borderId="0" xfId="0" applyNumberFormat="1" applyFont="1" applyBorder="1" applyAlignment="1"/>
    <xf numFmtId="0" fontId="23" fillId="0" borderId="2" xfId="0" applyFont="1" applyBorder="1" applyAlignment="1">
      <alignment vertical="top" wrapText="1"/>
    </xf>
    <xf numFmtId="6" fontId="3" fillId="0" borderId="2" xfId="0" applyNumberFormat="1" applyFont="1" applyBorder="1"/>
    <xf numFmtId="9" fontId="3" fillId="0" borderId="2" xfId="0" applyNumberFormat="1" applyFont="1" applyBorder="1"/>
    <xf numFmtId="0" fontId="3" fillId="0" borderId="2" xfId="0" applyFont="1" applyBorder="1" applyAlignment="1">
      <alignment horizontal="center"/>
    </xf>
    <xf numFmtId="8" fontId="3" fillId="0" borderId="0" xfId="0" applyNumberFormat="1" applyFont="1"/>
    <xf numFmtId="6" fontId="3" fillId="0" borderId="0" xfId="0" applyNumberFormat="1" applyFont="1"/>
    <xf numFmtId="0" fontId="3" fillId="0" borderId="2" xfId="0" applyNumberFormat="1" applyFont="1" applyBorder="1"/>
    <xf numFmtId="164" fontId="14" fillId="0" borderId="2" xfId="0" applyNumberFormat="1" applyFont="1" applyFill="1" applyBorder="1" applyAlignment="1">
      <alignment horizontal="center" vertical="top" shrinkToFit="1"/>
    </xf>
    <xf numFmtId="166" fontId="23" fillId="0" borderId="0" xfId="0" applyNumberFormat="1" applyFont="1" applyBorder="1" applyAlignment="1">
      <alignment horizontal="right" vertical="top" indent="1" shrinkToFit="1"/>
    </xf>
    <xf numFmtId="166" fontId="24" fillId="0" borderId="2" xfId="0" applyNumberFormat="1" applyFont="1" applyBorder="1" applyAlignment="1">
      <alignment horizontal="right" vertical="top" indent="1" shrinkToFit="1"/>
    </xf>
    <xf numFmtId="8" fontId="3" fillId="0" borderId="2" xfId="0" applyNumberFormat="1" applyFont="1" applyBorder="1"/>
    <xf numFmtId="0" fontId="23" fillId="0" borderId="2" xfId="0" applyFont="1" applyBorder="1" applyAlignment="1">
      <alignment horizontal="left" vertical="center" wrapText="1"/>
    </xf>
    <xf numFmtId="6" fontId="23" fillId="0" borderId="2" xfId="0" applyNumberFormat="1" applyFont="1" applyBorder="1" applyAlignment="1">
      <alignment vertical="top" shrinkToFit="1"/>
    </xf>
    <xf numFmtId="0" fontId="11" fillId="0" borderId="2" xfId="0" applyFont="1" applyBorder="1" applyAlignment="1">
      <alignment horizontal="center" vertical="top" wrapText="1"/>
    </xf>
    <xf numFmtId="3" fontId="23" fillId="0" borderId="2" xfId="0" applyNumberFormat="1" applyFont="1" applyBorder="1" applyAlignment="1">
      <alignment horizontal="right" vertical="top" indent="1" shrinkToFit="1"/>
    </xf>
    <xf numFmtId="0" fontId="23" fillId="0" borderId="2" xfId="0" applyFont="1" applyBorder="1" applyAlignment="1">
      <alignment vertical="top"/>
    </xf>
    <xf numFmtId="6" fontId="23" fillId="0" borderId="2" xfId="0" applyNumberFormat="1" applyFont="1" applyBorder="1" applyAlignment="1">
      <alignment vertical="top"/>
    </xf>
    <xf numFmtId="166" fontId="11" fillId="0" borderId="2" xfId="0" applyNumberFormat="1" applyFont="1" applyBorder="1"/>
    <xf numFmtId="1" fontId="23" fillId="0" borderId="2" xfId="0" applyNumberFormat="1" applyFont="1" applyBorder="1" applyAlignment="1">
      <alignment horizontal="right" vertical="top" shrinkToFit="1"/>
    </xf>
    <xf numFmtId="1" fontId="23" fillId="0" borderId="2" xfId="0" applyNumberFormat="1" applyFont="1" applyBorder="1" applyAlignment="1">
      <alignment horizontal="right" vertical="top" indent="1" shrinkToFit="1"/>
    </xf>
    <xf numFmtId="166" fontId="24" fillId="0" borderId="2" xfId="0" applyNumberFormat="1" applyFont="1" applyBorder="1" applyAlignment="1">
      <alignment horizontal="right" vertical="top" shrinkToFit="1"/>
    </xf>
    <xf numFmtId="0" fontId="29" fillId="0" borderId="2" xfId="0" applyFont="1" applyFill="1" applyBorder="1" applyAlignment="1">
      <alignment horizontal="left" vertical="top" wrapText="1" indent="2"/>
    </xf>
    <xf numFmtId="0" fontId="24" fillId="0" borderId="6" xfId="0" applyFont="1" applyBorder="1" applyAlignment="1">
      <alignment horizontal="left" vertical="top" wrapText="1" indent="4"/>
    </xf>
    <xf numFmtId="0" fontId="24" fillId="0" borderId="2" xfId="0" applyFont="1" applyBorder="1" applyAlignment="1">
      <alignment horizontal="left" vertical="top" wrapText="1" indent="2"/>
    </xf>
    <xf numFmtId="0" fontId="24" fillId="0" borderId="6" xfId="0" applyFont="1" applyBorder="1" applyAlignment="1">
      <alignment horizontal="left" vertical="top" wrapText="1" indent="2"/>
    </xf>
    <xf numFmtId="0" fontId="24" fillId="0" borderId="6" xfId="0" applyFont="1" applyBorder="1" applyAlignment="1">
      <alignment horizontal="center" vertical="top" wrapText="1"/>
    </xf>
    <xf numFmtId="0" fontId="2" fillId="0" borderId="2" xfId="0" applyFont="1" applyBorder="1"/>
    <xf numFmtId="9" fontId="2" fillId="0" borderId="2" xfId="0" applyNumberFormat="1" applyFont="1" applyBorder="1"/>
    <xf numFmtId="0" fontId="2" fillId="0" borderId="0" xfId="0" applyFont="1"/>
    <xf numFmtId="0" fontId="2" fillId="0" borderId="2" xfId="0" applyNumberFormat="1" applyFont="1" applyBorder="1"/>
    <xf numFmtId="6" fontId="2" fillId="0" borderId="2" xfId="0" applyNumberFormat="1" applyFont="1" applyBorder="1"/>
    <xf numFmtId="0" fontId="16" fillId="4" borderId="0" xfId="0" applyFont="1" applyFill="1" applyAlignment="1">
      <alignment horizontal="center" vertical="top" wrapText="1"/>
    </xf>
    <xf numFmtId="0" fontId="10" fillId="0" borderId="1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13" fillId="2" borderId="0" xfId="0" applyFont="1" applyFill="1" applyBorder="1" applyAlignment="1">
      <alignment horizontal="right" vertical="top" wrapText="1" indent="1"/>
    </xf>
    <xf numFmtId="0" fontId="1" fillId="0" borderId="2" xfId="0" applyFont="1" applyBorder="1" applyAlignment="1">
      <alignment wrapText="1"/>
    </xf>
    <xf numFmtId="6" fontId="1" fillId="0" borderId="2" xfId="0" applyNumberFormat="1" applyFont="1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164" fontId="14" fillId="0" borderId="0" xfId="0" applyNumberFormat="1" applyFont="1" applyFill="1" applyBorder="1" applyAlignment="1">
      <alignment horizontal="center" vertical="top" shrinkToFit="1"/>
    </xf>
    <xf numFmtId="0" fontId="1" fillId="0" borderId="2" xfId="0" applyFont="1" applyBorder="1"/>
    <xf numFmtId="3" fontId="23" fillId="0" borderId="0" xfId="0" applyNumberFormat="1" applyFont="1" applyAlignment="1">
      <alignment horizontal="right" vertical="top" indent="2" shrinkToFit="1"/>
    </xf>
    <xf numFmtId="0" fontId="1" fillId="0" borderId="2" xfId="0" applyFont="1" applyBorder="1" applyAlignment="1">
      <alignment horizontal="centerContinuous"/>
    </xf>
    <xf numFmtId="9" fontId="1" fillId="0" borderId="2" xfId="0" applyNumberFormat="1" applyFont="1" applyBorder="1" applyAlignment="1">
      <alignment horizontal="centerContinuous"/>
    </xf>
    <xf numFmtId="9" fontId="1" fillId="0" borderId="2" xfId="0" applyNumberFormat="1" applyFont="1" applyBorder="1" applyAlignment="1"/>
    <xf numFmtId="0" fontId="1" fillId="0" borderId="11" xfId="0" applyFont="1" applyBorder="1" applyAlignment="1">
      <alignment horizontal="centerContinuous" wrapText="1"/>
    </xf>
    <xf numFmtId="0" fontId="1" fillId="0" borderId="5" xfId="0" applyFont="1" applyBorder="1" applyAlignment="1">
      <alignment horizontal="centerContinuous"/>
    </xf>
    <xf numFmtId="9" fontId="1" fillId="0" borderId="2" xfId="0" applyNumberFormat="1" applyFont="1" applyBorder="1"/>
    <xf numFmtId="10" fontId="1" fillId="0" borderId="2" xfId="0" applyNumberFormat="1" applyFont="1" applyBorder="1"/>
    <xf numFmtId="165" fontId="1" fillId="0" borderId="2" xfId="0" applyNumberFormat="1" applyFont="1" applyBorder="1"/>
    <xf numFmtId="0" fontId="25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4" fontId="1" fillId="0" borderId="0" xfId="0" applyNumberFormat="1" applyFont="1"/>
    <xf numFmtId="166" fontId="1" fillId="0" borderId="2" xfId="0" applyNumberFormat="1" applyFont="1" applyBorder="1"/>
    <xf numFmtId="4" fontId="1" fillId="0" borderId="2" xfId="0" applyNumberFormat="1" applyFont="1" applyBorder="1"/>
    <xf numFmtId="180" fontId="1" fillId="0" borderId="2" xfId="0" applyNumberFormat="1" applyFont="1" applyBorder="1"/>
    <xf numFmtId="8" fontId="1" fillId="0" borderId="2" xfId="0" applyNumberFormat="1" applyFont="1" applyBorder="1"/>
    <xf numFmtId="165" fontId="1" fillId="0" borderId="0" xfId="0" applyNumberFormat="1" applyFont="1" applyBorder="1"/>
    <xf numFmtId="0" fontId="1" fillId="0" borderId="12" xfId="0" applyFont="1" applyBorder="1" applyAlignment="1">
      <alignment horizontal="centerContinuous"/>
    </xf>
    <xf numFmtId="0" fontId="24" fillId="0" borderId="2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Continuous" wrapText="1"/>
    </xf>
    <xf numFmtId="0" fontId="11" fillId="0" borderId="2" xfId="0" applyFont="1" applyBorder="1" applyAlignment="1">
      <alignment horizontal="centerContinuous"/>
    </xf>
    <xf numFmtId="0" fontId="12" fillId="0" borderId="2" xfId="0" applyFont="1" applyBorder="1" applyAlignment="1">
      <alignment horizontal="left" wrapText="1"/>
    </xf>
    <xf numFmtId="3" fontId="1" fillId="0" borderId="2" xfId="0" applyNumberFormat="1" applyFont="1" applyBorder="1"/>
    <xf numFmtId="3" fontId="23" fillId="0" borderId="2" xfId="0" applyNumberFormat="1" applyFont="1" applyBorder="1" applyAlignment="1">
      <alignment vertical="top" shrinkToFit="1"/>
    </xf>
    <xf numFmtId="166" fontId="24" fillId="0" borderId="2" xfId="0" applyNumberFormat="1" applyFont="1" applyBorder="1" applyAlignment="1">
      <alignment vertical="top" shrinkToFit="1"/>
    </xf>
  </cellXfs>
  <cellStyles count="3">
    <cellStyle name="Normal" xfId="0" builtinId="0"/>
    <cellStyle name="Normal 2" xfId="1" xr:uid="{19A9D63C-0BF5-4931-BC25-C3F8DB49D3F1}"/>
    <cellStyle name="Normal 3" xfId="2" xr:uid="{3AE71B08-DC41-46E6-80A7-B23127FC2104}"/>
  </cellStyles>
  <dxfs count="0"/>
  <tableStyles count="0" defaultTableStyle="TableStyleMedium2" defaultPivotStyle="PivotStyleLight16"/>
  <colors>
    <mruColors>
      <color rgb="FFCCFFFF"/>
      <color rgb="FF99CCFF"/>
      <color rgb="FFCCFF99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42A5-5956-4A5F-9202-D35C89D7381E}">
  <dimension ref="A1:G9"/>
  <sheetViews>
    <sheetView showGridLines="0" zoomScale="130" zoomScaleNormal="130" workbookViewId="0">
      <selection activeCell="A7" sqref="A7"/>
    </sheetView>
  </sheetViews>
  <sheetFormatPr defaultRowHeight="15.05" x14ac:dyDescent="0.3"/>
  <cols>
    <col min="1" max="1" width="27.109375" bestFit="1" customWidth="1"/>
    <col min="2" max="3" width="11.5546875" bestFit="1" customWidth="1"/>
    <col min="4" max="4" width="10.44140625" bestFit="1" customWidth="1"/>
    <col min="6" max="6" width="12.6640625" bestFit="1" customWidth="1"/>
  </cols>
  <sheetData>
    <row r="1" spans="1:7" ht="15.65" x14ac:dyDescent="0.3">
      <c r="A1" s="109" t="s">
        <v>0</v>
      </c>
      <c r="B1" s="110">
        <v>9300</v>
      </c>
      <c r="C1" s="2"/>
      <c r="D1" s="2"/>
      <c r="E1" s="2"/>
      <c r="F1" s="111" t="s">
        <v>6</v>
      </c>
      <c r="G1" s="116">
        <v>0.14000000000000001</v>
      </c>
    </row>
    <row r="2" spans="1:7" ht="15.65" x14ac:dyDescent="0.3">
      <c r="A2" s="111" t="s">
        <v>1</v>
      </c>
      <c r="B2" s="112">
        <v>5</v>
      </c>
      <c r="C2" s="2"/>
      <c r="D2" s="2"/>
      <c r="E2" s="2"/>
      <c r="F2" s="111" t="s">
        <v>7</v>
      </c>
      <c r="G2" s="116">
        <v>0.21</v>
      </c>
    </row>
    <row r="3" spans="1:7" ht="15.65" x14ac:dyDescent="0.3">
      <c r="A3" s="111" t="s">
        <v>2</v>
      </c>
      <c r="B3" s="111">
        <v>1400</v>
      </c>
      <c r="C3" s="2" t="s">
        <v>3</v>
      </c>
      <c r="D3" s="2"/>
      <c r="E3" s="2"/>
      <c r="F3" s="2"/>
      <c r="G3" s="2"/>
    </row>
    <row r="4" spans="1:7" ht="15.65" x14ac:dyDescent="0.3">
      <c r="A4" s="111" t="s">
        <v>4</v>
      </c>
      <c r="B4" s="113">
        <v>1.97</v>
      </c>
      <c r="C4" s="2"/>
      <c r="D4" s="2"/>
      <c r="E4" s="2"/>
      <c r="F4" s="2"/>
      <c r="G4" s="2"/>
    </row>
    <row r="5" spans="1:7" ht="15.65" x14ac:dyDescent="0.3">
      <c r="A5" s="111" t="s">
        <v>5</v>
      </c>
      <c r="B5" s="113">
        <v>4.95</v>
      </c>
      <c r="C5" s="2"/>
      <c r="D5" s="2"/>
      <c r="E5" s="2"/>
      <c r="F5" s="2"/>
      <c r="G5" s="2"/>
    </row>
    <row r="6" spans="1:7" ht="15.65" x14ac:dyDescent="0.3">
      <c r="A6" s="2"/>
      <c r="B6" s="2"/>
      <c r="C6" s="2"/>
      <c r="D6" s="2"/>
      <c r="E6" s="2"/>
      <c r="F6" s="2"/>
      <c r="G6" s="2"/>
    </row>
    <row r="7" spans="1:7" ht="15.65" x14ac:dyDescent="0.3">
      <c r="A7" s="114" t="s">
        <v>8</v>
      </c>
      <c r="B7" s="113">
        <f>((B3*B5)-(B3*B4))*(1-G2)+G2*(B1/B2)</f>
        <v>3686.48</v>
      </c>
      <c r="C7" s="3"/>
      <c r="D7" s="2"/>
      <c r="E7" s="2"/>
      <c r="F7" s="2"/>
      <c r="G7" s="2"/>
    </row>
    <row r="8" spans="1:7" ht="15.65" x14ac:dyDescent="0.3">
      <c r="A8" s="114" t="s">
        <v>9</v>
      </c>
      <c r="B8" s="115">
        <f>PV(G1,B2,-B7)+-B1</f>
        <v>3355.9843300773446</v>
      </c>
      <c r="C8" s="113">
        <f>-B1+B7*(1-(1/(1+G1))^B2)/G1</f>
        <v>3355.9843300773409</v>
      </c>
      <c r="D8" s="113">
        <f>B7*PV(G1,B2,-1)+-B1</f>
        <v>3355.9843300773446</v>
      </c>
      <c r="E8" s="2"/>
      <c r="F8" s="2"/>
      <c r="G8" s="2"/>
    </row>
    <row r="9" spans="1:7" x14ac:dyDescent="0.3">
      <c r="C9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FB6-95E6-4E20-8A37-BB69A2184E1C}">
  <dimension ref="A1:J12"/>
  <sheetViews>
    <sheetView showGridLines="0" zoomScale="130" zoomScaleNormal="130" workbookViewId="0">
      <selection activeCell="E12" sqref="E12"/>
    </sheetView>
  </sheetViews>
  <sheetFormatPr defaultRowHeight="15.05" x14ac:dyDescent="0.3"/>
  <cols>
    <col min="1" max="1" width="28" bestFit="1" customWidth="1"/>
    <col min="2" max="2" width="11.88671875" bestFit="1" customWidth="1"/>
    <col min="3" max="6" width="10.109375" bestFit="1" customWidth="1"/>
    <col min="9" max="9" width="12.5546875" bestFit="1" customWidth="1"/>
  </cols>
  <sheetData>
    <row r="1" spans="1:10" ht="15.65" x14ac:dyDescent="0.3">
      <c r="A1" s="6"/>
      <c r="B1" s="7" t="s">
        <v>10</v>
      </c>
      <c r="C1" s="7" t="s">
        <v>11</v>
      </c>
      <c r="D1" s="7" t="s">
        <v>12</v>
      </c>
      <c r="E1" s="8" t="s">
        <v>13</v>
      </c>
      <c r="F1" s="7" t="s">
        <v>14</v>
      </c>
      <c r="I1" s="111" t="s">
        <v>7</v>
      </c>
      <c r="J1" s="116">
        <v>0.22</v>
      </c>
    </row>
    <row r="2" spans="1:10" ht="15.65" x14ac:dyDescent="0.3">
      <c r="A2" s="9" t="s">
        <v>15</v>
      </c>
      <c r="B2" s="11">
        <f>-26300</f>
        <v>-26300</v>
      </c>
      <c r="C2" s="12"/>
      <c r="D2" s="12"/>
      <c r="E2" s="12"/>
      <c r="F2" s="12"/>
      <c r="I2" s="111" t="s">
        <v>6</v>
      </c>
      <c r="J2" s="116">
        <v>0.12</v>
      </c>
    </row>
    <row r="3" spans="1:10" x14ac:dyDescent="0.3">
      <c r="A3" s="9" t="s">
        <v>16</v>
      </c>
      <c r="B3" s="12"/>
      <c r="C3" s="11">
        <v>13400</v>
      </c>
      <c r="D3" s="11">
        <v>15000</v>
      </c>
      <c r="E3" s="11">
        <v>16400</v>
      </c>
      <c r="F3" s="11">
        <v>12900</v>
      </c>
    </row>
    <row r="4" spans="1:10" x14ac:dyDescent="0.3">
      <c r="A4" s="9" t="s">
        <v>17</v>
      </c>
      <c r="B4" s="12"/>
      <c r="C4" s="11">
        <v>2900</v>
      </c>
      <c r="D4" s="11">
        <v>3100</v>
      </c>
      <c r="E4" s="11">
        <v>4200</v>
      </c>
      <c r="F4" s="11">
        <v>2800</v>
      </c>
    </row>
    <row r="5" spans="1:10" ht="15.65" x14ac:dyDescent="0.3">
      <c r="A5" s="9" t="s">
        <v>18</v>
      </c>
      <c r="B5" s="13"/>
      <c r="C5" s="11">
        <v>6575</v>
      </c>
      <c r="D5" s="11">
        <v>6575</v>
      </c>
      <c r="E5" s="11">
        <v>6575</v>
      </c>
      <c r="F5" s="11">
        <v>6575</v>
      </c>
    </row>
    <row r="6" spans="1:10" ht="15.65" x14ac:dyDescent="0.3">
      <c r="A6" s="10" t="s">
        <v>22</v>
      </c>
      <c r="B6" s="13"/>
      <c r="C6" s="11" cm="1">
        <f t="array" ref="C6:F6">Sales_Revenue-Operating_Costs-Depreciation</f>
        <v>3925</v>
      </c>
      <c r="D6" s="11">
        <v>5325</v>
      </c>
      <c r="E6" s="11">
        <v>5625</v>
      </c>
      <c r="F6" s="11">
        <v>3525</v>
      </c>
    </row>
    <row r="7" spans="1:10" ht="15.65" x14ac:dyDescent="0.3">
      <c r="A7" s="9" t="s">
        <v>23</v>
      </c>
      <c r="B7" s="13"/>
      <c r="C7" s="11" cm="1">
        <f t="array" ref="C7:F7">EBIT*$J$1</f>
        <v>863.5</v>
      </c>
      <c r="D7" s="11">
        <v>1171.5</v>
      </c>
      <c r="E7" s="11">
        <v>1237.5</v>
      </c>
      <c r="F7" s="11">
        <v>775.5</v>
      </c>
    </row>
    <row r="8" spans="1:10" ht="15.65" x14ac:dyDescent="0.3">
      <c r="A8" s="10" t="s">
        <v>21</v>
      </c>
      <c r="B8" s="13"/>
      <c r="C8" s="11" cm="1">
        <f t="array" ref="C8:F8">EBIT-Tax</f>
        <v>3061.5</v>
      </c>
      <c r="D8" s="11">
        <v>4153.5</v>
      </c>
      <c r="E8" s="11">
        <v>4387.5</v>
      </c>
      <c r="F8" s="11">
        <v>2749.5</v>
      </c>
    </row>
    <row r="9" spans="1:10" ht="15.65" x14ac:dyDescent="0.3">
      <c r="A9" s="10" t="s">
        <v>20</v>
      </c>
      <c r="B9" s="13"/>
      <c r="C9" s="11" cm="1">
        <f t="array" ref="C9:F9">EBIT-Tax+Depreciation</f>
        <v>9636.5</v>
      </c>
      <c r="D9" s="11">
        <v>10728.5</v>
      </c>
      <c r="E9" s="11">
        <v>10962.5</v>
      </c>
      <c r="F9" s="11">
        <v>9324.5</v>
      </c>
      <c r="G9" s="25"/>
    </row>
    <row r="10" spans="1:10" x14ac:dyDescent="0.3">
      <c r="A10" s="9" t="s">
        <v>19</v>
      </c>
      <c r="B10" s="11">
        <v>-300</v>
      </c>
      <c r="C10" s="11">
        <v>-200</v>
      </c>
      <c r="D10" s="11">
        <v>-225</v>
      </c>
      <c r="E10" s="11">
        <v>-150</v>
      </c>
      <c r="F10" s="14">
        <f>-SUM(B10:E10)</f>
        <v>875</v>
      </c>
    </row>
    <row r="11" spans="1:10" x14ac:dyDescent="0.3">
      <c r="A11" s="10" t="s">
        <v>24</v>
      </c>
      <c r="B11" s="11"/>
      <c r="C11" s="11" cm="1">
        <f t="array" ref="C11:F11">OCF+NWC</f>
        <v>9436.5</v>
      </c>
      <c r="D11" s="11">
        <v>10503.5</v>
      </c>
      <c r="E11" s="11">
        <v>10812.5</v>
      </c>
      <c r="F11" s="14">
        <v>10199.5</v>
      </c>
    </row>
    <row r="12" spans="1:10" ht="15.65" thickBot="1" x14ac:dyDescent="0.35">
      <c r="A12" s="10" t="s">
        <v>9</v>
      </c>
      <c r="B12" s="117">
        <f>(B2+B10)+NPV(J2,Incremental_CFO)</f>
        <v>4376.8628916011512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023C-9B2F-4C92-B313-DB3F4A1B8718}">
  <dimension ref="A1:M18"/>
  <sheetViews>
    <sheetView showGridLines="0" topLeftCell="A6" zoomScale="130" zoomScaleNormal="130" workbookViewId="0">
      <selection activeCell="B15" sqref="B15"/>
    </sheetView>
  </sheetViews>
  <sheetFormatPr defaultRowHeight="15.05" x14ac:dyDescent="0.3"/>
  <cols>
    <col min="1" max="1" width="22.6640625" bestFit="1" customWidth="1"/>
    <col min="2" max="2" width="14.44140625" bestFit="1" customWidth="1"/>
    <col min="3" max="3" width="15.109375" bestFit="1" customWidth="1"/>
    <col min="4" max="5" width="12.6640625" bestFit="1" customWidth="1"/>
    <col min="6" max="6" width="11.6640625" bestFit="1" customWidth="1"/>
    <col min="8" max="8" width="14.6640625" bestFit="1" customWidth="1"/>
  </cols>
  <sheetData>
    <row r="1" spans="1:13" ht="15.65" x14ac:dyDescent="0.3">
      <c r="A1" s="6"/>
      <c r="B1" s="16" t="s">
        <v>10</v>
      </c>
      <c r="C1" s="16" t="s">
        <v>11</v>
      </c>
      <c r="D1" s="16" t="s">
        <v>12</v>
      </c>
      <c r="E1" s="16" t="s">
        <v>13</v>
      </c>
      <c r="H1" s="111" t="s">
        <v>7</v>
      </c>
      <c r="I1" s="116">
        <v>0.25</v>
      </c>
    </row>
    <row r="2" spans="1:13" ht="15.65" x14ac:dyDescent="0.3">
      <c r="A2" s="9" t="s">
        <v>15</v>
      </c>
      <c r="B2" s="11">
        <v>-1420000</v>
      </c>
      <c r="C2" s="12"/>
      <c r="D2" s="12"/>
      <c r="E2" s="12"/>
      <c r="H2" s="111" t="s">
        <v>25</v>
      </c>
      <c r="I2" s="116">
        <v>0.12</v>
      </c>
    </row>
    <row r="3" spans="1:13" x14ac:dyDescent="0.3">
      <c r="A3" s="9" t="s">
        <v>16</v>
      </c>
      <c r="B3" s="12"/>
      <c r="C3" s="11">
        <v>1090000</v>
      </c>
      <c r="D3" s="11">
        <v>1090000</v>
      </c>
      <c r="E3" s="11">
        <v>1090000</v>
      </c>
    </row>
    <row r="4" spans="1:13" x14ac:dyDescent="0.3">
      <c r="A4" s="9" t="s">
        <v>17</v>
      </c>
      <c r="B4" s="12"/>
      <c r="C4" s="11">
        <v>475000</v>
      </c>
      <c r="D4" s="11">
        <v>475000</v>
      </c>
      <c r="E4" s="11">
        <v>475000</v>
      </c>
    </row>
    <row r="5" spans="1:13" ht="15.65" x14ac:dyDescent="0.3">
      <c r="A5" s="9" t="s">
        <v>18</v>
      </c>
      <c r="B5" s="13"/>
      <c r="C5" s="11">
        <f>-$B$2/3</f>
        <v>473333.33333333331</v>
      </c>
      <c r="D5" s="11">
        <f t="shared" ref="D5:E5" si="0">-$B$2/3</f>
        <v>473333.33333333331</v>
      </c>
      <c r="E5" s="11">
        <f t="shared" si="0"/>
        <v>473333.33333333331</v>
      </c>
    </row>
    <row r="6" spans="1:13" ht="15.65" x14ac:dyDescent="0.3">
      <c r="A6" s="10" t="s">
        <v>20</v>
      </c>
      <c r="B6" s="15">
        <f>(C3-C4)*(1-I1)+I1*(C5)</f>
        <v>579583.33333333337</v>
      </c>
      <c r="C6" s="11">
        <f>B6</f>
        <v>579583.33333333337</v>
      </c>
      <c r="D6" s="11">
        <f>B6</f>
        <v>579583.33333333337</v>
      </c>
      <c r="E6" s="11">
        <f>D6+(E8*(1-I1))+E7</f>
        <v>1002083.3333333334</v>
      </c>
      <c r="F6" s="26"/>
    </row>
    <row r="7" spans="1:13" ht="15.65" x14ac:dyDescent="0.3">
      <c r="A7" s="10" t="s">
        <v>26</v>
      </c>
      <c r="B7" s="13">
        <v>-250000</v>
      </c>
      <c r="C7" s="11"/>
      <c r="D7" s="11"/>
      <c r="E7" s="11">
        <f>-B7</f>
        <v>250000</v>
      </c>
    </row>
    <row r="8" spans="1:13" ht="15.65" x14ac:dyDescent="0.3">
      <c r="A8" s="10" t="s">
        <v>27</v>
      </c>
      <c r="B8" s="13"/>
      <c r="C8" s="11"/>
      <c r="D8" s="11"/>
      <c r="E8" s="11">
        <v>230000</v>
      </c>
    </row>
    <row r="9" spans="1:13" ht="15.65" x14ac:dyDescent="0.3">
      <c r="A9" s="10" t="s">
        <v>38</v>
      </c>
      <c r="B9" s="13"/>
      <c r="C9" s="11">
        <f>-$B$2*K$9</f>
        <v>473286</v>
      </c>
      <c r="D9" s="11">
        <f>-$B$2*L$9</f>
        <v>631190</v>
      </c>
      <c r="E9" s="11">
        <f>-$B$2*M$9</f>
        <v>210302</v>
      </c>
      <c r="K9" s="28">
        <v>0.33329999999999999</v>
      </c>
      <c r="L9" s="28">
        <v>0.44450000000000001</v>
      </c>
      <c r="M9" s="28">
        <v>0.14810000000000001</v>
      </c>
    </row>
    <row r="10" spans="1:13" ht="15.65" x14ac:dyDescent="0.3">
      <c r="A10" s="10" t="s">
        <v>36</v>
      </c>
      <c r="B10" s="13"/>
      <c r="C10" s="27">
        <f>(C3-C4)*(1-$I$1)+$I$1*(C9)</f>
        <v>579571.5</v>
      </c>
      <c r="D10" s="27">
        <f t="shared" ref="D10" si="1">(D3-D4)*(1-$I$1)+$I$1*(D9)</f>
        <v>619047.5</v>
      </c>
      <c r="E10" s="27">
        <f>(E3-E4)*(1-$I$1)+$I$1*(E9)+E7+B17</f>
        <v>962631</v>
      </c>
    </row>
    <row r="11" spans="1:13" ht="15.65" x14ac:dyDescent="0.3">
      <c r="A11" s="10" t="s">
        <v>36</v>
      </c>
      <c r="B11" s="13"/>
      <c r="C11" s="11">
        <f>(C3-C4)*(1-$I$1)+$I$1*(-$B$2)</f>
        <v>816250</v>
      </c>
      <c r="D11" s="11">
        <f>(D3-D4)*(1-$I$1)+$I$1*(0)</f>
        <v>461250</v>
      </c>
      <c r="E11" s="11">
        <f>(E3-E4)*(1-$I$1)+$I$1*(0)+E7+B18</f>
        <v>883750</v>
      </c>
    </row>
    <row r="12" spans="1:13" ht="15.65" x14ac:dyDescent="0.3">
      <c r="A12" s="10" t="s">
        <v>9</v>
      </c>
      <c r="B12" s="115">
        <f>B2+PV(I2,3,-B6)</f>
        <v>-27938.627459911164</v>
      </c>
      <c r="C12" s="113">
        <f>B2+B6*(1-(1/(1+I2))^3)/I2</f>
        <v>-27938.627459912095</v>
      </c>
      <c r="D12" s="113">
        <f>B2+B6*PV(I2,3,-1)</f>
        <v>-27938.627459911397</v>
      </c>
      <c r="E12" s="26"/>
    </row>
    <row r="13" spans="1:13" ht="15.65" x14ac:dyDescent="0.3">
      <c r="A13" s="10" t="s">
        <v>9</v>
      </c>
      <c r="B13" s="118">
        <f>(B2+B7)+NPV(I2,C6:E6)</f>
        <v>22788.527241253527</v>
      </c>
    </row>
    <row r="14" spans="1:13" ht="15.65" x14ac:dyDescent="0.3">
      <c r="A14" s="10" t="s">
        <v>9</v>
      </c>
      <c r="B14" s="115">
        <f>(B2+B7)+NPV(I2,C10:E10)</f>
        <v>26157.162217565347</v>
      </c>
    </row>
    <row r="15" spans="1:13" ht="15.65" x14ac:dyDescent="0.3">
      <c r="A15" s="10" t="s">
        <v>9</v>
      </c>
      <c r="B15" s="119">
        <f>(B2+B7)+NPV(I2,C11:E11)</f>
        <v>55536.112882652786</v>
      </c>
    </row>
    <row r="16" spans="1:13" ht="15.65" x14ac:dyDescent="0.3">
      <c r="A16" s="120" t="s">
        <v>37</v>
      </c>
      <c r="B16" s="110">
        <f>-B2-SUM(C9:E9)</f>
        <v>105222</v>
      </c>
    </row>
    <row r="17" spans="1:2" ht="15.65" x14ac:dyDescent="0.3">
      <c r="A17" s="120" t="s">
        <v>39</v>
      </c>
      <c r="B17" s="113">
        <f>E8+(B16-E8)*I1</f>
        <v>198805.5</v>
      </c>
    </row>
    <row r="18" spans="1:2" ht="15.65" x14ac:dyDescent="0.3">
      <c r="A18" s="120" t="s">
        <v>39</v>
      </c>
      <c r="B18" s="110">
        <f>E8+(0-E8)*I1</f>
        <v>172500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2F37-EBC4-4B74-AF69-A654320EFE34}">
  <dimension ref="A1:G23"/>
  <sheetViews>
    <sheetView showGridLines="0" zoomScale="130" zoomScaleNormal="130" workbookViewId="0">
      <selection activeCell="D3" sqref="D3:D10"/>
    </sheetView>
  </sheetViews>
  <sheetFormatPr defaultRowHeight="15.05" x14ac:dyDescent="0.3"/>
  <cols>
    <col min="5" max="5" width="11.109375" customWidth="1"/>
  </cols>
  <sheetData>
    <row r="1" spans="1:7" x14ac:dyDescent="0.3">
      <c r="A1" s="341" t="s">
        <v>28</v>
      </c>
      <c r="B1" s="341"/>
      <c r="C1" s="341"/>
      <c r="D1" s="341"/>
      <c r="E1" s="341"/>
      <c r="F1" s="341"/>
      <c r="G1" s="341"/>
    </row>
    <row r="2" spans="1:7" x14ac:dyDescent="0.3">
      <c r="A2" s="17" t="s">
        <v>29</v>
      </c>
      <c r="B2" s="17" t="s">
        <v>30</v>
      </c>
      <c r="C2" s="17" t="s">
        <v>31</v>
      </c>
      <c r="D2" s="17" t="s">
        <v>32</v>
      </c>
      <c r="E2" s="18" t="s">
        <v>33</v>
      </c>
      <c r="F2" s="17" t="s">
        <v>34</v>
      </c>
      <c r="G2" s="17" t="s">
        <v>35</v>
      </c>
    </row>
    <row r="3" spans="1:7" x14ac:dyDescent="0.3">
      <c r="A3" s="19">
        <v>1</v>
      </c>
      <c r="B3" s="20">
        <v>0.33329999999999999</v>
      </c>
      <c r="C3" s="20">
        <v>0.2</v>
      </c>
      <c r="D3" s="20">
        <v>0.1429</v>
      </c>
      <c r="E3" s="21">
        <v>0.1</v>
      </c>
      <c r="F3" s="20">
        <v>0.05</v>
      </c>
      <c r="G3" s="20">
        <v>3.7499999999999999E-2</v>
      </c>
    </row>
    <row r="4" spans="1:7" x14ac:dyDescent="0.3">
      <c r="A4" s="19">
        <v>2</v>
      </c>
      <c r="B4" s="20">
        <v>0.44450000000000001</v>
      </c>
      <c r="C4" s="20">
        <v>0.32</v>
      </c>
      <c r="D4" s="20">
        <v>0.24490000000000001</v>
      </c>
      <c r="E4" s="21">
        <v>0.18</v>
      </c>
      <c r="F4" s="20">
        <v>9.5000000000000001E-2</v>
      </c>
      <c r="G4" s="20">
        <v>7.2190000000000004E-2</v>
      </c>
    </row>
    <row r="5" spans="1:7" x14ac:dyDescent="0.3">
      <c r="A5" s="19">
        <v>3</v>
      </c>
      <c r="B5" s="20">
        <v>0.14810000000000001</v>
      </c>
      <c r="C5" s="20">
        <v>0.192</v>
      </c>
      <c r="D5" s="20">
        <v>0.1749</v>
      </c>
      <c r="E5" s="21">
        <v>0.14399999999999999</v>
      </c>
      <c r="F5" s="20">
        <v>8.5500000000000007E-2</v>
      </c>
      <c r="G5" s="20">
        <v>6.6769999999999996E-2</v>
      </c>
    </row>
    <row r="6" spans="1:7" x14ac:dyDescent="0.3">
      <c r="A6" s="19">
        <v>4</v>
      </c>
      <c r="B6" s="20">
        <v>7.4099999999999999E-2</v>
      </c>
      <c r="C6" s="20">
        <v>0.1152</v>
      </c>
      <c r="D6" s="20">
        <v>0.1249</v>
      </c>
      <c r="E6" s="21">
        <v>0.1152</v>
      </c>
      <c r="F6" s="20">
        <v>7.6999999999999999E-2</v>
      </c>
      <c r="G6" s="20">
        <v>6.1769999999999999E-2</v>
      </c>
    </row>
    <row r="7" spans="1:7" x14ac:dyDescent="0.3">
      <c r="A7" s="19">
        <v>5</v>
      </c>
      <c r="B7" s="22"/>
      <c r="C7" s="20">
        <v>0.1152</v>
      </c>
      <c r="D7" s="20">
        <v>8.9300000000000004E-2</v>
      </c>
      <c r="E7" s="21">
        <v>9.2200000000000004E-2</v>
      </c>
      <c r="F7" s="20">
        <v>6.93E-2</v>
      </c>
      <c r="G7" s="20">
        <v>5.713E-2</v>
      </c>
    </row>
    <row r="8" spans="1:7" x14ac:dyDescent="0.3">
      <c r="A8" s="19">
        <v>6</v>
      </c>
      <c r="B8" s="22"/>
      <c r="C8" s="20">
        <v>5.7599999999999998E-2</v>
      </c>
      <c r="D8" s="20">
        <v>8.9200000000000002E-2</v>
      </c>
      <c r="E8" s="21">
        <v>7.3700000000000002E-2</v>
      </c>
      <c r="F8" s="20">
        <v>6.2300000000000001E-2</v>
      </c>
      <c r="G8" s="20">
        <v>5.2850000000000001E-2</v>
      </c>
    </row>
    <row r="9" spans="1:7" x14ac:dyDescent="0.3">
      <c r="A9" s="19">
        <v>7</v>
      </c>
      <c r="B9" s="22"/>
      <c r="C9" s="22"/>
      <c r="D9" s="20">
        <v>8.9300000000000004E-2</v>
      </c>
      <c r="E9" s="21">
        <v>6.5500000000000003E-2</v>
      </c>
      <c r="F9" s="20">
        <v>5.8999999999999997E-2</v>
      </c>
      <c r="G9" s="20">
        <v>4.888E-2</v>
      </c>
    </row>
    <row r="10" spans="1:7" x14ac:dyDescent="0.3">
      <c r="A10" s="19">
        <v>8</v>
      </c>
      <c r="B10" s="22"/>
      <c r="C10" s="22"/>
      <c r="D10" s="20">
        <v>4.4600000000000001E-2</v>
      </c>
      <c r="E10" s="21">
        <v>6.5500000000000003E-2</v>
      </c>
      <c r="F10" s="20">
        <v>5.8999999999999997E-2</v>
      </c>
      <c r="G10" s="20">
        <v>4.5220000000000003E-2</v>
      </c>
    </row>
    <row r="11" spans="1:7" x14ac:dyDescent="0.3">
      <c r="A11" s="19">
        <v>9</v>
      </c>
      <c r="B11" s="22"/>
      <c r="C11" s="22"/>
      <c r="D11" s="22"/>
      <c r="E11" s="21">
        <v>6.5600000000000006E-2</v>
      </c>
      <c r="F11" s="20">
        <v>5.91E-2</v>
      </c>
      <c r="G11" s="20">
        <v>4.462E-2</v>
      </c>
    </row>
    <row r="12" spans="1:7" x14ac:dyDescent="0.3">
      <c r="A12" s="19">
        <v>10</v>
      </c>
      <c r="B12" s="22"/>
      <c r="C12" s="22"/>
      <c r="D12" s="22"/>
      <c r="E12" s="21">
        <v>6.5500000000000003E-2</v>
      </c>
      <c r="F12" s="20">
        <v>5.8999999999999997E-2</v>
      </c>
      <c r="G12" s="20">
        <v>4.4609999999999997E-2</v>
      </c>
    </row>
    <row r="13" spans="1:7" x14ac:dyDescent="0.3">
      <c r="A13" s="19">
        <v>11</v>
      </c>
      <c r="B13" s="22"/>
      <c r="C13" s="22"/>
      <c r="D13" s="22"/>
      <c r="E13" s="21">
        <v>3.2800000000000003E-2</v>
      </c>
      <c r="F13" s="20">
        <v>5.91E-2</v>
      </c>
      <c r="G13" s="20">
        <v>4.462E-2</v>
      </c>
    </row>
    <row r="14" spans="1:7" x14ac:dyDescent="0.3">
      <c r="A14" s="19">
        <v>12</v>
      </c>
      <c r="B14" s="22"/>
      <c r="C14" s="22"/>
      <c r="D14" s="22"/>
      <c r="E14" s="22"/>
      <c r="F14" s="20">
        <v>5.8999999999999997E-2</v>
      </c>
      <c r="G14" s="20">
        <v>4.4609999999999997E-2</v>
      </c>
    </row>
    <row r="15" spans="1:7" x14ac:dyDescent="0.3">
      <c r="A15" s="19">
        <v>13</v>
      </c>
      <c r="B15" s="23"/>
      <c r="C15" s="23"/>
      <c r="D15" s="23"/>
      <c r="E15" s="23"/>
      <c r="F15" s="20">
        <v>5.91E-2</v>
      </c>
      <c r="G15" s="20">
        <v>4.462E-2</v>
      </c>
    </row>
    <row r="16" spans="1:7" x14ac:dyDescent="0.3">
      <c r="A16" s="19">
        <v>14</v>
      </c>
      <c r="B16" s="22"/>
      <c r="C16" s="22"/>
      <c r="D16" s="22"/>
      <c r="E16" s="22"/>
      <c r="F16" s="20">
        <v>5.8999999999999997E-2</v>
      </c>
      <c r="G16" s="20">
        <v>4.4609999999999997E-2</v>
      </c>
    </row>
    <row r="17" spans="1:7" x14ac:dyDescent="0.3">
      <c r="A17" s="19">
        <v>15</v>
      </c>
      <c r="B17" s="22"/>
      <c r="C17" s="22"/>
      <c r="D17" s="22"/>
      <c r="E17" s="22"/>
      <c r="F17" s="20">
        <v>5.91E-2</v>
      </c>
      <c r="G17" s="20">
        <v>4.462E-2</v>
      </c>
    </row>
    <row r="18" spans="1:7" x14ac:dyDescent="0.3">
      <c r="A18" s="19">
        <v>16</v>
      </c>
      <c r="B18" s="22"/>
      <c r="C18" s="22"/>
      <c r="D18" s="22"/>
      <c r="E18" s="22"/>
      <c r="F18" s="20">
        <v>2.9499999999999998E-2</v>
      </c>
      <c r="G18" s="20">
        <v>4.4609999999999997E-2</v>
      </c>
    </row>
    <row r="19" spans="1:7" x14ac:dyDescent="0.3">
      <c r="A19" s="19">
        <v>17</v>
      </c>
      <c r="B19" s="22"/>
      <c r="C19" s="22"/>
      <c r="D19" s="22"/>
      <c r="E19" s="22"/>
      <c r="F19" s="22"/>
      <c r="G19" s="20">
        <v>4.462E-2</v>
      </c>
    </row>
    <row r="20" spans="1:7" x14ac:dyDescent="0.3">
      <c r="A20" s="19">
        <v>18</v>
      </c>
      <c r="B20" s="22"/>
      <c r="C20" s="22"/>
      <c r="D20" s="22"/>
      <c r="E20" s="22"/>
      <c r="F20" s="22"/>
      <c r="G20" s="20">
        <v>4.4609999999999997E-2</v>
      </c>
    </row>
    <row r="21" spans="1:7" x14ac:dyDescent="0.3">
      <c r="A21" s="19">
        <v>19</v>
      </c>
      <c r="B21" s="22"/>
      <c r="C21" s="22"/>
      <c r="D21" s="22"/>
      <c r="E21" s="22"/>
      <c r="F21" s="22"/>
      <c r="G21" s="20">
        <v>4.462E-2</v>
      </c>
    </row>
    <row r="22" spans="1:7" x14ac:dyDescent="0.3">
      <c r="A22" s="19">
        <v>20</v>
      </c>
      <c r="B22" s="23"/>
      <c r="C22" s="23"/>
      <c r="D22" s="23"/>
      <c r="E22" s="23"/>
      <c r="F22" s="23"/>
      <c r="G22" s="20">
        <v>4.4609999999999997E-2</v>
      </c>
    </row>
    <row r="23" spans="1:7" x14ac:dyDescent="0.3">
      <c r="A23" s="19">
        <v>21</v>
      </c>
      <c r="B23" s="22"/>
      <c r="C23" s="22"/>
      <c r="D23" s="22"/>
      <c r="E23" s="22"/>
      <c r="F23" s="22"/>
      <c r="G23" s="20">
        <v>2.231E-2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9557-E992-4BF3-923A-7561D2780025}">
  <dimension ref="A1:K10"/>
  <sheetViews>
    <sheetView showGridLines="0" zoomScale="130" zoomScaleNormal="130" workbookViewId="0"/>
  </sheetViews>
  <sheetFormatPr defaultRowHeight="15.05" x14ac:dyDescent="0.3"/>
  <cols>
    <col min="1" max="1" width="26.33203125" bestFit="1" customWidth="1"/>
    <col min="2" max="2" width="10.5546875" bestFit="1" customWidth="1"/>
    <col min="3" max="7" width="9.88671875" bestFit="1" customWidth="1"/>
    <col min="10" max="10" width="8.109375" bestFit="1" customWidth="1"/>
  </cols>
  <sheetData>
    <row r="1" spans="1:11" ht="15.65" x14ac:dyDescent="0.3">
      <c r="A1" s="6"/>
      <c r="B1" s="7" t="s">
        <v>10</v>
      </c>
      <c r="C1" s="7" t="s">
        <v>11</v>
      </c>
      <c r="D1" s="7" t="s">
        <v>12</v>
      </c>
      <c r="E1" s="8" t="s">
        <v>13</v>
      </c>
      <c r="F1" s="7" t="s">
        <v>14</v>
      </c>
      <c r="G1" s="7" t="s">
        <v>41</v>
      </c>
      <c r="J1" s="111" t="s">
        <v>7</v>
      </c>
      <c r="K1" s="116">
        <v>0.23</v>
      </c>
    </row>
    <row r="2" spans="1:11" x14ac:dyDescent="0.3">
      <c r="A2" s="9" t="s">
        <v>15</v>
      </c>
      <c r="B2" s="11">
        <v>-575000</v>
      </c>
      <c r="C2" s="12"/>
      <c r="D2" s="12"/>
      <c r="E2" s="12"/>
      <c r="F2" s="12"/>
      <c r="G2" s="12"/>
    </row>
    <row r="3" spans="1:11" x14ac:dyDescent="0.3">
      <c r="A3" s="9" t="s">
        <v>40</v>
      </c>
      <c r="B3" s="12"/>
      <c r="C3" s="11">
        <v>176000</v>
      </c>
      <c r="D3" s="11">
        <v>176000</v>
      </c>
      <c r="E3" s="11">
        <v>176000</v>
      </c>
      <c r="F3" s="11">
        <v>176000</v>
      </c>
      <c r="G3" s="11">
        <v>176000</v>
      </c>
    </row>
    <row r="4" spans="1:11" x14ac:dyDescent="0.3">
      <c r="A4" s="9" t="s">
        <v>42</v>
      </c>
      <c r="B4" s="12"/>
      <c r="C4" s="11">
        <f>SLN(-$B$2,,5)</f>
        <v>115000</v>
      </c>
      <c r="D4" s="11">
        <f t="shared" ref="D4:G4" si="0">SLN(-$B$2,,5)</f>
        <v>115000</v>
      </c>
      <c r="E4" s="11">
        <f t="shared" si="0"/>
        <v>115000</v>
      </c>
      <c r="F4" s="11">
        <f t="shared" si="0"/>
        <v>115000</v>
      </c>
      <c r="G4" s="11">
        <f t="shared" si="0"/>
        <v>115000</v>
      </c>
    </row>
    <row r="5" spans="1:11" x14ac:dyDescent="0.3">
      <c r="A5" s="10" t="s">
        <v>20</v>
      </c>
      <c r="B5" s="12">
        <f>B2+B6</f>
        <v>-495000</v>
      </c>
      <c r="C5" s="11">
        <f>C3*(1-$K$1)+$K$1*C4</f>
        <v>161970</v>
      </c>
      <c r="D5" s="11">
        <f t="shared" ref="D5:F5" si="1">D3*(1-$K$1)+$K$1*D4</f>
        <v>161970</v>
      </c>
      <c r="E5" s="11">
        <f t="shared" si="1"/>
        <v>161970</v>
      </c>
      <c r="F5" s="11">
        <f t="shared" si="1"/>
        <v>161970</v>
      </c>
      <c r="G5" s="11">
        <f>G3*(1-$K$1)+$K$1*G4+B9-B6</f>
        <v>128170</v>
      </c>
      <c r="H5" s="25"/>
    </row>
    <row r="6" spans="1:11" ht="15.65" x14ac:dyDescent="0.3">
      <c r="A6" s="10" t="s">
        <v>26</v>
      </c>
      <c r="B6" s="13">
        <v>80000</v>
      </c>
      <c r="C6" s="11"/>
      <c r="D6" s="11"/>
      <c r="E6" s="11"/>
      <c r="F6" s="11"/>
      <c r="G6" s="11"/>
    </row>
    <row r="7" spans="1:11" ht="15.65" x14ac:dyDescent="0.3">
      <c r="A7" s="10" t="s">
        <v>27</v>
      </c>
      <c r="B7" s="13"/>
      <c r="C7" s="11"/>
      <c r="D7" s="11"/>
      <c r="E7" s="11"/>
      <c r="F7" s="11"/>
      <c r="G7" s="11">
        <v>60000</v>
      </c>
    </row>
    <row r="9" spans="1:11" ht="15.65" x14ac:dyDescent="0.3">
      <c r="A9" s="120" t="s">
        <v>39</v>
      </c>
      <c r="B9" s="110">
        <f>G7+(0-G7)*K1</f>
        <v>46200</v>
      </c>
      <c r="C9" s="25"/>
      <c r="D9" s="25"/>
    </row>
    <row r="10" spans="1:11" ht="15.65" x14ac:dyDescent="0.3">
      <c r="A10" s="120" t="s">
        <v>43</v>
      </c>
      <c r="B10" s="121">
        <f>IRR(B5:G5)</f>
        <v>0.17700508125939596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4DAA-9F25-428C-AF1F-AA386313B565}">
  <dimension ref="A1:K11"/>
  <sheetViews>
    <sheetView showGridLines="0" zoomScale="130" zoomScaleNormal="130" workbookViewId="0">
      <selection activeCell="G6" sqref="G6"/>
    </sheetView>
  </sheetViews>
  <sheetFormatPr defaultRowHeight="15.05" x14ac:dyDescent="0.3"/>
  <cols>
    <col min="1" max="1" width="28.5546875" customWidth="1"/>
    <col min="2" max="2" width="12.33203125" bestFit="1" customWidth="1"/>
    <col min="3" max="3" width="9.88671875" bestFit="1" customWidth="1"/>
    <col min="7" max="7" width="9.88671875" bestFit="1" customWidth="1"/>
    <col min="8" max="8" width="11.5546875" bestFit="1" customWidth="1"/>
    <col min="10" max="10" width="14.6640625" bestFit="1" customWidth="1"/>
  </cols>
  <sheetData>
    <row r="1" spans="1:11" ht="15.65" x14ac:dyDescent="0.3">
      <c r="A1" s="6"/>
      <c r="B1" s="7" t="s">
        <v>10</v>
      </c>
      <c r="C1" s="7" t="s">
        <v>11</v>
      </c>
      <c r="D1" s="7" t="s">
        <v>12</v>
      </c>
      <c r="E1" s="8" t="s">
        <v>13</v>
      </c>
      <c r="F1" s="7" t="s">
        <v>14</v>
      </c>
      <c r="G1" s="7" t="s">
        <v>41</v>
      </c>
      <c r="J1" s="111" t="s">
        <v>7</v>
      </c>
      <c r="K1" s="116">
        <v>0.24</v>
      </c>
    </row>
    <row r="2" spans="1:11" ht="15.65" x14ac:dyDescent="0.3">
      <c r="A2" s="9" t="s">
        <v>15</v>
      </c>
      <c r="B2" s="11">
        <v>-375000</v>
      </c>
      <c r="C2" s="12"/>
      <c r="D2" s="12"/>
      <c r="E2" s="12"/>
      <c r="F2" s="12"/>
      <c r="G2" s="12"/>
      <c r="J2" s="111" t="s">
        <v>44</v>
      </c>
      <c r="K2" s="116">
        <v>0.1</v>
      </c>
    </row>
    <row r="3" spans="1:11" x14ac:dyDescent="0.3">
      <c r="A3" s="9" t="s">
        <v>17</v>
      </c>
      <c r="B3" s="12"/>
      <c r="C3" s="11">
        <v>95000</v>
      </c>
      <c r="D3" s="11">
        <v>95000</v>
      </c>
      <c r="E3" s="11">
        <v>95000</v>
      </c>
      <c r="F3" s="11">
        <v>95000</v>
      </c>
      <c r="G3" s="11">
        <v>95000</v>
      </c>
    </row>
    <row r="4" spans="1:11" x14ac:dyDescent="0.3">
      <c r="A4" s="9" t="s">
        <v>18</v>
      </c>
      <c r="B4" s="12"/>
      <c r="C4" s="11">
        <f>SLN(-$B$2,,5)</f>
        <v>75000</v>
      </c>
      <c r="D4" s="11">
        <f t="shared" ref="D4:G4" si="0">SLN(-$B$2,,5)</f>
        <v>75000</v>
      </c>
      <c r="E4" s="11">
        <f t="shared" si="0"/>
        <v>75000</v>
      </c>
      <c r="F4" s="11">
        <f t="shared" si="0"/>
        <v>75000</v>
      </c>
      <c r="G4" s="11">
        <f t="shared" si="0"/>
        <v>75000</v>
      </c>
      <c r="H4" s="26"/>
      <c r="I4" s="26"/>
      <c r="J4" s="26"/>
      <c r="K4" s="26"/>
    </row>
    <row r="5" spans="1:11" x14ac:dyDescent="0.3">
      <c r="A5" s="10" t="s">
        <v>20</v>
      </c>
      <c r="B5" s="12"/>
      <c r="C5" s="11">
        <f>C$3*(1-$K$1)+$K$1*C$4</f>
        <v>90200</v>
      </c>
      <c r="D5" s="11">
        <f t="shared" ref="D5:F5" si="1">D$3*(1-$K$1)+$K$1*D$4</f>
        <v>90200</v>
      </c>
      <c r="E5" s="11">
        <f t="shared" si="1"/>
        <v>90200</v>
      </c>
      <c r="F5" s="11">
        <f t="shared" si="1"/>
        <v>90200</v>
      </c>
      <c r="G5" s="11">
        <f>G$3*(1-$K$1)+$K$1*G$4-B7+B11</f>
        <v>124200</v>
      </c>
    </row>
    <row r="6" spans="1:11" x14ac:dyDescent="0.3">
      <c r="A6" s="10" t="s">
        <v>20</v>
      </c>
      <c r="B6" s="12"/>
      <c r="C6" s="11">
        <f>C3*(1-$K$1)+$K$1*(-B2)</f>
        <v>162200</v>
      </c>
      <c r="D6" s="11">
        <f>D3*(1-$K$1)+$K$1*0</f>
        <v>72200</v>
      </c>
      <c r="E6" s="11">
        <f t="shared" ref="E6:F6" si="2">E3*(1-$K$1)+$K$1*0</f>
        <v>72200</v>
      </c>
      <c r="F6" s="11">
        <f t="shared" si="2"/>
        <v>72200</v>
      </c>
      <c r="G6" s="11">
        <f>G3*(1-$K$1)+$K$1*0+-B7+B11</f>
        <v>106200</v>
      </c>
    </row>
    <row r="7" spans="1:11" ht="15.65" x14ac:dyDescent="0.3">
      <c r="A7" s="10" t="s">
        <v>26</v>
      </c>
      <c r="B7" s="13">
        <v>-15000</v>
      </c>
      <c r="C7" s="11"/>
      <c r="D7" s="11"/>
      <c r="E7" s="11"/>
      <c r="F7" s="11"/>
      <c r="G7" s="11"/>
    </row>
    <row r="8" spans="1:11" ht="15.65" x14ac:dyDescent="0.3">
      <c r="A8" s="10" t="s">
        <v>27</v>
      </c>
      <c r="B8" s="13"/>
      <c r="C8" s="11"/>
      <c r="D8" s="11"/>
      <c r="E8" s="11"/>
      <c r="F8" s="11"/>
      <c r="G8" s="11">
        <v>25000</v>
      </c>
    </row>
    <row r="9" spans="1:11" ht="15.65" x14ac:dyDescent="0.3">
      <c r="A9" s="10" t="s">
        <v>9</v>
      </c>
      <c r="B9" s="113">
        <f>(B2+B7)+NPV(K2,C5:G5)</f>
        <v>-26959.708415346802</v>
      </c>
    </row>
    <row r="10" spans="1:11" ht="15.65" x14ac:dyDescent="0.3">
      <c r="A10" s="10" t="s">
        <v>9</v>
      </c>
      <c r="B10" s="122">
        <f>(B2+B7)+NPV(K2,C6:G6)</f>
        <v>-13375.688446516986</v>
      </c>
    </row>
    <row r="11" spans="1:11" ht="15.65" x14ac:dyDescent="0.3">
      <c r="A11" s="120" t="s">
        <v>39</v>
      </c>
      <c r="B11" s="110">
        <f>G8+(0-G8)*K1</f>
        <v>19000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3831-3A32-42B0-A38A-ADA6D00145A4}">
  <dimension ref="A1:H4"/>
  <sheetViews>
    <sheetView showGridLines="0" zoomScale="130" zoomScaleNormal="130" workbookViewId="0">
      <selection activeCell="E1" sqref="E1:F1"/>
    </sheetView>
  </sheetViews>
  <sheetFormatPr defaultRowHeight="15.05" x14ac:dyDescent="0.3"/>
  <cols>
    <col min="1" max="1" width="23.44140625" bestFit="1" customWidth="1"/>
    <col min="2" max="2" width="11.5546875" bestFit="1" customWidth="1"/>
    <col min="5" max="5" width="8.109375" bestFit="1" customWidth="1"/>
  </cols>
  <sheetData>
    <row r="1" spans="1:8" ht="15.65" x14ac:dyDescent="0.3">
      <c r="A1" s="111" t="s">
        <v>45</v>
      </c>
      <c r="B1" s="110">
        <v>7600000</v>
      </c>
      <c r="E1" s="111" t="s">
        <v>7</v>
      </c>
      <c r="F1" s="116">
        <v>0.21</v>
      </c>
    </row>
    <row r="2" spans="1:8" ht="15.65" x14ac:dyDescent="0.3">
      <c r="A2" s="109" t="s">
        <v>46</v>
      </c>
      <c r="B2" s="110">
        <v>1400000</v>
      </c>
    </row>
    <row r="3" spans="1:8" ht="15.65" x14ac:dyDescent="0.3">
      <c r="A3" s="111" t="s">
        <v>47</v>
      </c>
      <c r="B3" s="110">
        <f>B1-(B1*SUM(E4:H4))</f>
        <v>1313280.0000000009</v>
      </c>
    </row>
    <row r="4" spans="1:8" ht="15.65" x14ac:dyDescent="0.3">
      <c r="A4" s="120" t="s">
        <v>39</v>
      </c>
      <c r="B4" s="110">
        <f>B2+(B3-B2)*F1</f>
        <v>1381788.8000000003</v>
      </c>
      <c r="E4" s="28">
        <v>0.2</v>
      </c>
      <c r="F4" s="28">
        <v>0.32</v>
      </c>
      <c r="G4" s="28">
        <v>0.192</v>
      </c>
      <c r="H4" s="28">
        <v>0.1152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E7D2-F4D0-4028-8C3B-4321D5D4E2CD}">
  <dimension ref="A1:J13"/>
  <sheetViews>
    <sheetView showGridLines="0" zoomScale="130" zoomScaleNormal="130" workbookViewId="0">
      <selection activeCell="G12" sqref="G12"/>
    </sheetView>
  </sheetViews>
  <sheetFormatPr defaultRowHeight="15.05" x14ac:dyDescent="0.3"/>
  <cols>
    <col min="1" max="1" width="19.6640625" customWidth="1"/>
    <col min="2" max="2" width="12.6640625" bestFit="1" customWidth="1"/>
    <col min="3" max="5" width="11.5546875" bestFit="1" customWidth="1"/>
    <col min="6" max="6" width="11.5546875" customWidth="1"/>
    <col min="8" max="8" width="11.5546875" bestFit="1" customWidth="1"/>
    <col min="9" max="9" width="14.6640625" bestFit="1" customWidth="1"/>
  </cols>
  <sheetData>
    <row r="1" spans="1:10" ht="15.65" x14ac:dyDescent="0.3">
      <c r="A1" s="6"/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I1" s="111" t="s">
        <v>7</v>
      </c>
      <c r="J1" s="116">
        <v>0.25</v>
      </c>
    </row>
    <row r="2" spans="1:10" ht="15.65" x14ac:dyDescent="0.3">
      <c r="A2" s="9" t="s">
        <v>15</v>
      </c>
      <c r="B2" s="11">
        <v>-4100000</v>
      </c>
      <c r="C2" s="12"/>
      <c r="D2" s="12"/>
      <c r="E2" s="12"/>
      <c r="F2" s="12"/>
      <c r="I2" s="111" t="s">
        <v>25</v>
      </c>
      <c r="J2" s="116">
        <v>0.13</v>
      </c>
    </row>
    <row r="3" spans="1:10" x14ac:dyDescent="0.3">
      <c r="A3" s="9" t="s">
        <v>16</v>
      </c>
      <c r="B3" s="12"/>
      <c r="C3" s="11">
        <v>2350000</v>
      </c>
      <c r="D3" s="11">
        <v>2350000</v>
      </c>
      <c r="E3" s="11">
        <v>2350000</v>
      </c>
      <c r="F3" s="11">
        <v>2350000</v>
      </c>
    </row>
    <row r="4" spans="1:10" x14ac:dyDescent="0.3">
      <c r="A4" s="9" t="s">
        <v>17</v>
      </c>
      <c r="B4" s="12"/>
      <c r="C4" s="11">
        <f>$C$3*0.25</f>
        <v>587500</v>
      </c>
      <c r="D4" s="11">
        <f t="shared" ref="D4:F4" si="0">$C$3*0.25</f>
        <v>587500</v>
      </c>
      <c r="E4" s="11">
        <f t="shared" si="0"/>
        <v>587500</v>
      </c>
      <c r="F4" s="11">
        <f t="shared" si="0"/>
        <v>587500</v>
      </c>
    </row>
    <row r="5" spans="1:10" ht="15.65" x14ac:dyDescent="0.3">
      <c r="A5" s="9" t="s">
        <v>18</v>
      </c>
      <c r="B5" s="13"/>
      <c r="C5" s="11">
        <f>SLN(-$B$2,,4)</f>
        <v>1025000</v>
      </c>
      <c r="D5" s="11">
        <f t="shared" ref="D5:F5" si="1">SLN(-$B$2,,4)</f>
        <v>1025000</v>
      </c>
      <c r="E5" s="11">
        <f t="shared" si="1"/>
        <v>1025000</v>
      </c>
      <c r="F5" s="11">
        <f t="shared" si="1"/>
        <v>1025000</v>
      </c>
    </row>
    <row r="6" spans="1:10" ht="15.65" x14ac:dyDescent="0.3">
      <c r="A6" s="10" t="s">
        <v>22</v>
      </c>
      <c r="B6" s="13"/>
      <c r="C6" s="11">
        <f>C$3-C$4-C$5</f>
        <v>737500</v>
      </c>
      <c r="D6" s="11">
        <f t="shared" ref="D6:F6" si="2">D$3-D$4-D$5</f>
        <v>737500</v>
      </c>
      <c r="E6" s="11">
        <f t="shared" si="2"/>
        <v>737500</v>
      </c>
      <c r="F6" s="11">
        <f t="shared" si="2"/>
        <v>737500</v>
      </c>
    </row>
    <row r="7" spans="1:10" ht="15.65" x14ac:dyDescent="0.3">
      <c r="A7" s="9" t="s">
        <v>23</v>
      </c>
      <c r="B7" s="13"/>
      <c r="C7" s="11">
        <f>C$6*$J$1</f>
        <v>184375</v>
      </c>
      <c r="D7" s="11">
        <f t="shared" ref="D7:F7" si="3">D$6*$J$1</f>
        <v>184375</v>
      </c>
      <c r="E7" s="11">
        <f t="shared" si="3"/>
        <v>184375</v>
      </c>
      <c r="F7" s="11">
        <f t="shared" si="3"/>
        <v>184375</v>
      </c>
    </row>
    <row r="8" spans="1:10" ht="15.65" x14ac:dyDescent="0.3">
      <c r="A8" s="10" t="s">
        <v>48</v>
      </c>
      <c r="B8" s="13"/>
      <c r="C8" s="11">
        <f>C$6-C$7</f>
        <v>553125</v>
      </c>
      <c r="D8" s="11">
        <f t="shared" ref="D8:F8" si="4">D$6-D$7</f>
        <v>553125</v>
      </c>
      <c r="E8" s="11">
        <f t="shared" si="4"/>
        <v>553125</v>
      </c>
      <c r="F8" s="11">
        <f t="shared" si="4"/>
        <v>553125</v>
      </c>
    </row>
    <row r="9" spans="1:10" ht="15.65" x14ac:dyDescent="0.3">
      <c r="A9" s="10" t="s">
        <v>20</v>
      </c>
      <c r="B9" s="15"/>
      <c r="C9" s="11">
        <f>C$6-C$7+C$5</f>
        <v>1578125</v>
      </c>
      <c r="D9" s="11">
        <f t="shared" ref="D9:E9" si="5">D$6-D$7+D$5</f>
        <v>1578125</v>
      </c>
      <c r="E9" s="11">
        <f t="shared" si="5"/>
        <v>1578125</v>
      </c>
      <c r="F9" s="11">
        <f>F$6-F$7+F$5+-B11</f>
        <v>1728125</v>
      </c>
      <c r="H9" s="25"/>
    </row>
    <row r="10" spans="1:10" ht="15.65" x14ac:dyDescent="0.3">
      <c r="A10" s="10" t="s">
        <v>20</v>
      </c>
      <c r="B10" s="15"/>
      <c r="C10" s="11">
        <f>(C$3-C$4-C$5)*(1-$J$1)+C$5</f>
        <v>1578125</v>
      </c>
      <c r="D10" s="11">
        <f t="shared" ref="D10:E10" si="6">(D$3-D$4-D$5)*(1-$J$1)+D$5</f>
        <v>1578125</v>
      </c>
      <c r="E10" s="11">
        <f t="shared" si="6"/>
        <v>1578125</v>
      </c>
      <c r="F10" s="11">
        <f>(F$3-F$4-F$5)*(1-$J$1)+F$5+-B11</f>
        <v>1728125</v>
      </c>
      <c r="H10" s="25"/>
    </row>
    <row r="11" spans="1:10" ht="15.65" x14ac:dyDescent="0.3">
      <c r="A11" s="10" t="s">
        <v>26</v>
      </c>
      <c r="B11" s="13">
        <v>-150000</v>
      </c>
      <c r="C11" s="11"/>
      <c r="D11" s="11"/>
      <c r="E11" s="11"/>
      <c r="F11" s="11"/>
    </row>
    <row r="12" spans="1:10" ht="15.65" x14ac:dyDescent="0.3">
      <c r="A12" s="10" t="s">
        <v>27</v>
      </c>
      <c r="B12" s="13"/>
      <c r="C12" s="11"/>
      <c r="D12" s="11"/>
      <c r="E12" s="11"/>
      <c r="F12" s="11"/>
    </row>
    <row r="13" spans="1:10" ht="15.65" x14ac:dyDescent="0.3">
      <c r="A13" s="10" t="s">
        <v>9</v>
      </c>
      <c r="B13" s="115">
        <f>(B2+B11)+NPV($J$2,C9:F9)</f>
        <v>536085.36977486033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023C-B292-4385-B7BE-A2D6BDE83C2F}">
  <dimension ref="A1:H10"/>
  <sheetViews>
    <sheetView showGridLines="0" zoomScale="130" zoomScaleNormal="130" workbookViewId="0">
      <selection activeCell="B10" sqref="B10"/>
    </sheetView>
  </sheetViews>
  <sheetFormatPr defaultRowHeight="15.05" x14ac:dyDescent="0.3"/>
  <cols>
    <col min="1" max="1" width="23.44140625" bestFit="1" customWidth="1"/>
    <col min="2" max="4" width="13.33203125" bestFit="1" customWidth="1"/>
    <col min="7" max="7" width="15.6640625" customWidth="1"/>
    <col min="8" max="8" width="8.88671875" bestFit="1" customWidth="1"/>
  </cols>
  <sheetData>
    <row r="1" spans="1:8" ht="15.65" x14ac:dyDescent="0.3">
      <c r="A1" s="111" t="s">
        <v>49</v>
      </c>
      <c r="B1" s="110">
        <v>-265000</v>
      </c>
      <c r="C1" s="2" t="s">
        <v>52</v>
      </c>
      <c r="E1" s="2"/>
      <c r="F1" s="2"/>
      <c r="G1" s="111" t="s">
        <v>54</v>
      </c>
      <c r="H1" s="110">
        <v>25000</v>
      </c>
    </row>
    <row r="2" spans="1:8" ht="15.65" x14ac:dyDescent="0.3">
      <c r="A2" s="111" t="s">
        <v>50</v>
      </c>
      <c r="B2" s="110">
        <v>-41000</v>
      </c>
      <c r="C2" s="2"/>
      <c r="E2" s="2"/>
      <c r="F2" s="2"/>
      <c r="G2" s="111" t="s">
        <v>7</v>
      </c>
      <c r="H2" s="116">
        <v>0.21</v>
      </c>
    </row>
    <row r="3" spans="1:8" ht="15.65" x14ac:dyDescent="0.3">
      <c r="A3" s="111" t="s">
        <v>51</v>
      </c>
      <c r="B3" s="110">
        <v>-330000</v>
      </c>
      <c r="C3" s="2" t="s">
        <v>53</v>
      </c>
      <c r="E3" s="2"/>
      <c r="F3" s="2"/>
      <c r="G3" s="111" t="s">
        <v>44</v>
      </c>
      <c r="H3" s="116">
        <v>0.09</v>
      </c>
    </row>
    <row r="4" spans="1:8" ht="15.65" x14ac:dyDescent="0.3">
      <c r="A4" s="111" t="s">
        <v>50</v>
      </c>
      <c r="B4" s="110">
        <v>-52000</v>
      </c>
      <c r="C4" s="2"/>
      <c r="D4" s="2"/>
      <c r="E4" s="2"/>
      <c r="F4" s="2"/>
      <c r="G4" s="2"/>
      <c r="H4" s="2"/>
    </row>
    <row r="5" spans="1:8" ht="15.65" x14ac:dyDescent="0.3">
      <c r="A5" s="2"/>
      <c r="B5" s="2"/>
      <c r="C5" s="2"/>
      <c r="D5" s="2"/>
      <c r="E5" s="2"/>
      <c r="F5" s="2"/>
      <c r="G5" s="2"/>
      <c r="H5" s="2"/>
    </row>
    <row r="6" spans="1:8" ht="15.65" x14ac:dyDescent="0.3">
      <c r="A6" s="120" t="s">
        <v>39</v>
      </c>
      <c r="B6" s="110">
        <f>H1+(0-H1)*H2</f>
        <v>19750</v>
      </c>
      <c r="C6" s="2"/>
      <c r="D6" s="2"/>
      <c r="E6" s="2"/>
      <c r="F6" s="2"/>
      <c r="G6" s="2"/>
      <c r="H6" s="2"/>
    </row>
    <row r="7" spans="1:8" ht="15.65" x14ac:dyDescent="0.3">
      <c r="A7" s="114" t="s">
        <v>56</v>
      </c>
      <c r="B7" s="110">
        <f>B2*(1-H2)+H2*(-B1/3)</f>
        <v>-13840</v>
      </c>
      <c r="C7" s="2"/>
      <c r="D7" s="2"/>
      <c r="E7" s="2"/>
      <c r="F7" s="2"/>
      <c r="G7" s="2"/>
      <c r="H7" s="2"/>
    </row>
    <row r="8" spans="1:8" ht="15.65" x14ac:dyDescent="0.3">
      <c r="A8" s="114" t="s">
        <v>57</v>
      </c>
      <c r="B8" s="110">
        <f>B4*(1-H2)+H2*(-B3/5)</f>
        <v>-27220</v>
      </c>
      <c r="C8" s="2"/>
      <c r="D8" s="2"/>
      <c r="E8" s="2"/>
      <c r="F8" s="2"/>
      <c r="G8" s="2"/>
      <c r="H8" s="2"/>
    </row>
    <row r="9" spans="1:8" ht="15.65" x14ac:dyDescent="0.3">
      <c r="A9" s="114" t="s">
        <v>55</v>
      </c>
      <c r="B9" s="113">
        <f>(B1+NPV(H3,B7,B7,B7+B6))/PV(H3,3,-1)</f>
        <v>-112504.67923492262</v>
      </c>
      <c r="C9" s="3">
        <f>(B1+B7/(1+H3)+B7/(1+H3)^2+B7/(1+H3)^3+B6/(1+H3)^3)/((1-(1/(1+H3))^3)/H3)</f>
        <v>-112504.67923492257</v>
      </c>
      <c r="D9" s="3"/>
      <c r="E9" s="2"/>
      <c r="F9" s="2"/>
      <c r="G9" s="2"/>
      <c r="H9" s="2"/>
    </row>
    <row r="10" spans="1:8" ht="15.65" x14ac:dyDescent="0.3">
      <c r="A10" s="114" t="s">
        <v>58</v>
      </c>
      <c r="B10" s="115">
        <f>(B3+NPV(H3,B8,B8,B8,B8,B8+B6))/PV(H3,5,-1)</f>
        <v>-108760.43477083005</v>
      </c>
      <c r="C10" s="2"/>
      <c r="D10" s="2"/>
      <c r="E10" s="2"/>
      <c r="F10" s="2"/>
      <c r="G10" s="2"/>
      <c r="H1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6EF1-A99D-4A1E-ADCE-032A5F51CF3B}">
  <dimension ref="A1:N14"/>
  <sheetViews>
    <sheetView showGridLines="0" zoomScale="130" zoomScaleNormal="130" workbookViewId="0">
      <selection activeCell="C8" sqref="C8"/>
    </sheetView>
  </sheetViews>
  <sheetFormatPr defaultRowHeight="15.05" x14ac:dyDescent="0.3"/>
  <cols>
    <col min="1" max="1" width="23.44140625" bestFit="1" customWidth="1"/>
    <col min="2" max="2" width="12.6640625" bestFit="1" customWidth="1"/>
    <col min="3" max="3" width="13.77734375" bestFit="1" customWidth="1"/>
    <col min="4" max="6" width="12.6640625" bestFit="1" customWidth="1"/>
    <col min="9" max="9" width="15" customWidth="1"/>
  </cols>
  <sheetData>
    <row r="1" spans="1:14" ht="15.65" x14ac:dyDescent="0.3">
      <c r="A1" s="6"/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I1" s="111" t="s">
        <v>7</v>
      </c>
      <c r="J1" s="116">
        <v>0.23</v>
      </c>
    </row>
    <row r="2" spans="1:14" ht="15.65" x14ac:dyDescent="0.3">
      <c r="A2" s="9" t="s">
        <v>15</v>
      </c>
      <c r="B2" s="11">
        <v>-670000</v>
      </c>
      <c r="C2" s="12"/>
      <c r="D2" s="12"/>
      <c r="E2" s="12"/>
      <c r="F2" s="12"/>
      <c r="I2" s="111" t="s">
        <v>44</v>
      </c>
      <c r="J2" s="116">
        <v>0.08</v>
      </c>
    </row>
    <row r="3" spans="1:14" ht="15.65" x14ac:dyDescent="0.3">
      <c r="A3" s="9" t="s">
        <v>59</v>
      </c>
      <c r="B3" s="12"/>
      <c r="C3" s="11">
        <v>245000</v>
      </c>
      <c r="D3" s="11">
        <v>245000</v>
      </c>
      <c r="E3" s="11">
        <v>245000</v>
      </c>
      <c r="F3" s="11">
        <v>245000</v>
      </c>
      <c r="I3" s="111" t="s">
        <v>54</v>
      </c>
      <c r="J3" s="110">
        <v>55000</v>
      </c>
    </row>
    <row r="4" spans="1:14" x14ac:dyDescent="0.3">
      <c r="A4" s="9" t="s">
        <v>60</v>
      </c>
      <c r="B4" s="12">
        <v>-20000</v>
      </c>
      <c r="C4" s="11">
        <v>-2500</v>
      </c>
      <c r="D4" s="11">
        <v>-2500</v>
      </c>
      <c r="E4" s="11">
        <v>-2500</v>
      </c>
      <c r="F4" s="11">
        <f>-SUM(B4:E4)</f>
        <v>27500</v>
      </c>
    </row>
    <row r="5" spans="1:14" ht="15.65" x14ac:dyDescent="0.3">
      <c r="A5" s="9" t="s">
        <v>18</v>
      </c>
      <c r="B5" s="13"/>
      <c r="C5" s="11">
        <f>-$B$2*K$5</f>
        <v>134000</v>
      </c>
      <c r="D5" s="11">
        <f>-$B$2*L$5</f>
        <v>214400</v>
      </c>
      <c r="E5" s="11">
        <f>-$B$2*M$5</f>
        <v>128640</v>
      </c>
      <c r="F5" s="11">
        <f>-$B$2*N$5</f>
        <v>77184</v>
      </c>
      <c r="K5" s="28">
        <v>0.2</v>
      </c>
      <c r="L5" s="28">
        <v>0.32</v>
      </c>
      <c r="M5" s="28">
        <v>0.192</v>
      </c>
      <c r="N5" s="28">
        <v>0.1152</v>
      </c>
    </row>
    <row r="6" spans="1:14" ht="15.65" x14ac:dyDescent="0.3">
      <c r="A6" s="10" t="s">
        <v>20</v>
      </c>
      <c r="B6" s="13"/>
      <c r="C6" s="27">
        <f>C$3*(1-$J$1)+$J$1*(C$5)</f>
        <v>219470</v>
      </c>
      <c r="D6" s="27">
        <f t="shared" ref="D6:F6" si="0">D$3*(1-$J$1)+$J$1*(D$5)</f>
        <v>237962</v>
      </c>
      <c r="E6" s="27">
        <f t="shared" si="0"/>
        <v>218237.2</v>
      </c>
      <c r="F6" s="27">
        <f t="shared" si="0"/>
        <v>206402.32</v>
      </c>
      <c r="K6" s="29"/>
      <c r="L6" s="29"/>
      <c r="M6" s="29"/>
      <c r="N6" s="29"/>
    </row>
    <row r="7" spans="1:14" ht="15.65" x14ac:dyDescent="0.3">
      <c r="A7" s="10" t="s">
        <v>20</v>
      </c>
      <c r="B7" s="13"/>
      <c r="C7" s="11">
        <f>C$3*(1-$J$1)+$J$1*(-$B$2)</f>
        <v>342750</v>
      </c>
      <c r="D7" s="11">
        <f>D$3*(1-$J$1)+$J$1*(0)</f>
        <v>188650</v>
      </c>
      <c r="E7" s="11">
        <f t="shared" ref="E7:F7" si="1">E$3*(1-$J$1)+$J$1*(0)</f>
        <v>188650</v>
      </c>
      <c r="F7" s="11">
        <f t="shared" si="1"/>
        <v>188650</v>
      </c>
      <c r="K7" s="29"/>
      <c r="L7" s="29"/>
      <c r="M7" s="29"/>
      <c r="N7" s="29"/>
    </row>
    <row r="8" spans="1:14" ht="15.65" x14ac:dyDescent="0.3">
      <c r="A8" s="10" t="s">
        <v>36</v>
      </c>
      <c r="B8" s="13"/>
      <c r="C8" s="27">
        <f>C6+C4</f>
        <v>216970</v>
      </c>
      <c r="D8" s="27">
        <f>D6+D4</f>
        <v>235462</v>
      </c>
      <c r="E8" s="27">
        <f>E6+E4</f>
        <v>215737.2</v>
      </c>
      <c r="F8" s="27">
        <f>F6+F4+B13</f>
        <v>302880.8</v>
      </c>
      <c r="K8" s="29"/>
      <c r="L8" s="29"/>
      <c r="M8" s="29"/>
      <c r="N8" s="29"/>
    </row>
    <row r="9" spans="1:14" ht="15.65" x14ac:dyDescent="0.3">
      <c r="A9" s="10" t="s">
        <v>36</v>
      </c>
      <c r="B9" s="13"/>
      <c r="C9" s="27">
        <f>C$7+C$4</f>
        <v>340250</v>
      </c>
      <c r="D9" s="27">
        <f t="shared" ref="D9:E9" si="2">D$7+D$4</f>
        <v>186150</v>
      </c>
      <c r="E9" s="27">
        <f t="shared" si="2"/>
        <v>186150</v>
      </c>
      <c r="F9" s="27">
        <f>F$7+F$4+B14</f>
        <v>258500</v>
      </c>
      <c r="K9" s="29"/>
      <c r="L9" s="29"/>
      <c r="M9" s="29"/>
      <c r="N9" s="29"/>
    </row>
    <row r="10" spans="1:14" ht="15.65" x14ac:dyDescent="0.3">
      <c r="A10" s="9" t="s">
        <v>9</v>
      </c>
      <c r="B10" s="115">
        <f>(B2+B4)+NPV(J2,C8:F8)</f>
        <v>106654.43624033511</v>
      </c>
      <c r="C10" s="26"/>
    </row>
    <row r="11" spans="1:14" ht="15.65" x14ac:dyDescent="0.3">
      <c r="A11" s="9" t="s">
        <v>9</v>
      </c>
      <c r="B11" s="119">
        <f>(B2+B4)+NPV(J2,C9:F9)</f>
        <v>122417.00630926085</v>
      </c>
    </row>
    <row r="12" spans="1:14" ht="15.65" x14ac:dyDescent="0.3">
      <c r="A12" s="120" t="s">
        <v>61</v>
      </c>
      <c r="B12" s="110">
        <f>-B2-SUM(C5:F5)</f>
        <v>115776</v>
      </c>
      <c r="C12" s="123"/>
    </row>
    <row r="13" spans="1:14" ht="15.65" x14ac:dyDescent="0.3">
      <c r="A13" s="120" t="s">
        <v>39</v>
      </c>
      <c r="B13" s="113">
        <f>J3+(B12-J3)*J1</f>
        <v>68978.48</v>
      </c>
      <c r="C13" s="26"/>
    </row>
    <row r="14" spans="1:14" ht="15.65" x14ac:dyDescent="0.3">
      <c r="A14" s="120" t="s">
        <v>39</v>
      </c>
      <c r="B14" s="110">
        <f>J3+(0-J3)*J1</f>
        <v>42350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BD16-983E-4594-BA87-68B4D23E0BC3}">
  <dimension ref="A1:H12"/>
  <sheetViews>
    <sheetView showGridLines="0" zoomScale="130" zoomScaleNormal="130" workbookViewId="0">
      <selection activeCell="E9" sqref="E9"/>
    </sheetView>
  </sheetViews>
  <sheetFormatPr defaultRowHeight="15.05" x14ac:dyDescent="0.3"/>
  <cols>
    <col min="1" max="1" width="18.21875" bestFit="1" customWidth="1"/>
    <col min="2" max="3" width="13.33203125" bestFit="1" customWidth="1"/>
    <col min="7" max="7" width="13.33203125" bestFit="1" customWidth="1"/>
    <col min="8" max="8" width="8.88671875" bestFit="1" customWidth="1"/>
  </cols>
  <sheetData>
    <row r="1" spans="1:8" ht="15.65" x14ac:dyDescent="0.3">
      <c r="A1" s="111" t="s">
        <v>62</v>
      </c>
      <c r="B1" s="110">
        <v>-265000</v>
      </c>
      <c r="C1" s="2" t="s">
        <v>64</v>
      </c>
      <c r="E1" s="2"/>
      <c r="F1" s="2"/>
      <c r="G1" s="2"/>
      <c r="H1" s="1"/>
    </row>
    <row r="2" spans="1:8" ht="15.65" x14ac:dyDescent="0.3">
      <c r="A2" s="111" t="s">
        <v>50</v>
      </c>
      <c r="B2" s="110">
        <v>-73000</v>
      </c>
      <c r="C2" s="2"/>
      <c r="E2" s="2"/>
      <c r="F2" s="2"/>
      <c r="G2" s="111" t="s">
        <v>7</v>
      </c>
      <c r="H2" s="116">
        <v>0.23</v>
      </c>
    </row>
    <row r="3" spans="1:8" ht="15.65" x14ac:dyDescent="0.3">
      <c r="A3" s="111" t="s">
        <v>63</v>
      </c>
      <c r="B3" s="110">
        <v>-380000</v>
      </c>
      <c r="C3" s="2" t="s">
        <v>65</v>
      </c>
      <c r="E3" s="2"/>
      <c r="F3" s="2"/>
      <c r="G3" s="111" t="s">
        <v>44</v>
      </c>
      <c r="H3" s="126">
        <v>7.4999999999999997E-2</v>
      </c>
    </row>
    <row r="4" spans="1:8" ht="15.65" x14ac:dyDescent="0.3">
      <c r="A4" s="111" t="s">
        <v>50</v>
      </c>
      <c r="B4" s="110">
        <v>-64000</v>
      </c>
      <c r="C4" s="2"/>
      <c r="D4" s="2"/>
      <c r="E4" s="2"/>
      <c r="F4" s="2"/>
      <c r="G4" s="2"/>
      <c r="H4" s="2"/>
    </row>
    <row r="5" spans="1:8" ht="15.65" x14ac:dyDescent="0.3">
      <c r="A5" s="2"/>
      <c r="B5" s="2"/>
      <c r="C5" s="2"/>
      <c r="D5" s="2"/>
      <c r="E5" s="2"/>
      <c r="F5" s="2"/>
      <c r="G5" s="2"/>
      <c r="H5" s="2"/>
    </row>
    <row r="6" spans="1:8" ht="15.65" x14ac:dyDescent="0.3">
      <c r="A6" s="24"/>
      <c r="B6" s="1"/>
      <c r="C6" s="2"/>
      <c r="D6" s="2"/>
      <c r="E6" s="2"/>
      <c r="F6" s="2"/>
      <c r="G6" s="2"/>
      <c r="H6" s="2"/>
    </row>
    <row r="7" spans="1:8" ht="15.65" x14ac:dyDescent="0.3">
      <c r="A7" s="124" t="s">
        <v>66</v>
      </c>
      <c r="B7" s="125">
        <f>B2*(1-H2)+H2*(-B1/4)</f>
        <v>-40972.5</v>
      </c>
      <c r="C7" s="2"/>
      <c r="D7" s="2"/>
      <c r="E7" s="2"/>
      <c r="F7" s="2"/>
      <c r="G7" s="2"/>
      <c r="H7" s="2"/>
    </row>
    <row r="8" spans="1:8" ht="15.65" x14ac:dyDescent="0.3">
      <c r="A8" s="124" t="s">
        <v>67</v>
      </c>
      <c r="B8" s="125">
        <f>B4*(1-H2)+H2*(-B3/6)</f>
        <v>-34713.333333333328</v>
      </c>
      <c r="C8" s="2"/>
      <c r="D8" s="2"/>
      <c r="E8" s="2"/>
      <c r="F8" s="2"/>
      <c r="G8" s="2"/>
      <c r="H8" s="2"/>
    </row>
    <row r="9" spans="1:8" ht="15.65" x14ac:dyDescent="0.3">
      <c r="A9" s="124" t="s">
        <v>70</v>
      </c>
      <c r="B9" s="115">
        <f>B1+NPV(H3,B7,B7,B7,B7)</f>
        <v>-402230.27058316645</v>
      </c>
      <c r="C9" s="3">
        <f>B7*PV($H$3,4,-1)+$B$1</f>
        <v>-402230.27058316639</v>
      </c>
      <c r="D9" s="2"/>
      <c r="E9" s="2"/>
      <c r="F9" s="2"/>
      <c r="G9" s="2"/>
      <c r="H9" s="2"/>
    </row>
    <row r="10" spans="1:8" ht="15.65" x14ac:dyDescent="0.3">
      <c r="A10" s="124" t="s">
        <v>71</v>
      </c>
      <c r="B10" s="115">
        <f>B3+NPV(H3,B8,B8,B8,B8,B8,B8)</f>
        <v>-542939.05540902913</v>
      </c>
      <c r="C10" s="3">
        <f>B8*PV($H$3,6,-1)+$B$3</f>
        <v>-542939.05540902901</v>
      </c>
      <c r="D10" s="2"/>
      <c r="E10" s="2"/>
      <c r="F10" s="2"/>
      <c r="G10" s="2"/>
      <c r="H10" s="2"/>
    </row>
    <row r="11" spans="1:8" ht="15.65" x14ac:dyDescent="0.3">
      <c r="A11" s="124" t="s">
        <v>68</v>
      </c>
      <c r="B11" s="115">
        <f>B9/PV(H3,4,-1)</f>
        <v>-120092.8897934446</v>
      </c>
      <c r="C11" s="3"/>
      <c r="D11" s="3"/>
      <c r="E11" s="2"/>
      <c r="F11" s="2"/>
      <c r="G11" s="2"/>
      <c r="H11" s="2"/>
    </row>
    <row r="12" spans="1:8" ht="15.65" x14ac:dyDescent="0.3">
      <c r="A12" s="124" t="s">
        <v>69</v>
      </c>
      <c r="B12" s="115">
        <f>B10/PV(H3,6,-1)</f>
        <v>-115670.39199279889</v>
      </c>
      <c r="C12" s="2"/>
      <c r="D12" s="2"/>
      <c r="E12" s="2"/>
      <c r="F12" s="2"/>
      <c r="G12" s="2"/>
      <c r="H1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DB23-CDD9-479A-A143-488A31E3EBED}">
  <dimension ref="A1:H14"/>
  <sheetViews>
    <sheetView showGridLines="0" zoomScale="130" zoomScaleNormal="130" workbookViewId="0">
      <selection activeCell="E6" sqref="E6"/>
    </sheetView>
  </sheetViews>
  <sheetFormatPr defaultRowHeight="15.05" x14ac:dyDescent="0.3"/>
  <cols>
    <col min="1" max="1" width="23.44140625" bestFit="1" customWidth="1"/>
    <col min="2" max="2" width="10.88671875" bestFit="1" customWidth="1"/>
    <col min="3" max="3" width="11.109375" customWidth="1"/>
    <col min="4" max="4" width="10.6640625" customWidth="1"/>
    <col min="7" max="7" width="14.6640625" bestFit="1" customWidth="1"/>
  </cols>
  <sheetData>
    <row r="1" spans="1:8" ht="15.65" x14ac:dyDescent="0.3">
      <c r="A1" s="34"/>
      <c r="B1" s="49" t="s">
        <v>79</v>
      </c>
      <c r="C1" s="50" t="s">
        <v>72</v>
      </c>
      <c r="D1" s="49" t="s">
        <v>73</v>
      </c>
      <c r="G1" s="111" t="s">
        <v>7</v>
      </c>
      <c r="H1" s="116">
        <v>0.22</v>
      </c>
    </row>
    <row r="2" spans="1:8" ht="15.65" x14ac:dyDescent="0.3">
      <c r="A2" s="34"/>
      <c r="B2" s="78">
        <v>-425000</v>
      </c>
      <c r="C2" s="45"/>
      <c r="D2" s="51"/>
      <c r="G2" s="111" t="s">
        <v>25</v>
      </c>
      <c r="H2" s="126">
        <v>0.09</v>
      </c>
    </row>
    <row r="3" spans="1:8" ht="15.65" x14ac:dyDescent="0.3">
      <c r="A3" s="37" t="s">
        <v>74</v>
      </c>
      <c r="B3" s="38"/>
      <c r="C3" s="39">
        <v>275000</v>
      </c>
      <c r="D3" s="40">
        <v>275000</v>
      </c>
      <c r="G3" s="24"/>
      <c r="H3" s="3"/>
    </row>
    <row r="4" spans="1:8" x14ac:dyDescent="0.3">
      <c r="A4" s="41" t="s">
        <v>75</v>
      </c>
      <c r="B4" s="38"/>
      <c r="C4" s="39">
        <f>C3*0.35</f>
        <v>96250</v>
      </c>
      <c r="D4" s="40">
        <f>D3*0.35</f>
        <v>96250</v>
      </c>
    </row>
    <row r="5" spans="1:8" x14ac:dyDescent="0.3">
      <c r="A5" s="41" t="s">
        <v>76</v>
      </c>
      <c r="B5" s="38"/>
      <c r="C5" s="39">
        <v>47000</v>
      </c>
      <c r="D5" s="40">
        <v>47000</v>
      </c>
    </row>
    <row r="6" spans="1:8" x14ac:dyDescent="0.3">
      <c r="A6" s="41" t="s">
        <v>18</v>
      </c>
      <c r="B6" s="38"/>
      <c r="C6" s="42">
        <f>-B2</f>
        <v>425000</v>
      </c>
      <c r="D6" s="43">
        <v>0</v>
      </c>
    </row>
    <row r="7" spans="1:8" x14ac:dyDescent="0.3">
      <c r="A7" s="44" t="s">
        <v>22</v>
      </c>
      <c r="B7" s="38"/>
      <c r="C7" s="42">
        <f>C3-SUM(C4:C6)</f>
        <v>-293250</v>
      </c>
      <c r="D7" s="43">
        <f>D3-SUM(D4:D6)</f>
        <v>131750</v>
      </c>
    </row>
    <row r="8" spans="1:8" x14ac:dyDescent="0.3">
      <c r="A8" s="41" t="s">
        <v>23</v>
      </c>
      <c r="B8" s="38"/>
      <c r="C8" s="42">
        <f>C7*$H$1</f>
        <v>-64515</v>
      </c>
      <c r="D8" s="43">
        <f>D7*$H$1</f>
        <v>28985</v>
      </c>
    </row>
    <row r="9" spans="1:8" x14ac:dyDescent="0.3">
      <c r="A9" s="44" t="s">
        <v>77</v>
      </c>
      <c r="B9" s="38"/>
      <c r="C9" s="42">
        <f>C7-C8</f>
        <v>-228735</v>
      </c>
      <c r="D9" s="43">
        <f>D7-D8</f>
        <v>102765</v>
      </c>
    </row>
    <row r="10" spans="1:8" x14ac:dyDescent="0.3">
      <c r="A10" s="41" t="s">
        <v>26</v>
      </c>
      <c r="B10" s="42">
        <v>-25000</v>
      </c>
      <c r="C10" s="45"/>
      <c r="D10" s="46">
        <f>-B10</f>
        <v>25000</v>
      </c>
    </row>
    <row r="11" spans="1:8" x14ac:dyDescent="0.3">
      <c r="A11" s="41" t="s">
        <v>27</v>
      </c>
      <c r="B11" s="38"/>
      <c r="C11" s="45"/>
      <c r="D11" s="46">
        <v>45000</v>
      </c>
    </row>
    <row r="12" spans="1:8" x14ac:dyDescent="0.3">
      <c r="A12" s="47" t="s">
        <v>20</v>
      </c>
      <c r="B12" s="48"/>
      <c r="C12" s="79">
        <f>C7-C8+C6</f>
        <v>196265</v>
      </c>
      <c r="D12" s="79">
        <f>D7-D8+D6</f>
        <v>102765</v>
      </c>
    </row>
    <row r="13" spans="1:8" x14ac:dyDescent="0.3">
      <c r="A13" s="127" t="s">
        <v>9</v>
      </c>
      <c r="B13" s="128">
        <f>(B2+B10)+NPV(H2,C12,D12,D12,D12,D12+D10+B14)</f>
        <v>74560.70490863116</v>
      </c>
    </row>
    <row r="14" spans="1:8" ht="15.65" x14ac:dyDescent="0.3">
      <c r="A14" s="120" t="s">
        <v>39</v>
      </c>
      <c r="B14" s="110">
        <f>D11+(0-D11)*H1</f>
        <v>35100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6AB8-397C-40A0-A413-9C29F98B8890}">
  <dimension ref="A1:I13"/>
  <sheetViews>
    <sheetView showGridLines="0" zoomScale="130" zoomScaleNormal="130" workbookViewId="0">
      <selection activeCell="A9" sqref="A9"/>
    </sheetView>
  </sheetViews>
  <sheetFormatPr defaultRowHeight="15.05" x14ac:dyDescent="0.3"/>
  <cols>
    <col min="1" max="1" width="34.109375" bestFit="1" customWidth="1"/>
    <col min="2" max="2" width="16.109375" bestFit="1" customWidth="1"/>
    <col min="3" max="3" width="16.109375" customWidth="1"/>
    <col min="4" max="4" width="15.109375" bestFit="1" customWidth="1"/>
    <col min="5" max="5" width="16.5546875" customWidth="1"/>
    <col min="6" max="6" width="12.33203125" bestFit="1" customWidth="1"/>
    <col min="7" max="7" width="13.6640625" customWidth="1"/>
    <col min="8" max="8" width="14.6640625" bestFit="1" customWidth="1"/>
  </cols>
  <sheetData>
    <row r="1" spans="1:9" ht="15.65" x14ac:dyDescent="0.3">
      <c r="A1" s="129" t="s">
        <v>80</v>
      </c>
      <c r="B1" s="130">
        <v>-1980000</v>
      </c>
      <c r="C1" s="2" t="s">
        <v>65</v>
      </c>
      <c r="D1" s="32"/>
      <c r="E1" s="49" t="s">
        <v>82</v>
      </c>
      <c r="F1" s="49" t="s">
        <v>83</v>
      </c>
      <c r="G1" s="30"/>
      <c r="H1" s="111" t="s">
        <v>7</v>
      </c>
      <c r="I1" s="116">
        <v>0.21</v>
      </c>
    </row>
    <row r="2" spans="1:9" ht="15.65" x14ac:dyDescent="0.3">
      <c r="A2" s="129" t="s">
        <v>75</v>
      </c>
      <c r="B2" s="130">
        <f>B3*0.35</f>
        <v>4340000</v>
      </c>
      <c r="C2" s="33"/>
      <c r="D2" s="37" t="s">
        <v>75</v>
      </c>
      <c r="E2" s="42">
        <f>-B3*0.35</f>
        <v>-4340000</v>
      </c>
      <c r="F2" s="43">
        <f>-B3*0.3</f>
        <v>-3720000</v>
      </c>
      <c r="G2" s="35"/>
      <c r="H2" s="111" t="s">
        <v>25</v>
      </c>
      <c r="I2" s="116">
        <v>0.1</v>
      </c>
    </row>
    <row r="3" spans="1:9" x14ac:dyDescent="0.3">
      <c r="A3" s="129" t="s">
        <v>85</v>
      </c>
      <c r="B3" s="130">
        <v>12400000</v>
      </c>
      <c r="C3" s="33"/>
      <c r="D3" s="41" t="s">
        <v>76</v>
      </c>
      <c r="E3" s="42">
        <f>-B4</f>
        <v>-187000</v>
      </c>
      <c r="F3" s="43">
        <f>-B8</f>
        <v>-145000</v>
      </c>
      <c r="G3" s="36"/>
    </row>
    <row r="4" spans="1:9" x14ac:dyDescent="0.3">
      <c r="A4" s="129" t="s">
        <v>76</v>
      </c>
      <c r="B4" s="130">
        <v>187000</v>
      </c>
      <c r="C4" s="33"/>
      <c r="D4" s="41" t="s">
        <v>18</v>
      </c>
      <c r="E4" s="42">
        <f>SLN(B1,,6)</f>
        <v>-330000</v>
      </c>
      <c r="F4" s="43">
        <f>SLN(B5,,9)</f>
        <v>-600000</v>
      </c>
      <c r="G4" s="30"/>
    </row>
    <row r="5" spans="1:9" ht="15.05" customHeight="1" x14ac:dyDescent="0.3">
      <c r="A5" s="129" t="s">
        <v>81</v>
      </c>
      <c r="B5" s="130">
        <v>-5400000</v>
      </c>
      <c r="C5" s="2" t="s">
        <v>86</v>
      </c>
      <c r="D5" s="41" t="s">
        <v>84</v>
      </c>
      <c r="E5" s="42">
        <f>SUM(E2:E4)</f>
        <v>-4857000</v>
      </c>
      <c r="F5" s="43">
        <f>SUM(F2:F4)</f>
        <v>-4465000</v>
      </c>
      <c r="G5" s="35"/>
    </row>
    <row r="6" spans="1:9" x14ac:dyDescent="0.3">
      <c r="A6" s="129" t="s">
        <v>75</v>
      </c>
      <c r="B6" s="130">
        <f>B7*0.3</f>
        <v>3720000</v>
      </c>
      <c r="C6" s="33"/>
      <c r="D6" s="41" t="s">
        <v>23</v>
      </c>
      <c r="E6" s="42">
        <f>E$5*$I$1</f>
        <v>-1019970</v>
      </c>
      <c r="F6" s="43">
        <f>F$5*$I$1</f>
        <v>-937650</v>
      </c>
      <c r="G6" s="31"/>
    </row>
    <row r="7" spans="1:9" x14ac:dyDescent="0.3">
      <c r="A7" s="129" t="s">
        <v>85</v>
      </c>
      <c r="B7" s="130">
        <v>12400000</v>
      </c>
      <c r="C7" s="33"/>
      <c r="D7" s="41" t="s">
        <v>77</v>
      </c>
      <c r="E7" s="42">
        <f>E5-E6</f>
        <v>-3837030</v>
      </c>
      <c r="F7" s="43">
        <f>F5-F6</f>
        <v>-3527350</v>
      </c>
      <c r="G7" s="35"/>
    </row>
    <row r="8" spans="1:9" x14ac:dyDescent="0.3">
      <c r="A8" s="129" t="s">
        <v>76</v>
      </c>
      <c r="B8" s="130">
        <v>145000</v>
      </c>
      <c r="C8" s="33"/>
      <c r="D8" s="41" t="s">
        <v>78</v>
      </c>
      <c r="E8" s="52">
        <f>-E4</f>
        <v>330000</v>
      </c>
      <c r="F8" s="53">
        <f>-F4</f>
        <v>600000</v>
      </c>
      <c r="G8" s="31"/>
    </row>
    <row r="9" spans="1:9" x14ac:dyDescent="0.3">
      <c r="D9" s="47" t="s">
        <v>20</v>
      </c>
      <c r="E9" s="54">
        <f>E7+E8</f>
        <v>-3507030</v>
      </c>
      <c r="F9" s="54">
        <f>F7+F8</f>
        <v>-2927350</v>
      </c>
      <c r="G9" s="30"/>
    </row>
    <row r="10" spans="1:9" x14ac:dyDescent="0.3">
      <c r="A10" s="127" t="s">
        <v>70</v>
      </c>
      <c r="B10" s="131">
        <f>B1+E9*PV(I2,6,-1)</f>
        <v>-17254029.930835016</v>
      </c>
      <c r="C10" s="55"/>
    </row>
    <row r="11" spans="1:9" x14ac:dyDescent="0.3">
      <c r="A11" s="127" t="s">
        <v>71</v>
      </c>
      <c r="B11" s="131">
        <f>B5+F9*PV(I2,9,-1)</f>
        <v>-22258678.36857307</v>
      </c>
      <c r="C11" s="55"/>
    </row>
    <row r="12" spans="1:9" x14ac:dyDescent="0.3">
      <c r="A12" s="127" t="s">
        <v>68</v>
      </c>
      <c r="B12" s="131">
        <f>B10/PV(I2,6,-1)</f>
        <v>-3961652.6131180809</v>
      </c>
      <c r="C12" s="55"/>
    </row>
    <row r="13" spans="1:9" x14ac:dyDescent="0.3">
      <c r="A13" s="127" t="s">
        <v>69</v>
      </c>
      <c r="B13" s="131">
        <f>B11/PV(I2,9,-1)</f>
        <v>-3865008.9110014541</v>
      </c>
      <c r="C13" s="5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8AE5-88A5-40B8-B209-27F76F14077F}">
  <dimension ref="A1:G6"/>
  <sheetViews>
    <sheetView showGridLines="0" zoomScale="130" zoomScaleNormal="130" workbookViewId="0">
      <selection activeCell="C6" sqref="C6"/>
    </sheetView>
  </sheetViews>
  <sheetFormatPr defaultRowHeight="15.05" x14ac:dyDescent="0.3"/>
  <cols>
    <col min="2" max="2" width="12.109375" bestFit="1" customWidth="1"/>
    <col min="3" max="3" width="12.88671875" customWidth="1"/>
    <col min="6" max="6" width="20.33203125" bestFit="1" customWidth="1"/>
    <col min="7" max="7" width="5.77734375" bestFit="1" customWidth="1"/>
  </cols>
  <sheetData>
    <row r="1" spans="1:7" ht="15.65" x14ac:dyDescent="0.3">
      <c r="A1" s="16" t="s">
        <v>29</v>
      </c>
      <c r="B1" s="57" t="s">
        <v>87</v>
      </c>
      <c r="C1" s="57" t="s">
        <v>88</v>
      </c>
      <c r="F1" s="111" t="s">
        <v>89</v>
      </c>
      <c r="G1" s="116">
        <v>0.11</v>
      </c>
    </row>
    <row r="2" spans="1:7" ht="15.65" x14ac:dyDescent="0.3">
      <c r="A2" s="58">
        <v>0</v>
      </c>
      <c r="B2" s="59">
        <v>-42000</v>
      </c>
      <c r="C2" s="60">
        <v>-53000</v>
      </c>
      <c r="F2" s="111" t="s">
        <v>90</v>
      </c>
      <c r="G2" s="116">
        <v>0.04</v>
      </c>
    </row>
    <row r="3" spans="1:7" ht="15.65" x14ac:dyDescent="0.3">
      <c r="A3" s="58">
        <v>1</v>
      </c>
      <c r="B3" s="61">
        <v>21000</v>
      </c>
      <c r="C3" s="61">
        <v>24000</v>
      </c>
      <c r="F3" s="114" t="s">
        <v>91</v>
      </c>
      <c r="G3" s="121">
        <f>(1+G1)/(1+G2)-1</f>
        <v>6.7307692307692291E-2</v>
      </c>
    </row>
    <row r="4" spans="1:7" x14ac:dyDescent="0.3">
      <c r="A4" s="58">
        <v>2</v>
      </c>
      <c r="B4" s="61">
        <v>19000</v>
      </c>
      <c r="C4" s="61">
        <v>25000</v>
      </c>
      <c r="G4" s="133"/>
    </row>
    <row r="5" spans="1:7" x14ac:dyDescent="0.3">
      <c r="A5" s="58">
        <v>3</v>
      </c>
      <c r="B5" s="61">
        <v>17000</v>
      </c>
      <c r="C5" s="61">
        <v>23000</v>
      </c>
    </row>
    <row r="6" spans="1:7" ht="15.65" x14ac:dyDescent="0.3">
      <c r="A6" s="132" t="s">
        <v>9</v>
      </c>
      <c r="B6" s="115">
        <f>B$2+NPV(G3,B$3:B$5)</f>
        <v>8337.1859807214132</v>
      </c>
      <c r="C6" s="115">
        <f>C$2+NPV(G1,C$3:C$5)</f>
        <v>5729.584222644844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3530-C411-4530-9B37-BA07F1949F67}">
  <dimension ref="A1:E5"/>
  <sheetViews>
    <sheetView showGridLines="0" zoomScale="130" zoomScaleNormal="130" workbookViewId="0">
      <selection activeCell="B5" sqref="B5"/>
    </sheetView>
  </sheetViews>
  <sheetFormatPr defaultRowHeight="15.05" x14ac:dyDescent="0.3"/>
  <cols>
    <col min="1" max="1" width="36.5546875" bestFit="1" customWidth="1"/>
    <col min="2" max="2" width="15.5546875" bestFit="1" customWidth="1"/>
    <col min="4" max="4" width="11.6640625" bestFit="1" customWidth="1"/>
    <col min="7" max="7" width="13.33203125" bestFit="1" customWidth="1"/>
  </cols>
  <sheetData>
    <row r="1" spans="1:5" ht="15.65" x14ac:dyDescent="0.3">
      <c r="A1" s="111" t="s">
        <v>92</v>
      </c>
      <c r="B1" s="110">
        <f>(3400000*1.43)*(1-E1)</f>
        <v>3840980</v>
      </c>
      <c r="D1" s="111" t="s">
        <v>7</v>
      </c>
      <c r="E1" s="116">
        <v>0.21</v>
      </c>
    </row>
    <row r="2" spans="1:5" ht="15.65" x14ac:dyDescent="0.3">
      <c r="A2" s="111" t="s">
        <v>93</v>
      </c>
      <c r="B2" s="113">
        <f>B1/(E2-0.013)</f>
        <v>81722978.723404258</v>
      </c>
      <c r="D2" s="111" t="s">
        <v>44</v>
      </c>
      <c r="E2" s="116">
        <v>0.06</v>
      </c>
    </row>
    <row r="3" spans="1:5" ht="15.65" x14ac:dyDescent="0.3">
      <c r="A3" s="111" t="s">
        <v>94</v>
      </c>
      <c r="B3" s="110">
        <f>(3400000*0.85)*(1-E1)</f>
        <v>2283100</v>
      </c>
    </row>
    <row r="4" spans="1:5" ht="15.65" x14ac:dyDescent="0.3">
      <c r="A4" s="111" t="s">
        <v>95</v>
      </c>
      <c r="B4" s="113">
        <f>B3/(E2-0.009)</f>
        <v>44766666.666666672</v>
      </c>
    </row>
    <row r="5" spans="1:5" ht="15.65" x14ac:dyDescent="0.3">
      <c r="A5" s="114" t="s">
        <v>96</v>
      </c>
      <c r="B5" s="115">
        <f>B2-B4</f>
        <v>36956312.056737587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3EBF-2265-49B2-B958-5D3C24FDF7F5}">
  <dimension ref="A1:J15"/>
  <sheetViews>
    <sheetView showGridLines="0" zoomScale="130" zoomScaleNormal="130" workbookViewId="0">
      <selection activeCell="B13" sqref="B13"/>
    </sheetView>
  </sheetViews>
  <sheetFormatPr defaultRowHeight="15.05" x14ac:dyDescent="0.3"/>
  <cols>
    <col min="1" max="1" width="23.44140625" bestFit="1" customWidth="1"/>
    <col min="2" max="2" width="11.33203125" bestFit="1" customWidth="1"/>
    <col min="3" max="3" width="10.5546875" customWidth="1"/>
    <col min="4" max="7" width="10.5546875" bestFit="1" customWidth="1"/>
    <col min="9" max="9" width="18.6640625" customWidth="1"/>
  </cols>
  <sheetData>
    <row r="1" spans="1:10" ht="15.65" x14ac:dyDescent="0.3">
      <c r="B1" s="342" t="s">
        <v>104</v>
      </c>
      <c r="C1" s="342"/>
      <c r="D1" s="342"/>
      <c r="E1" s="342"/>
      <c r="F1" s="342"/>
      <c r="G1" s="342"/>
    </row>
    <row r="2" spans="1:10" ht="20.2" customHeight="1" x14ac:dyDescent="0.3">
      <c r="A2" s="32"/>
      <c r="B2" s="73" t="s">
        <v>79</v>
      </c>
      <c r="C2" s="74" t="s">
        <v>72</v>
      </c>
      <c r="D2" s="75" t="s">
        <v>97</v>
      </c>
      <c r="E2" s="75" t="s">
        <v>98</v>
      </c>
      <c r="F2" s="75" t="s">
        <v>99</v>
      </c>
      <c r="G2" s="76" t="s">
        <v>100</v>
      </c>
      <c r="I2" s="111" t="s">
        <v>90</v>
      </c>
      <c r="J2" s="116">
        <v>0.03</v>
      </c>
    </row>
    <row r="3" spans="1:10" ht="15.65" x14ac:dyDescent="0.3">
      <c r="A3" s="32"/>
      <c r="B3" s="77">
        <v>-435000</v>
      </c>
      <c r="C3" s="68"/>
      <c r="D3" s="68"/>
      <c r="E3" s="68"/>
      <c r="F3" s="68"/>
      <c r="G3" s="69"/>
      <c r="I3" s="111" t="s">
        <v>7</v>
      </c>
      <c r="J3" s="116">
        <v>0.21</v>
      </c>
    </row>
    <row r="4" spans="1:10" ht="15.65" x14ac:dyDescent="0.3">
      <c r="A4" s="62" t="s">
        <v>74</v>
      </c>
      <c r="B4" s="70"/>
      <c r="C4" s="70">
        <v>275000</v>
      </c>
      <c r="D4" s="70">
        <f>C$4*(1+$J$2)</f>
        <v>283250</v>
      </c>
      <c r="E4" s="70">
        <f>D$4*(1+$J$2)</f>
        <v>291747.5</v>
      </c>
      <c r="F4" s="70">
        <f>E$4*(1+$J$2)</f>
        <v>300499.92499999999</v>
      </c>
      <c r="G4" s="66">
        <f>F$4*(1+$J$2)</f>
        <v>309514.92274999997</v>
      </c>
      <c r="I4" s="120" t="s">
        <v>54</v>
      </c>
      <c r="J4" s="110">
        <v>55000</v>
      </c>
    </row>
    <row r="5" spans="1:10" x14ac:dyDescent="0.3">
      <c r="A5" s="63" t="s">
        <v>101</v>
      </c>
      <c r="B5" s="71"/>
      <c r="C5" s="71">
        <v>87000</v>
      </c>
      <c r="D5" s="71">
        <f>C$5*(1+$J$2)</f>
        <v>89610</v>
      </c>
      <c r="E5" s="71">
        <f>D$5*(1+$J$2)</f>
        <v>92298.3</v>
      </c>
      <c r="F5" s="71">
        <f>E$5*(1+$J$2)</f>
        <v>95067.249000000011</v>
      </c>
      <c r="G5" s="67">
        <f>F$5*(1+$J$2)</f>
        <v>97919.266470000017</v>
      </c>
    </row>
    <row r="6" spans="1:10" x14ac:dyDescent="0.3">
      <c r="A6" s="63" t="s">
        <v>18</v>
      </c>
      <c r="B6" s="71"/>
      <c r="C6" s="71">
        <f>SLN(-$B$3,,5)</f>
        <v>87000</v>
      </c>
      <c r="D6" s="71">
        <f t="shared" ref="D6:G6" si="0">SLN(-$B$3,,5)</f>
        <v>87000</v>
      </c>
      <c r="E6" s="71">
        <f t="shared" si="0"/>
        <v>87000</v>
      </c>
      <c r="F6" s="71">
        <f t="shared" si="0"/>
        <v>87000</v>
      </c>
      <c r="G6" s="67">
        <f t="shared" si="0"/>
        <v>87000</v>
      </c>
    </row>
    <row r="7" spans="1:10" x14ac:dyDescent="0.3">
      <c r="A7" s="64" t="s">
        <v>84</v>
      </c>
      <c r="B7" s="71"/>
      <c r="C7" s="71">
        <f>C$4-SUM(C$5:C$6)</f>
        <v>101000</v>
      </c>
      <c r="D7" s="71">
        <f>D$4-SUM(D$5:D$6)</f>
        <v>106640</v>
      </c>
      <c r="E7" s="71">
        <f>E$4-SUM(E$5:E$6)</f>
        <v>112449.20000000001</v>
      </c>
      <c r="F7" s="71">
        <f>F$4-SUM(F$5:F$6)</f>
        <v>118432.67599999998</v>
      </c>
      <c r="G7" s="67">
        <f>G$4-SUM(G$5:G$6)</f>
        <v>124595.65627999994</v>
      </c>
    </row>
    <row r="8" spans="1:10" x14ac:dyDescent="0.3">
      <c r="A8" s="63" t="s">
        <v>23</v>
      </c>
      <c r="B8" s="71"/>
      <c r="C8" s="71">
        <f>C$7*$J$3</f>
        <v>21210</v>
      </c>
      <c r="D8" s="71">
        <f>D$7*$J$3</f>
        <v>22394.399999999998</v>
      </c>
      <c r="E8" s="71">
        <f>E$7*$J$3</f>
        <v>23614.332000000002</v>
      </c>
      <c r="F8" s="71">
        <f>F$7*$J$3</f>
        <v>24870.861959999995</v>
      </c>
      <c r="G8" s="67">
        <f>G$7*$J$3</f>
        <v>26165.087818799984</v>
      </c>
    </row>
    <row r="9" spans="1:10" x14ac:dyDescent="0.3">
      <c r="A9" s="64" t="s">
        <v>77</v>
      </c>
      <c r="B9" s="71"/>
      <c r="C9" s="71">
        <f>C$7-C$8</f>
        <v>79790</v>
      </c>
      <c r="D9" s="71">
        <f t="shared" ref="D9:G9" si="1">D$7-D$8</f>
        <v>84245.6</v>
      </c>
      <c r="E9" s="71">
        <f t="shared" si="1"/>
        <v>88834.868000000017</v>
      </c>
      <c r="F9" s="71">
        <f t="shared" si="1"/>
        <v>93561.814039999983</v>
      </c>
      <c r="G9" s="67">
        <f t="shared" si="1"/>
        <v>98430.56846119996</v>
      </c>
    </row>
    <row r="10" spans="1:10" x14ac:dyDescent="0.3">
      <c r="A10" s="63" t="s">
        <v>20</v>
      </c>
      <c r="B10" s="71"/>
      <c r="C10" s="71">
        <f>C$7-C$8+C$6</f>
        <v>166790</v>
      </c>
      <c r="D10" s="71">
        <f t="shared" ref="D10:G10" si="2">D$7-D$8+D$6</f>
        <v>171245.6</v>
      </c>
      <c r="E10" s="71">
        <f t="shared" si="2"/>
        <v>175834.86800000002</v>
      </c>
      <c r="F10" s="71">
        <f t="shared" si="2"/>
        <v>180561.81403999997</v>
      </c>
      <c r="G10" s="67">
        <f t="shared" si="2"/>
        <v>185430.56846119996</v>
      </c>
    </row>
    <row r="11" spans="1:10" x14ac:dyDescent="0.3">
      <c r="A11" s="63" t="s">
        <v>102</v>
      </c>
      <c r="B11" s="71"/>
      <c r="C11" s="71"/>
      <c r="D11" s="71"/>
      <c r="E11" s="71"/>
      <c r="F11" s="71"/>
      <c r="G11" s="67">
        <f>B15</f>
        <v>43450</v>
      </c>
    </row>
    <row r="12" spans="1:10" x14ac:dyDescent="0.3">
      <c r="A12" s="63" t="s">
        <v>26</v>
      </c>
      <c r="B12" s="72">
        <v>-15000</v>
      </c>
      <c r="C12" s="72"/>
      <c r="D12" s="72"/>
      <c r="E12" s="72"/>
      <c r="F12" s="72"/>
      <c r="G12" s="69">
        <f>-B12</f>
        <v>15000</v>
      </c>
    </row>
    <row r="13" spans="1:10" x14ac:dyDescent="0.3">
      <c r="A13" s="65" t="s">
        <v>103</v>
      </c>
      <c r="B13" s="72">
        <f>B3+B12</f>
        <v>-450000</v>
      </c>
      <c r="C13" s="72">
        <f>C10</f>
        <v>166790</v>
      </c>
      <c r="D13" s="72">
        <f>D10</f>
        <v>171245.6</v>
      </c>
      <c r="E13" s="72">
        <f>E10</f>
        <v>175834.86800000002</v>
      </c>
      <c r="F13" s="72">
        <f>F10</f>
        <v>180561.81403999997</v>
      </c>
      <c r="G13" s="69">
        <f>SUM(G10:G12)</f>
        <v>243880.56846119996</v>
      </c>
    </row>
    <row r="15" spans="1:10" ht="15.65" x14ac:dyDescent="0.3">
      <c r="A15" s="120" t="s">
        <v>39</v>
      </c>
      <c r="B15" s="110">
        <f>J4+(0-J4)*J3</f>
        <v>43450</v>
      </c>
    </row>
  </sheetData>
  <mergeCells count="1">
    <mergeCell ref="B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8C7C-5244-4A60-BDDD-4F64C5B1792C}">
  <dimension ref="A1:B1"/>
  <sheetViews>
    <sheetView showGridLines="0" zoomScale="130" zoomScaleNormal="130" workbookViewId="0">
      <selection activeCell="A4" sqref="A4"/>
    </sheetView>
  </sheetViews>
  <sheetFormatPr defaultRowHeight="15.05" x14ac:dyDescent="0.3"/>
  <cols>
    <col min="2" max="2" width="13.21875" bestFit="1" customWidth="1"/>
  </cols>
  <sheetData>
    <row r="1" spans="1:2" ht="15.65" x14ac:dyDescent="0.3">
      <c r="A1" s="111" t="s">
        <v>202</v>
      </c>
      <c r="B1" s="113">
        <f>345000/(0.04--(0.03))</f>
        <v>4928571.4285714282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969C-92C4-49E7-AA90-6AD9CBDB1C85}">
  <dimension ref="A1:H7"/>
  <sheetViews>
    <sheetView showGridLines="0" zoomScale="130" zoomScaleNormal="130" workbookViewId="0">
      <selection activeCell="C7" sqref="C7"/>
    </sheetView>
  </sheetViews>
  <sheetFormatPr defaultRowHeight="15.05" x14ac:dyDescent="0.3"/>
  <cols>
    <col min="1" max="1" width="26.109375" customWidth="1"/>
    <col min="2" max="2" width="13.33203125" bestFit="1" customWidth="1"/>
    <col min="3" max="3" width="12.33203125" bestFit="1" customWidth="1"/>
    <col min="4" max="4" width="11" bestFit="1" customWidth="1"/>
    <col min="7" max="7" width="13.33203125" bestFit="1" customWidth="1"/>
  </cols>
  <sheetData>
    <row r="1" spans="1:8" ht="15.65" x14ac:dyDescent="0.3">
      <c r="A1" s="111" t="s">
        <v>105</v>
      </c>
      <c r="B1" s="110">
        <v>-97000</v>
      </c>
      <c r="C1" s="2" t="s">
        <v>52</v>
      </c>
      <c r="G1" s="111" t="s">
        <v>7</v>
      </c>
      <c r="H1" s="116">
        <v>0.23</v>
      </c>
    </row>
    <row r="2" spans="1:8" ht="15.65" x14ac:dyDescent="0.3">
      <c r="A2" s="111" t="s">
        <v>106</v>
      </c>
      <c r="B2" s="110">
        <v>-10600</v>
      </c>
      <c r="C2" s="2"/>
      <c r="D2" s="2"/>
      <c r="G2" s="111" t="s">
        <v>44</v>
      </c>
      <c r="H2" s="116">
        <v>0.12</v>
      </c>
    </row>
    <row r="3" spans="1:8" ht="15.65" x14ac:dyDescent="0.3">
      <c r="A3" s="111" t="s">
        <v>54</v>
      </c>
      <c r="B3" s="110">
        <v>7500</v>
      </c>
      <c r="C3" s="2"/>
      <c r="D3" s="2"/>
    </row>
    <row r="4" spans="1:8" ht="15.65" x14ac:dyDescent="0.3">
      <c r="A4" s="114" t="s">
        <v>20</v>
      </c>
      <c r="B4" s="113">
        <f>B2*(1-H1)+H1*(-B1/3)</f>
        <v>-725.33333333333303</v>
      </c>
      <c r="C4" s="2"/>
      <c r="D4" s="2"/>
    </row>
    <row r="5" spans="1:8" ht="15.65" x14ac:dyDescent="0.3">
      <c r="A5" s="114" t="s">
        <v>9</v>
      </c>
      <c r="B5" s="113">
        <f>B1+B4*PV(H2,3,-1)+(B7/1.12^3)</f>
        <v>-94631.59734876093</v>
      </c>
      <c r="C5" s="3">
        <f>B1+NPV(H2,B4,B4,B4+B7)</f>
        <v>-94631.59734876093</v>
      </c>
      <c r="D5" s="3"/>
    </row>
    <row r="6" spans="1:8" ht="15.65" x14ac:dyDescent="0.3">
      <c r="A6" s="114" t="s">
        <v>107</v>
      </c>
      <c r="B6" s="113">
        <f>B5/PV(H2,3,-1)</f>
        <v>-39399.769084874315</v>
      </c>
      <c r="C6" s="3"/>
      <c r="D6" s="2"/>
    </row>
    <row r="7" spans="1:8" ht="15.65" x14ac:dyDescent="0.3">
      <c r="A7" s="120" t="s">
        <v>39</v>
      </c>
      <c r="B7" s="110">
        <f>B3+(0-B3)*H1</f>
        <v>5775</v>
      </c>
      <c r="C7" s="2"/>
      <c r="D7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0416-5F3C-468D-A3D4-5134032C8C58}">
  <dimension ref="A1:K9"/>
  <sheetViews>
    <sheetView showGridLines="0" zoomScale="130" zoomScaleNormal="130" workbookViewId="0">
      <selection activeCell="A2" sqref="A2"/>
    </sheetView>
  </sheetViews>
  <sheetFormatPr defaultRowHeight="15.05" x14ac:dyDescent="0.3"/>
  <cols>
    <col min="1" max="1" width="21.44140625" customWidth="1"/>
    <col min="2" max="2" width="11.5546875" bestFit="1" customWidth="1"/>
    <col min="3" max="3" width="9.88671875" bestFit="1" customWidth="1"/>
    <col min="4" max="5" width="12.6640625" bestFit="1" customWidth="1"/>
    <col min="6" max="6" width="12.6640625" customWidth="1"/>
    <col min="7" max="7" width="12.6640625" bestFit="1" customWidth="1"/>
    <col min="10" max="10" width="16.5546875" customWidth="1"/>
  </cols>
  <sheetData>
    <row r="1" spans="1:11" ht="15.65" x14ac:dyDescent="0.3">
      <c r="A1" s="6"/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41</v>
      </c>
      <c r="J1" s="111" t="s">
        <v>7</v>
      </c>
      <c r="K1" s="116">
        <v>0.22</v>
      </c>
    </row>
    <row r="2" spans="1:11" ht="15.65" x14ac:dyDescent="0.3">
      <c r="A2" s="9" t="s">
        <v>15</v>
      </c>
      <c r="B2" s="11">
        <v>-385000</v>
      </c>
      <c r="C2" s="12"/>
      <c r="D2" s="12"/>
      <c r="E2" s="12"/>
      <c r="F2" s="12"/>
      <c r="G2" s="12"/>
      <c r="J2" s="111" t="s">
        <v>44</v>
      </c>
      <c r="K2" s="116">
        <v>0.09</v>
      </c>
    </row>
    <row r="3" spans="1:11" ht="15.65" x14ac:dyDescent="0.3">
      <c r="A3" s="9" t="s">
        <v>108</v>
      </c>
      <c r="B3" s="12"/>
      <c r="C3" s="11">
        <v>90000</v>
      </c>
      <c r="D3" s="11">
        <v>90000</v>
      </c>
      <c r="E3" s="11">
        <v>90000</v>
      </c>
      <c r="F3" s="11">
        <v>90000</v>
      </c>
      <c r="G3" s="11">
        <v>90000</v>
      </c>
      <c r="J3" s="114" t="s">
        <v>54</v>
      </c>
      <c r="K3" s="110">
        <v>30000</v>
      </c>
    </row>
    <row r="4" spans="1:11" ht="15.65" x14ac:dyDescent="0.3">
      <c r="A4" s="9" t="s">
        <v>18</v>
      </c>
      <c r="B4" s="13"/>
      <c r="C4" s="11">
        <f>SLN(-$B$2,,5)</f>
        <v>77000</v>
      </c>
      <c r="D4" s="11">
        <f t="shared" ref="D4:G4" si="0">SLN(-$B$2,,5)</f>
        <v>77000</v>
      </c>
      <c r="E4" s="11">
        <f t="shared" si="0"/>
        <v>77000</v>
      </c>
      <c r="F4" s="11">
        <f t="shared" si="0"/>
        <v>77000</v>
      </c>
      <c r="G4" s="11">
        <f t="shared" si="0"/>
        <v>77000</v>
      </c>
    </row>
    <row r="5" spans="1:11" ht="15.65" x14ac:dyDescent="0.3">
      <c r="A5" s="10" t="s">
        <v>20</v>
      </c>
      <c r="B5" s="13"/>
      <c r="C5" s="11">
        <f>C$3*(1-$K$1)+$K$1*(C$4)</f>
        <v>87140</v>
      </c>
      <c r="D5" s="11">
        <f t="shared" ref="D5:G5" si="1">D$3*(1-$K$1)+$K$1*(D$4)</f>
        <v>87140</v>
      </c>
      <c r="E5" s="11">
        <f t="shared" si="1"/>
        <v>87140</v>
      </c>
      <c r="F5" s="11">
        <f t="shared" si="1"/>
        <v>87140</v>
      </c>
      <c r="G5" s="11">
        <f t="shared" si="1"/>
        <v>87140</v>
      </c>
      <c r="H5" s="25"/>
    </row>
    <row r="6" spans="1:11" ht="15.65" x14ac:dyDescent="0.3">
      <c r="A6" s="10" t="s">
        <v>26</v>
      </c>
      <c r="B6" s="13">
        <v>70000</v>
      </c>
      <c r="C6" s="11"/>
      <c r="D6" s="11"/>
      <c r="E6" s="11"/>
      <c r="F6" s="11"/>
      <c r="G6" s="11">
        <f>-B6</f>
        <v>-70000</v>
      </c>
    </row>
    <row r="7" spans="1:11" ht="15.65" x14ac:dyDescent="0.3">
      <c r="A7" s="10" t="s">
        <v>27</v>
      </c>
      <c r="B7" s="13"/>
      <c r="C7" s="11"/>
      <c r="D7" s="11"/>
      <c r="E7" s="11"/>
      <c r="F7" s="11"/>
      <c r="G7" s="11">
        <f>K3+(0-K3)*K1</f>
        <v>23400</v>
      </c>
    </row>
    <row r="8" spans="1:11" ht="15.65" x14ac:dyDescent="0.3">
      <c r="A8" s="10" t="s">
        <v>36</v>
      </c>
      <c r="B8" s="13">
        <f>B2+B6</f>
        <v>-315000</v>
      </c>
      <c r="C8" s="11">
        <f>C5</f>
        <v>87140</v>
      </c>
      <c r="D8" s="11">
        <f t="shared" ref="D8:F8" si="2">D5</f>
        <v>87140</v>
      </c>
      <c r="E8" s="11">
        <f t="shared" si="2"/>
        <v>87140</v>
      </c>
      <c r="F8" s="11">
        <f t="shared" si="2"/>
        <v>87140</v>
      </c>
      <c r="G8" s="11">
        <f>SUM(G5:G7)</f>
        <v>40540</v>
      </c>
    </row>
    <row r="9" spans="1:11" ht="15.65" x14ac:dyDescent="0.3">
      <c r="A9" s="10" t="s">
        <v>9</v>
      </c>
      <c r="B9" s="113">
        <f>B8+NPV(K2,C8:G8)</f>
        <v>-6342.5915130343637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E3D3-6FA2-4CC6-ABE2-9737FC620A27}">
  <dimension ref="A1:J30"/>
  <sheetViews>
    <sheetView showGridLines="0" zoomScale="145" zoomScaleNormal="145" workbookViewId="0">
      <selection activeCell="C5" sqref="C5"/>
    </sheetView>
  </sheetViews>
  <sheetFormatPr defaultRowHeight="15.05" x14ac:dyDescent="0.3"/>
  <cols>
    <col min="1" max="1" width="23.44140625" bestFit="1" customWidth="1"/>
    <col min="2" max="2" width="14.44140625" bestFit="1" customWidth="1"/>
    <col min="3" max="3" width="12.88671875" bestFit="1" customWidth="1"/>
    <col min="4" max="5" width="13.33203125" bestFit="1" customWidth="1"/>
    <col min="6" max="8" width="11.5546875" bestFit="1" customWidth="1"/>
    <col min="9" max="9" width="15.5546875" customWidth="1"/>
  </cols>
  <sheetData>
    <row r="1" spans="1:10" x14ac:dyDescent="0.3">
      <c r="A1" s="343" t="s">
        <v>109</v>
      </c>
      <c r="B1" s="343"/>
      <c r="C1" s="343"/>
      <c r="D1" s="343"/>
      <c r="E1" s="343"/>
      <c r="F1" s="343"/>
    </row>
    <row r="2" spans="1:10" ht="15.65" x14ac:dyDescent="0.3">
      <c r="A2" s="6"/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I2" s="111" t="s">
        <v>7</v>
      </c>
      <c r="J2" s="116">
        <v>0.21</v>
      </c>
    </row>
    <row r="3" spans="1:10" ht="15.65" x14ac:dyDescent="0.3">
      <c r="A3" s="9" t="s">
        <v>15</v>
      </c>
      <c r="B3" s="11">
        <v>-15600000</v>
      </c>
      <c r="C3" s="12"/>
      <c r="D3" s="12"/>
      <c r="E3" s="12"/>
      <c r="F3" s="12"/>
      <c r="I3" s="111" t="s">
        <v>25</v>
      </c>
      <c r="J3" s="116">
        <v>0.1</v>
      </c>
    </row>
    <row r="4" spans="1:10" ht="15.65" x14ac:dyDescent="0.3">
      <c r="A4" s="9" t="s">
        <v>59</v>
      </c>
      <c r="B4" s="12"/>
      <c r="C4" s="11">
        <v>6300000</v>
      </c>
      <c r="D4" s="11">
        <v>6300000</v>
      </c>
      <c r="E4" s="11">
        <v>6300000</v>
      </c>
      <c r="F4" s="11">
        <v>6300000</v>
      </c>
      <c r="I4" s="2"/>
      <c r="J4" s="1"/>
    </row>
    <row r="5" spans="1:10" ht="15.65" x14ac:dyDescent="0.3">
      <c r="A5" s="9" t="s">
        <v>18</v>
      </c>
      <c r="B5" s="12"/>
      <c r="C5" s="11">
        <f>SLN(-$B$3,,4)</f>
        <v>3900000</v>
      </c>
      <c r="D5" s="11">
        <f t="shared" ref="D5:F5" si="0">SLN(-$B$3,,4)</f>
        <v>3900000</v>
      </c>
      <c r="E5" s="11">
        <f t="shared" si="0"/>
        <v>3900000</v>
      </c>
      <c r="F5" s="11">
        <f t="shared" si="0"/>
        <v>3900000</v>
      </c>
      <c r="I5" s="2"/>
      <c r="J5" s="1"/>
    </row>
    <row r="6" spans="1:10" ht="15.65" x14ac:dyDescent="0.3">
      <c r="A6" s="9" t="s">
        <v>18</v>
      </c>
      <c r="B6" s="12"/>
      <c r="C6" s="11">
        <f>C$5-$B$18</f>
        <v>2550000</v>
      </c>
      <c r="D6" s="11">
        <f t="shared" ref="D6:F6" si="1">D$5-$B$18</f>
        <v>2550000</v>
      </c>
      <c r="E6" s="11">
        <f t="shared" si="1"/>
        <v>2550000</v>
      </c>
      <c r="F6" s="11">
        <f t="shared" si="1"/>
        <v>2550000</v>
      </c>
      <c r="I6" s="2"/>
      <c r="J6" s="1"/>
    </row>
    <row r="7" spans="1:10" x14ac:dyDescent="0.3">
      <c r="A7" s="9" t="s">
        <v>26</v>
      </c>
      <c r="B7" s="12">
        <v>-250000</v>
      </c>
      <c r="C7" s="11"/>
      <c r="D7" s="11"/>
      <c r="E7" s="11"/>
      <c r="F7" s="11">
        <f>-B7</f>
        <v>250000</v>
      </c>
    </row>
    <row r="8" spans="1:10" ht="15.65" x14ac:dyDescent="0.3">
      <c r="A8" s="10" t="s">
        <v>20</v>
      </c>
      <c r="B8" s="13">
        <f>B3+B7</f>
        <v>-15850000</v>
      </c>
      <c r="C8" s="11">
        <f>C$4*(1-$J$2)+$J$2*(C$5)</f>
        <v>5796000</v>
      </c>
      <c r="D8" s="11">
        <f>D$4*(1-$J$2)+$J$2*(D$5)</f>
        <v>5796000</v>
      </c>
      <c r="E8" s="11">
        <f>E$4*(1-$J$2)+$J$2*(E$5)</f>
        <v>5796000</v>
      </c>
      <c r="F8" s="11">
        <f>F$4*(1-$J$2)+$J$2*(F$5)+F7</f>
        <v>6046000</v>
      </c>
    </row>
    <row r="9" spans="1:10" ht="15.65" x14ac:dyDescent="0.3">
      <c r="A9" s="10" t="s">
        <v>20</v>
      </c>
      <c r="B9" s="13">
        <f>(B3+B7)+B16</f>
        <v>-11477000</v>
      </c>
      <c r="C9" s="11">
        <f>C$4*(1-$J$2)+$J$2*(C$6)</f>
        <v>5512500</v>
      </c>
      <c r="D9" s="11">
        <f t="shared" ref="D9:E9" si="2">D$4*(1-$J$2)+$J$2*(D$6)</f>
        <v>5512500</v>
      </c>
      <c r="E9" s="11">
        <f t="shared" si="2"/>
        <v>5512500</v>
      </c>
      <c r="F9" s="11">
        <f>F$4*(1-$J$2)+$J$2*(F$6)+F7</f>
        <v>5762500</v>
      </c>
    </row>
    <row r="10" spans="1:10" ht="15.65" x14ac:dyDescent="0.3">
      <c r="A10" s="9" t="s">
        <v>9</v>
      </c>
      <c r="B10" s="115">
        <f>B8+NPV(J3,C8:F8)</f>
        <v>2693293.4908817671</v>
      </c>
    </row>
    <row r="11" spans="1:10" ht="15.65" x14ac:dyDescent="0.3">
      <c r="A11" s="9" t="s">
        <v>43</v>
      </c>
      <c r="B11" s="134">
        <f>IRR(B8:F8)</f>
        <v>0.17581974617504947</v>
      </c>
      <c r="D11" s="25"/>
      <c r="E11" s="25"/>
    </row>
    <row r="13" spans="1:10" ht="15.65" x14ac:dyDescent="0.3">
      <c r="A13" s="4" t="s">
        <v>114</v>
      </c>
      <c r="B13" s="2"/>
      <c r="C13" s="2"/>
      <c r="D13" s="2"/>
      <c r="E13" s="2"/>
      <c r="F13" s="2"/>
      <c r="G13" s="2"/>
      <c r="H13" s="2"/>
    </row>
    <row r="14" spans="1:10" ht="15.65" x14ac:dyDescent="0.3">
      <c r="A14" s="111" t="s">
        <v>110</v>
      </c>
      <c r="B14" s="110">
        <v>5400000</v>
      </c>
      <c r="C14" s="2" t="s">
        <v>112</v>
      </c>
      <c r="E14" s="2"/>
      <c r="F14" s="2"/>
      <c r="G14" s="2"/>
      <c r="H14" s="2"/>
    </row>
    <row r="15" spans="1:10" ht="15.65" x14ac:dyDescent="0.3">
      <c r="A15" s="111" t="s">
        <v>111</v>
      </c>
      <c r="B15" s="110">
        <v>4100000</v>
      </c>
      <c r="C15" s="1"/>
      <c r="D15" s="2"/>
      <c r="E15" s="2"/>
      <c r="F15" s="2"/>
      <c r="G15" s="2"/>
      <c r="H15" s="2"/>
    </row>
    <row r="16" spans="1:10" ht="15.65" x14ac:dyDescent="0.3">
      <c r="A16" s="120" t="s">
        <v>113</v>
      </c>
      <c r="B16" s="110">
        <f>B15+(B14-B15)*J2</f>
        <v>4373000</v>
      </c>
      <c r="C16" s="1"/>
      <c r="D16" s="2"/>
      <c r="E16" s="2"/>
      <c r="F16" s="2"/>
      <c r="G16" s="2"/>
      <c r="H16" s="2"/>
    </row>
    <row r="17" spans="1:8" ht="15.65" x14ac:dyDescent="0.3">
      <c r="A17" s="2"/>
      <c r="B17" s="1"/>
      <c r="C17" s="2"/>
      <c r="D17" s="2"/>
      <c r="E17" s="2"/>
      <c r="F17" s="2"/>
      <c r="G17" s="2"/>
      <c r="H17" s="2"/>
    </row>
    <row r="18" spans="1:8" ht="15.65" x14ac:dyDescent="0.3">
      <c r="A18" s="129" t="s">
        <v>18</v>
      </c>
      <c r="B18" s="136">
        <f>SLN(B14,,4)</f>
        <v>1350000</v>
      </c>
      <c r="C18" s="3"/>
      <c r="D18" s="2"/>
      <c r="E18" s="2"/>
      <c r="F18" s="2"/>
      <c r="G18" s="2"/>
      <c r="H18" s="2"/>
    </row>
    <row r="19" spans="1:8" ht="15.65" x14ac:dyDescent="0.3">
      <c r="A19" s="129" t="s">
        <v>84</v>
      </c>
      <c r="B19" s="137">
        <f>-B18</f>
        <v>-1350000</v>
      </c>
      <c r="C19" s="2"/>
      <c r="D19" s="2"/>
      <c r="E19" s="2"/>
      <c r="F19" s="2"/>
      <c r="G19" s="2"/>
      <c r="H19" s="2"/>
    </row>
    <row r="20" spans="1:8" ht="15.65" x14ac:dyDescent="0.3">
      <c r="A20" s="129" t="s">
        <v>115</v>
      </c>
      <c r="B20" s="137">
        <f>B19*J2</f>
        <v>-283500</v>
      </c>
      <c r="C20" s="2"/>
      <c r="D20" s="2"/>
      <c r="E20" s="2"/>
      <c r="F20" s="2"/>
      <c r="G20" s="2"/>
      <c r="H20" s="2"/>
    </row>
    <row r="21" spans="1:8" ht="15.65" x14ac:dyDescent="0.3">
      <c r="A21" s="129" t="s">
        <v>77</v>
      </c>
      <c r="B21" s="137">
        <f>B19-B20</f>
        <v>-1066500</v>
      </c>
      <c r="C21" s="2"/>
      <c r="D21" s="2"/>
      <c r="E21" s="2"/>
      <c r="F21" s="2"/>
      <c r="G21" s="2"/>
      <c r="H21" s="2"/>
    </row>
    <row r="22" spans="1:8" ht="15.65" x14ac:dyDescent="0.3">
      <c r="A22" s="127" t="s">
        <v>20</v>
      </c>
      <c r="B22" s="136">
        <f>B19-B20+B18</f>
        <v>283500</v>
      </c>
      <c r="C22" s="80"/>
      <c r="D22" s="1">
        <f>-B16</f>
        <v>-4373000</v>
      </c>
      <c r="E22" s="80">
        <f>$B$22</f>
        <v>283500</v>
      </c>
      <c r="F22" s="80">
        <f t="shared" ref="F22:H22" si="3">$B$22</f>
        <v>283500</v>
      </c>
      <c r="G22" s="80">
        <f t="shared" si="3"/>
        <v>283500</v>
      </c>
      <c r="H22" s="80">
        <f t="shared" si="3"/>
        <v>283500</v>
      </c>
    </row>
    <row r="23" spans="1:8" ht="15.65" x14ac:dyDescent="0.3">
      <c r="A23" s="2"/>
      <c r="B23" s="2"/>
      <c r="C23" s="2"/>
      <c r="D23" s="1"/>
      <c r="E23" s="1"/>
      <c r="F23" s="1"/>
      <c r="G23" s="1"/>
      <c r="H23" s="1"/>
    </row>
    <row r="24" spans="1:8" ht="15.65" x14ac:dyDescent="0.3">
      <c r="A24" s="129" t="s">
        <v>9</v>
      </c>
      <c r="B24" s="138">
        <f>-B16+B22*PV(J3,4,-1)</f>
        <v>-3474343.1459599752</v>
      </c>
      <c r="C24" s="81"/>
      <c r="D24" s="2"/>
      <c r="E24" s="2"/>
      <c r="F24" s="2"/>
      <c r="G24" s="2"/>
      <c r="H24" s="2"/>
    </row>
    <row r="25" spans="1:8" ht="15.65" x14ac:dyDescent="0.3">
      <c r="A25" s="129" t="s">
        <v>43</v>
      </c>
      <c r="B25" s="121">
        <f>IRR(D22:H22)</f>
        <v>-0.38325988058560201</v>
      </c>
      <c r="C25" s="2"/>
      <c r="D25" s="2"/>
      <c r="E25" s="2"/>
      <c r="F25" s="2"/>
      <c r="G25" s="2"/>
      <c r="H25" s="2"/>
    </row>
    <row r="27" spans="1:8" ht="15.65" x14ac:dyDescent="0.3">
      <c r="A27" s="4" t="s">
        <v>116</v>
      </c>
    </row>
    <row r="28" spans="1:8" ht="15.65" x14ac:dyDescent="0.3">
      <c r="A28" s="129" t="s">
        <v>9</v>
      </c>
      <c r="B28" s="135">
        <f>B9+NPV(J3,C9:F9)</f>
        <v>6167636.6368417442</v>
      </c>
    </row>
    <row r="29" spans="1:8" ht="15.65" x14ac:dyDescent="0.3">
      <c r="A29" s="129" t="s">
        <v>43</v>
      </c>
      <c r="B29" s="134">
        <f>IRR(B9:F9)</f>
        <v>0.32833070401913989</v>
      </c>
    </row>
    <row r="30" spans="1:8" ht="15.65" x14ac:dyDescent="0.3">
      <c r="A30" s="129" t="s">
        <v>117</v>
      </c>
      <c r="B30" s="135">
        <f>B10-B24</f>
        <v>6167636.6368417423</v>
      </c>
    </row>
  </sheetData>
  <mergeCells count="1">
    <mergeCell ref="A1:F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F6BF-F210-4E8D-9814-B83184CF36AA}">
  <dimension ref="A1:M23"/>
  <sheetViews>
    <sheetView showGridLines="0" zoomScale="130" zoomScaleNormal="130" workbookViewId="0"/>
  </sheetViews>
  <sheetFormatPr defaultRowHeight="15.05" x14ac:dyDescent="0.3"/>
  <cols>
    <col min="1" max="1" width="29.109375" bestFit="1" customWidth="1"/>
    <col min="2" max="2" width="14.44140625" bestFit="1" customWidth="1"/>
    <col min="3" max="9" width="12.6640625" bestFit="1" customWidth="1"/>
    <col min="11" max="11" width="22.6640625" customWidth="1"/>
  </cols>
  <sheetData>
    <row r="1" spans="1:13" ht="15.65" x14ac:dyDescent="0.3">
      <c r="A1" s="174" t="s">
        <v>124</v>
      </c>
      <c r="B1" s="174"/>
      <c r="C1" s="174"/>
      <c r="D1" s="174"/>
      <c r="E1" s="174"/>
      <c r="F1" s="174"/>
      <c r="G1" s="174"/>
      <c r="H1" s="174"/>
      <c r="I1" s="174"/>
      <c r="K1" s="171" t="s">
        <v>224</v>
      </c>
      <c r="L1" s="171">
        <v>7</v>
      </c>
    </row>
    <row r="2" spans="1:13" ht="15.65" x14ac:dyDescent="0.3">
      <c r="A2" s="6"/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41</v>
      </c>
      <c r="H2" s="16" t="s">
        <v>119</v>
      </c>
      <c r="I2" s="16" t="s">
        <v>120</v>
      </c>
      <c r="K2" s="171" t="s">
        <v>90</v>
      </c>
      <c r="L2" s="172">
        <v>0.05</v>
      </c>
    </row>
    <row r="3" spans="1:13" ht="15.65" x14ac:dyDescent="0.3">
      <c r="A3" s="9" t="s">
        <v>15</v>
      </c>
      <c r="B3" s="11">
        <v>-650000</v>
      </c>
      <c r="C3" s="12"/>
      <c r="D3" s="12"/>
      <c r="E3" s="12"/>
      <c r="F3" s="12"/>
      <c r="G3" s="12"/>
      <c r="H3" s="12"/>
      <c r="I3" s="12"/>
      <c r="K3" s="171" t="s">
        <v>7</v>
      </c>
      <c r="L3" s="172">
        <v>0.24</v>
      </c>
    </row>
    <row r="4" spans="1:13" ht="15.65" x14ac:dyDescent="0.3">
      <c r="A4" s="9" t="s">
        <v>118</v>
      </c>
      <c r="B4" s="12"/>
      <c r="C4" s="12">
        <v>565000</v>
      </c>
      <c r="D4" s="12">
        <f>C$4*(1+$L$2)</f>
        <v>593250</v>
      </c>
      <c r="E4" s="12">
        <f t="shared" ref="E4:I4" si="0">D$4*(1+$L$2)</f>
        <v>622912.5</v>
      </c>
      <c r="F4" s="12">
        <f t="shared" si="0"/>
        <v>654058.125</v>
      </c>
      <c r="G4" s="12">
        <f t="shared" si="0"/>
        <v>686761.03125</v>
      </c>
      <c r="H4" s="12">
        <f t="shared" si="0"/>
        <v>721099.08281250007</v>
      </c>
      <c r="I4" s="12">
        <f t="shared" si="0"/>
        <v>757154.03695312515</v>
      </c>
      <c r="K4" s="171" t="s">
        <v>122</v>
      </c>
      <c r="L4" s="172">
        <v>7.0000000000000007E-2</v>
      </c>
    </row>
    <row r="5" spans="1:13" ht="15.65" x14ac:dyDescent="0.3">
      <c r="A5" s="9" t="s">
        <v>121</v>
      </c>
      <c r="B5" s="12"/>
      <c r="C5" s="12">
        <v>345000</v>
      </c>
      <c r="D5" s="12">
        <f>C$5*(1+$L$5)</f>
        <v>358800</v>
      </c>
      <c r="E5" s="12">
        <f t="shared" ref="E5:I5" si="1">D$5*(1+$L$5)</f>
        <v>373152</v>
      </c>
      <c r="F5" s="12">
        <f t="shared" si="1"/>
        <v>388078.08000000002</v>
      </c>
      <c r="G5" s="12">
        <f t="shared" si="1"/>
        <v>403601.20320000005</v>
      </c>
      <c r="H5" s="12">
        <f t="shared" si="1"/>
        <v>419745.25132800004</v>
      </c>
      <c r="I5" s="12">
        <f t="shared" si="1"/>
        <v>436535.06138112006</v>
      </c>
      <c r="K5" s="171" t="s">
        <v>225</v>
      </c>
      <c r="L5" s="172">
        <v>0.04</v>
      </c>
    </row>
    <row r="6" spans="1:13" ht="15.65" x14ac:dyDescent="0.3">
      <c r="A6" s="9" t="s">
        <v>18</v>
      </c>
      <c r="B6" s="12"/>
      <c r="C6" s="12">
        <f>SLN(-$B$3,,$L$1)</f>
        <v>92857.142857142855</v>
      </c>
      <c r="D6" s="12">
        <f t="shared" ref="D6:I6" si="2">SLN(-$B$3,,$L$1)</f>
        <v>92857.142857142855</v>
      </c>
      <c r="E6" s="12">
        <f t="shared" si="2"/>
        <v>92857.142857142855</v>
      </c>
      <c r="F6" s="12">
        <f t="shared" si="2"/>
        <v>92857.142857142855</v>
      </c>
      <c r="G6" s="12">
        <f t="shared" si="2"/>
        <v>92857.142857142855</v>
      </c>
      <c r="H6" s="12">
        <f t="shared" si="2"/>
        <v>92857.142857142855</v>
      </c>
      <c r="I6" s="12">
        <f t="shared" si="2"/>
        <v>92857.142857142855</v>
      </c>
      <c r="K6" s="171" t="s">
        <v>123</v>
      </c>
      <c r="L6" s="173">
        <f>(1+L4)*(1+L2)-1</f>
        <v>0.12350000000000017</v>
      </c>
      <c r="M6" s="139"/>
    </row>
    <row r="7" spans="1:13" ht="15.65" x14ac:dyDescent="0.3">
      <c r="A7" s="10" t="s">
        <v>20</v>
      </c>
      <c r="B7" s="13">
        <f>B3</f>
        <v>-650000</v>
      </c>
      <c r="C7" s="27">
        <f>(C$4-C$5)*(1-$L$3)+$L$3*(C$6)</f>
        <v>189485.71428571429</v>
      </c>
      <c r="D7" s="27">
        <f t="shared" ref="D7:I7" si="3">(D$4-D$5)*(1-$L$3)+$L$3*(D$6)</f>
        <v>200467.71428571429</v>
      </c>
      <c r="E7" s="27">
        <f t="shared" si="3"/>
        <v>212103.6942857143</v>
      </c>
      <c r="F7" s="27">
        <f t="shared" si="3"/>
        <v>224430.54848571427</v>
      </c>
      <c r="G7" s="27">
        <f t="shared" si="3"/>
        <v>237487.18360371425</v>
      </c>
      <c r="H7" s="27">
        <f t="shared" si="3"/>
        <v>251314.6262139343</v>
      </c>
      <c r="I7" s="27">
        <f t="shared" si="3"/>
        <v>265956.13572043815</v>
      </c>
      <c r="K7" s="171" t="s">
        <v>126</v>
      </c>
      <c r="L7" s="173">
        <f>(1+L5)/(1+L2)-1</f>
        <v>-9.52380952380949E-3</v>
      </c>
    </row>
    <row r="8" spans="1:13" ht="15.65" x14ac:dyDescent="0.3">
      <c r="A8" s="10" t="s">
        <v>9</v>
      </c>
      <c r="B8" s="115">
        <f>B7+NPV(L6,C7:I7)</f>
        <v>343238.38446420885</v>
      </c>
    </row>
    <row r="11" spans="1:13" ht="15.65" x14ac:dyDescent="0.3">
      <c r="A11" s="174" t="s">
        <v>125</v>
      </c>
      <c r="B11" s="174"/>
      <c r="C11" s="174"/>
      <c r="D11" s="174"/>
      <c r="E11" s="174"/>
      <c r="F11" s="174"/>
      <c r="G11" s="174"/>
      <c r="H11" s="174"/>
      <c r="I11" s="174"/>
    </row>
    <row r="12" spans="1:13" x14ac:dyDescent="0.3">
      <c r="A12" s="6"/>
      <c r="B12" s="16" t="s">
        <v>10</v>
      </c>
      <c r="C12" s="16" t="s">
        <v>11</v>
      </c>
      <c r="D12" s="16" t="s">
        <v>12</v>
      </c>
      <c r="E12" s="16" t="s">
        <v>13</v>
      </c>
      <c r="F12" s="16" t="s">
        <v>14</v>
      </c>
      <c r="G12" s="16" t="s">
        <v>41</v>
      </c>
      <c r="H12" s="16" t="s">
        <v>119</v>
      </c>
      <c r="I12" s="16" t="s">
        <v>120</v>
      </c>
    </row>
    <row r="13" spans="1:13" x14ac:dyDescent="0.3">
      <c r="A13" s="9" t="s">
        <v>15</v>
      </c>
      <c r="B13" s="11">
        <v>-650000</v>
      </c>
      <c r="C13" s="12"/>
      <c r="D13" s="12"/>
      <c r="E13" s="12"/>
      <c r="F13" s="12"/>
      <c r="G13" s="12"/>
      <c r="H13" s="12"/>
      <c r="I13" s="12"/>
    </row>
    <row r="14" spans="1:13" x14ac:dyDescent="0.3">
      <c r="A14" s="9" t="s">
        <v>118</v>
      </c>
      <c r="B14" s="12"/>
      <c r="C14" s="82">
        <f>$C$4/(1+$L$2)</f>
        <v>538095.23809523811</v>
      </c>
      <c r="D14" s="82">
        <f t="shared" ref="D14:I14" si="4">$C$4/(1+$L$2)</f>
        <v>538095.23809523811</v>
      </c>
      <c r="E14" s="82">
        <f t="shared" si="4"/>
        <v>538095.23809523811</v>
      </c>
      <c r="F14" s="82">
        <f t="shared" si="4"/>
        <v>538095.23809523811</v>
      </c>
      <c r="G14" s="82">
        <f t="shared" si="4"/>
        <v>538095.23809523811</v>
      </c>
      <c r="H14" s="82">
        <f t="shared" si="4"/>
        <v>538095.23809523811</v>
      </c>
      <c r="I14" s="82">
        <f t="shared" si="4"/>
        <v>538095.23809523811</v>
      </c>
    </row>
    <row r="15" spans="1:13" x14ac:dyDescent="0.3">
      <c r="A15" s="9" t="s">
        <v>121</v>
      </c>
      <c r="B15" s="12"/>
      <c r="C15" s="82">
        <f>$C$5/(1+$L$2)</f>
        <v>328571.42857142858</v>
      </c>
      <c r="D15" s="82">
        <f>C$15*(1+$L$7)</f>
        <v>325442.17687074834</v>
      </c>
      <c r="E15" s="82">
        <f t="shared" ref="E15:I15" si="5">D$15*(1+$L$7)</f>
        <v>322342.72756721743</v>
      </c>
      <c r="F15" s="82">
        <f t="shared" si="5"/>
        <v>319272.79682848201</v>
      </c>
      <c r="G15" s="82">
        <f t="shared" si="5"/>
        <v>316232.1035253536</v>
      </c>
      <c r="H15" s="82">
        <f t="shared" si="5"/>
        <v>313220.3692060645</v>
      </c>
      <c r="I15" s="82">
        <f t="shared" si="5"/>
        <v>310237.31807076867</v>
      </c>
    </row>
    <row r="16" spans="1:13" x14ac:dyDescent="0.3">
      <c r="A16" s="9" t="s">
        <v>18</v>
      </c>
      <c r="B16" s="12"/>
      <c r="C16" s="82">
        <f>SLN(-$B$3,,$L$1)/(1+$L$2)</f>
        <v>88435.374149659852</v>
      </c>
      <c r="D16" s="82">
        <f>C$16/(1+$L$2)</f>
        <v>84224.165856818901</v>
      </c>
      <c r="E16" s="82">
        <f t="shared" ref="E16:I16" si="6">D$16/(1+$L$2)</f>
        <v>80213.491292208477</v>
      </c>
      <c r="F16" s="82">
        <f t="shared" si="6"/>
        <v>76393.801230674741</v>
      </c>
      <c r="G16" s="82">
        <f t="shared" si="6"/>
        <v>72756.001172071177</v>
      </c>
      <c r="H16" s="82">
        <f t="shared" si="6"/>
        <v>69291.429687686832</v>
      </c>
      <c r="I16" s="82">
        <f t="shared" si="6"/>
        <v>65991.837797796979</v>
      </c>
    </row>
    <row r="17" spans="1:9" ht="15.65" x14ac:dyDescent="0.3">
      <c r="A17" s="10" t="s">
        <v>20</v>
      </c>
      <c r="B17" s="13">
        <f>B13</f>
        <v>-650000</v>
      </c>
      <c r="C17" s="27">
        <f>(C$14-C$15)*(1-$L$3)+$L$3*(C$16)</f>
        <v>180462.58503401361</v>
      </c>
      <c r="D17" s="27">
        <f t="shared" ref="D17:I17" si="7">(D$14-D$15)*(1-$L$3)+$L$3*(D$16)</f>
        <v>181830.12633624877</v>
      </c>
      <c r="E17" s="27">
        <f t="shared" si="7"/>
        <v>183223.14591142576</v>
      </c>
      <c r="F17" s="27">
        <f t="shared" si="7"/>
        <v>184639.56765809655</v>
      </c>
      <c r="G17" s="27">
        <f t="shared" si="7"/>
        <v>186077.42255440931</v>
      </c>
      <c r="H17" s="27">
        <f t="shared" si="7"/>
        <v>187534.84348081678</v>
      </c>
      <c r="I17" s="27">
        <f t="shared" si="7"/>
        <v>189010.06029006804</v>
      </c>
    </row>
    <row r="18" spans="1:9" ht="15.65" x14ac:dyDescent="0.3">
      <c r="A18" s="10" t="s">
        <v>9</v>
      </c>
      <c r="B18" s="115">
        <f>B17+NPV(L4,C17:I17)</f>
        <v>343238.38446420897</v>
      </c>
    </row>
    <row r="20" spans="1:9" ht="15.65" x14ac:dyDescent="0.3">
      <c r="A20" s="111" t="s">
        <v>127</v>
      </c>
      <c r="B20" s="175">
        <f>C4*((1/(L6-L2))-(1/(L6-L2))*((1+L2)/(1+L6))^L1)*(1-L3)</f>
        <v>2203962.7324456656</v>
      </c>
    </row>
    <row r="21" spans="1:9" ht="15.65" x14ac:dyDescent="0.3">
      <c r="A21" s="111" t="s">
        <v>128</v>
      </c>
      <c r="B21" s="175">
        <f>C5*((1/(L6-L5))-(1/(L6-L5))*((1+L5)/(1+L6))^L1)*(1-L3)</f>
        <v>1311312.0264956118</v>
      </c>
    </row>
    <row r="22" spans="1:9" ht="15.65" x14ac:dyDescent="0.3">
      <c r="A22" s="111" t="s">
        <v>129</v>
      </c>
      <c r="B22" s="175">
        <f>(-B3/L1)*(L3)*PV(L6,L1,-1)</f>
        <v>100587.6785141537</v>
      </c>
    </row>
    <row r="23" spans="1:9" ht="15.65" x14ac:dyDescent="0.3">
      <c r="A23" s="114" t="s">
        <v>9</v>
      </c>
      <c r="B23" s="175">
        <f>B3+B20-B21+B22</f>
        <v>343238.38446420757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B086-5EDC-4C81-ADAB-98C0A26E6044}">
  <dimension ref="A1:J15"/>
  <sheetViews>
    <sheetView showGridLines="0" topLeftCell="B1" zoomScale="130" zoomScaleNormal="130" workbookViewId="0">
      <selection activeCell="J1" sqref="J1"/>
    </sheetView>
  </sheetViews>
  <sheetFormatPr defaultRowHeight="15.05" x14ac:dyDescent="0.3"/>
  <cols>
    <col min="1" max="1" width="29.109375" bestFit="1" customWidth="1"/>
    <col min="2" max="2" width="14.44140625" bestFit="1" customWidth="1"/>
    <col min="3" max="7" width="12.5546875" bestFit="1" customWidth="1"/>
    <col min="9" max="9" width="14.6640625" bestFit="1" customWidth="1"/>
  </cols>
  <sheetData>
    <row r="1" spans="1:10" ht="15.65" x14ac:dyDescent="0.3">
      <c r="A1" s="6"/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41</v>
      </c>
      <c r="I1" s="171" t="s">
        <v>7</v>
      </c>
      <c r="J1" s="172">
        <v>0.21</v>
      </c>
    </row>
    <row r="2" spans="1:10" ht="15.65" x14ac:dyDescent="0.3">
      <c r="A2" s="9" t="s">
        <v>15</v>
      </c>
      <c r="B2" s="11">
        <v>-575000</v>
      </c>
      <c r="C2" s="12"/>
      <c r="D2" s="12"/>
      <c r="E2" s="12"/>
      <c r="F2" s="12"/>
      <c r="G2" s="12"/>
      <c r="I2" s="171" t="s">
        <v>25</v>
      </c>
      <c r="J2" s="172">
        <v>0.18</v>
      </c>
    </row>
    <row r="3" spans="1:10" ht="15.65" x14ac:dyDescent="0.3">
      <c r="A3" s="9" t="s">
        <v>118</v>
      </c>
      <c r="B3" s="177"/>
      <c r="C3" s="178">
        <f>$J$4*$J$5</f>
        <v>634400</v>
      </c>
      <c r="D3" s="178">
        <f>C$3*(1+$J$3)</f>
        <v>685152</v>
      </c>
      <c r="E3" s="178">
        <f t="shared" ref="E3:G3" si="0">D$3*(1+$J$3)</f>
        <v>739964.16</v>
      </c>
      <c r="F3" s="178">
        <f t="shared" si="0"/>
        <v>799161.29280000005</v>
      </c>
      <c r="G3" s="178">
        <f t="shared" si="0"/>
        <v>863094.19622400007</v>
      </c>
      <c r="I3" s="171" t="s">
        <v>130</v>
      </c>
      <c r="J3" s="172">
        <v>0.08</v>
      </c>
    </row>
    <row r="4" spans="1:10" ht="15.65" x14ac:dyDescent="0.3">
      <c r="A4" s="9" t="s">
        <v>75</v>
      </c>
      <c r="B4" s="177"/>
      <c r="C4" s="178">
        <f>$J$4*$J$6</f>
        <v>197600</v>
      </c>
      <c r="D4" s="178">
        <f>C$4*(1+$J$3)</f>
        <v>213408</v>
      </c>
      <c r="E4" s="178">
        <f t="shared" ref="E4:G4" si="1">D$4*(1+$J$3)</f>
        <v>230480.64000000001</v>
      </c>
      <c r="F4" s="178">
        <f t="shared" si="1"/>
        <v>248919.09120000002</v>
      </c>
      <c r="G4" s="178">
        <f t="shared" si="1"/>
        <v>268832.61849600007</v>
      </c>
      <c r="I4" s="171" t="s">
        <v>226</v>
      </c>
      <c r="J4" s="171">
        <v>10400</v>
      </c>
    </row>
    <row r="5" spans="1:10" ht="15.65" x14ac:dyDescent="0.3">
      <c r="A5" s="9" t="s">
        <v>76</v>
      </c>
      <c r="B5" s="177"/>
      <c r="C5" s="177">
        <f>$J$7</f>
        <v>125000</v>
      </c>
      <c r="D5" s="177">
        <f t="shared" ref="D5:G5" si="2">$J$7</f>
        <v>125000</v>
      </c>
      <c r="E5" s="177">
        <f t="shared" si="2"/>
        <v>125000</v>
      </c>
      <c r="F5" s="177">
        <f t="shared" si="2"/>
        <v>125000</v>
      </c>
      <c r="G5" s="177">
        <f t="shared" si="2"/>
        <v>125000</v>
      </c>
      <c r="I5" s="171" t="s">
        <v>227</v>
      </c>
      <c r="J5" s="176">
        <v>61</v>
      </c>
    </row>
    <row r="6" spans="1:10" ht="15.65" x14ac:dyDescent="0.3">
      <c r="A6" s="9" t="s">
        <v>18</v>
      </c>
      <c r="B6" s="177"/>
      <c r="C6" s="177">
        <f>SLN(-$B$2,,$J$8)</f>
        <v>115000</v>
      </c>
      <c r="D6" s="177">
        <f t="shared" ref="D6:G6" si="3">SLN(-$B$2,,$J$8)</f>
        <v>115000</v>
      </c>
      <c r="E6" s="177">
        <f t="shared" si="3"/>
        <v>115000</v>
      </c>
      <c r="F6" s="177">
        <f t="shared" si="3"/>
        <v>115000</v>
      </c>
      <c r="G6" s="177">
        <f t="shared" si="3"/>
        <v>115000</v>
      </c>
      <c r="I6" s="171" t="s">
        <v>211</v>
      </c>
      <c r="J6" s="176">
        <v>19</v>
      </c>
    </row>
    <row r="7" spans="1:10" ht="15.65" x14ac:dyDescent="0.3">
      <c r="A7" s="10" t="s">
        <v>20</v>
      </c>
      <c r="B7" s="177">
        <f>B2+B8</f>
        <v>-620000</v>
      </c>
      <c r="C7" s="178">
        <f>(C$3-C$4-C$5)*(1-$J$1)+$J$1*(C$6)</f>
        <v>270472</v>
      </c>
      <c r="D7" s="178">
        <f t="shared" ref="D7:F7" si="4">(D$3-D$4-D$5)*(1-$J$1)+$J$1*(D$6)</f>
        <v>298077.76</v>
      </c>
      <c r="E7" s="178">
        <f t="shared" si="4"/>
        <v>327891.98080000002</v>
      </c>
      <c r="F7" s="178">
        <f t="shared" si="4"/>
        <v>360091.33926400001</v>
      </c>
      <c r="G7" s="178">
        <f>(G$3-G$4-G$5)*(1-$J$1)+$J$1*(G$6)+G8</f>
        <v>439866.64640512003</v>
      </c>
      <c r="I7" s="171" t="s">
        <v>212</v>
      </c>
      <c r="J7" s="176">
        <v>125000</v>
      </c>
    </row>
    <row r="8" spans="1:10" ht="15.65" x14ac:dyDescent="0.3">
      <c r="A8" s="9" t="s">
        <v>26</v>
      </c>
      <c r="B8" s="177">
        <v>-45000</v>
      </c>
      <c r="C8" s="177"/>
      <c r="D8" s="177"/>
      <c r="E8" s="177"/>
      <c r="F8" s="177"/>
      <c r="G8" s="177">
        <f>-B8</f>
        <v>45000</v>
      </c>
      <c r="I8" s="171" t="s">
        <v>224</v>
      </c>
      <c r="J8" s="171">
        <v>5</v>
      </c>
    </row>
    <row r="9" spans="1:10" ht="15.65" x14ac:dyDescent="0.3">
      <c r="A9" s="9" t="s">
        <v>9</v>
      </c>
      <c r="B9" s="115">
        <f>B7+NPV(J2,C7:G7)</f>
        <v>400854.41971807997</v>
      </c>
    </row>
    <row r="11" spans="1:10" ht="15.65" x14ac:dyDescent="0.3">
      <c r="A11" s="111" t="s">
        <v>161</v>
      </c>
      <c r="B11" s="175">
        <f>(J4*J5)*((1/(J2-J3))-(1/(J2-J3))*((1+J3)/(1+J2))^J8)</f>
        <v>2269522.5814390709</v>
      </c>
    </row>
    <row r="12" spans="1:10" ht="15.65" x14ac:dyDescent="0.3">
      <c r="A12" s="111" t="s">
        <v>133</v>
      </c>
      <c r="B12" s="175">
        <f>(J4*J6)*((1/(J2-J3))-(1/(J2-J3))*((1+J3)/(1+J2))^J8)</f>
        <v>706900.47618594021</v>
      </c>
    </row>
    <row r="13" spans="1:10" ht="15.65" x14ac:dyDescent="0.3">
      <c r="A13" s="111" t="s">
        <v>131</v>
      </c>
      <c r="B13" s="175">
        <f>PV(J2,J8,-C5)</f>
        <v>390896.37761773699</v>
      </c>
    </row>
    <row r="14" spans="1:10" ht="15.65" x14ac:dyDescent="0.3">
      <c r="A14" s="111" t="s">
        <v>132</v>
      </c>
      <c r="B14" s="175">
        <f>PV(J2,J8,-C6)</f>
        <v>359624.66740831803</v>
      </c>
    </row>
    <row r="15" spans="1:10" ht="15.65" x14ac:dyDescent="0.3">
      <c r="A15" s="114" t="s">
        <v>9</v>
      </c>
      <c r="B15" s="175">
        <f>B7+(B11-B12-B13)*(1-J1)+(B14)*(J1)+G8/1.18^5</f>
        <v>400854.41971807834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9666-005B-4B4C-81F4-F138D55C535D}">
  <dimension ref="A1:O16"/>
  <sheetViews>
    <sheetView showGridLines="0" topLeftCell="C1" zoomScale="130" zoomScaleNormal="130" workbookViewId="0">
      <selection activeCell="I7" sqref="I7"/>
    </sheetView>
  </sheetViews>
  <sheetFormatPr defaultRowHeight="15.05" x14ac:dyDescent="0.3"/>
  <cols>
    <col min="1" max="1" width="17.77734375" bestFit="1" customWidth="1"/>
    <col min="2" max="2" width="11.44140625" bestFit="1" customWidth="1"/>
    <col min="3" max="6" width="12.77734375" bestFit="1" customWidth="1"/>
    <col min="9" max="9" width="13.109375" bestFit="1" customWidth="1"/>
  </cols>
  <sheetData>
    <row r="1" spans="1:15" ht="15.65" x14ac:dyDescent="0.3">
      <c r="A1" s="6"/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I1" s="111" t="s">
        <v>7</v>
      </c>
      <c r="J1" s="116">
        <v>0.23</v>
      </c>
    </row>
    <row r="2" spans="1:15" ht="15.65" x14ac:dyDescent="0.3">
      <c r="A2" s="9" t="s">
        <v>15</v>
      </c>
      <c r="B2" s="11">
        <v>-3400000</v>
      </c>
      <c r="C2" s="12"/>
      <c r="D2" s="12"/>
      <c r="E2" s="12"/>
      <c r="F2" s="12"/>
      <c r="I2" s="111" t="s">
        <v>25</v>
      </c>
      <c r="J2" s="116">
        <v>0.13</v>
      </c>
    </row>
    <row r="3" spans="1:15" ht="15.65" x14ac:dyDescent="0.3">
      <c r="A3" s="9" t="s">
        <v>136</v>
      </c>
      <c r="B3" s="11"/>
      <c r="C3" s="179">
        <v>7100</v>
      </c>
      <c r="D3" s="179">
        <v>7900</v>
      </c>
      <c r="E3" s="179">
        <v>9200</v>
      </c>
      <c r="F3" s="179">
        <v>6100</v>
      </c>
      <c r="I3" s="171" t="s">
        <v>212</v>
      </c>
      <c r="J3" s="176">
        <v>375000</v>
      </c>
    </row>
    <row r="4" spans="1:15" ht="15.65" x14ac:dyDescent="0.3">
      <c r="A4" s="9" t="s">
        <v>118</v>
      </c>
      <c r="B4" s="12"/>
      <c r="C4" s="177">
        <f>C$3*$J$6</f>
        <v>2165500</v>
      </c>
      <c r="D4" s="177">
        <f t="shared" ref="D4:F4" si="0">D$3*$J$6</f>
        <v>2409500</v>
      </c>
      <c r="E4" s="177">
        <f t="shared" si="0"/>
        <v>2806000</v>
      </c>
      <c r="F4" s="177">
        <f t="shared" si="0"/>
        <v>1860500</v>
      </c>
      <c r="I4" s="171" t="s">
        <v>211</v>
      </c>
      <c r="J4" s="172">
        <v>0.15</v>
      </c>
    </row>
    <row r="5" spans="1:15" ht="15.65" x14ac:dyDescent="0.3">
      <c r="A5" s="9" t="s">
        <v>75</v>
      </c>
      <c r="B5" s="12"/>
      <c r="C5" s="177">
        <f>C$4*$J$4</f>
        <v>324825</v>
      </c>
      <c r="D5" s="177">
        <f t="shared" ref="D5:F5" si="1">D$4*$J$4</f>
        <v>361425</v>
      </c>
      <c r="E5" s="177">
        <f t="shared" si="1"/>
        <v>420900</v>
      </c>
      <c r="F5" s="177">
        <f t="shared" si="1"/>
        <v>279075</v>
      </c>
      <c r="I5" s="171" t="s">
        <v>54</v>
      </c>
      <c r="J5" s="176">
        <v>310000</v>
      </c>
    </row>
    <row r="6" spans="1:15" ht="15.65" x14ac:dyDescent="0.3">
      <c r="A6" s="9" t="s">
        <v>76</v>
      </c>
      <c r="B6" s="12"/>
      <c r="C6" s="177">
        <f>$J$3</f>
        <v>375000</v>
      </c>
      <c r="D6" s="177">
        <f t="shared" ref="D6:F6" si="2">$J$3</f>
        <v>375000</v>
      </c>
      <c r="E6" s="177">
        <f t="shared" si="2"/>
        <v>375000</v>
      </c>
      <c r="F6" s="177">
        <f t="shared" si="2"/>
        <v>375000</v>
      </c>
      <c r="I6" s="171" t="s">
        <v>228</v>
      </c>
      <c r="J6" s="176">
        <v>305</v>
      </c>
    </row>
    <row r="7" spans="1:15" x14ac:dyDescent="0.3">
      <c r="A7" s="9" t="s">
        <v>18</v>
      </c>
      <c r="B7" s="12"/>
      <c r="C7" s="177">
        <f>-$B$2*H$7</f>
        <v>1133220</v>
      </c>
      <c r="D7" s="177">
        <f>-$B$2*I$7</f>
        <v>1511300</v>
      </c>
      <c r="E7" s="177">
        <f>-$B$2*J$7</f>
        <v>503540.00000000006</v>
      </c>
      <c r="F7" s="177">
        <f>-$B$2*K$7</f>
        <v>251940</v>
      </c>
      <c r="H7" s="28">
        <v>0.33329999999999999</v>
      </c>
      <c r="I7" s="28">
        <v>0.44450000000000001</v>
      </c>
      <c r="J7" s="28">
        <v>0.14810000000000001</v>
      </c>
      <c r="K7" s="28">
        <v>7.4099999999999999E-2</v>
      </c>
    </row>
    <row r="8" spans="1:15" x14ac:dyDescent="0.3">
      <c r="A8" s="9" t="s">
        <v>18</v>
      </c>
      <c r="B8" s="12"/>
      <c r="C8" s="177">
        <f>-B2</f>
        <v>3400000</v>
      </c>
      <c r="D8" s="177">
        <v>0</v>
      </c>
      <c r="E8" s="177">
        <v>0</v>
      </c>
      <c r="F8" s="177">
        <v>0</v>
      </c>
      <c r="L8" s="29"/>
      <c r="M8" s="29"/>
      <c r="N8" s="29"/>
      <c r="O8" s="29"/>
    </row>
    <row r="9" spans="1:15" x14ac:dyDescent="0.3">
      <c r="A9" s="10" t="s">
        <v>20</v>
      </c>
      <c r="B9" s="12">
        <f>B2+B11+B13</f>
        <v>-4525000</v>
      </c>
      <c r="C9" s="178">
        <f>(C$4-C$5-C$6)*(1-$J$1)+$J$1*(C$7)</f>
        <v>1389210.35</v>
      </c>
      <c r="D9" s="178">
        <f t="shared" ref="D9:E9" si="3">(D$4-D$5-D$6)*(1-$J$1)+$J$1*(D$7)</f>
        <v>1635866.75</v>
      </c>
      <c r="E9" s="178">
        <f t="shared" si="3"/>
        <v>1663591.2</v>
      </c>
      <c r="F9" s="178">
        <f>(F$4-F$5-F$6)*(1-$J$1)+$J$1*(F$7)+SUM(F11:F14)</f>
        <v>2650593.4500000002</v>
      </c>
    </row>
    <row r="10" spans="1:15" x14ac:dyDescent="0.3">
      <c r="A10" s="10" t="s">
        <v>20</v>
      </c>
      <c r="B10" s="12">
        <f>B9</f>
        <v>-4525000</v>
      </c>
      <c r="C10" s="178">
        <f>(C$4-C$5-C$6)*(1-$J$1)+$J$1*(C$8)</f>
        <v>1910569.75</v>
      </c>
      <c r="D10" s="178">
        <f t="shared" ref="D10:E10" si="4">(D$4-D$5-D$6)*(1-$J$1)+$J$1*(D$8)</f>
        <v>1288267.75</v>
      </c>
      <c r="E10" s="178">
        <f t="shared" si="4"/>
        <v>1547777</v>
      </c>
      <c r="F10" s="178">
        <f>(F$4-F$5-F$6)*(1-$J$1)+$J$1*(F$8)+SUM(F11:F14)</f>
        <v>2592647.25</v>
      </c>
    </row>
    <row r="11" spans="1:15" x14ac:dyDescent="0.3">
      <c r="A11" s="9" t="s">
        <v>26</v>
      </c>
      <c r="B11" s="12">
        <v>-225000</v>
      </c>
      <c r="C11" s="177"/>
      <c r="D11" s="177"/>
      <c r="E11" s="177"/>
      <c r="F11" s="177">
        <f>-B11</f>
        <v>225000</v>
      </c>
    </row>
    <row r="12" spans="1:15" x14ac:dyDescent="0.3">
      <c r="A12" s="9" t="s">
        <v>134</v>
      </c>
      <c r="B12" s="12">
        <v>-125000</v>
      </c>
      <c r="C12" s="177"/>
      <c r="D12" s="177"/>
      <c r="E12" s="177"/>
      <c r="F12" s="177">
        <v>0</v>
      </c>
    </row>
    <row r="13" spans="1:15" x14ac:dyDescent="0.3">
      <c r="A13" s="9" t="s">
        <v>135</v>
      </c>
      <c r="B13" s="12">
        <v>-900000</v>
      </c>
      <c r="C13" s="177"/>
      <c r="D13" s="177"/>
      <c r="E13" s="177"/>
      <c r="F13" s="177">
        <v>1200000</v>
      </c>
    </row>
    <row r="14" spans="1:15" x14ac:dyDescent="0.3">
      <c r="A14" s="9" t="s">
        <v>27</v>
      </c>
      <c r="B14" s="12"/>
      <c r="C14" s="177"/>
      <c r="D14" s="177"/>
      <c r="E14" s="177"/>
      <c r="F14" s="177">
        <f>$J$5+((-B2-SUM(C7:F7))-$J$5)*J1</f>
        <v>238700</v>
      </c>
    </row>
    <row r="15" spans="1:15" ht="15.65" x14ac:dyDescent="0.3">
      <c r="A15" s="9" t="s">
        <v>9</v>
      </c>
      <c r="B15" s="115">
        <f>B9+NPV(J2,C9:F9)</f>
        <v>764124.06344249472</v>
      </c>
      <c r="C15" s="26"/>
    </row>
    <row r="16" spans="1:15" ht="15.65" x14ac:dyDescent="0.3">
      <c r="A16" s="9" t="s">
        <v>9</v>
      </c>
      <c r="B16" s="115">
        <f>B10+NPV(J2,C10:F10)</f>
        <v>837478.51968652941</v>
      </c>
      <c r="C16" s="2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C59C-8484-4EAC-94A4-5E9BCE8C1552}">
  <dimension ref="A1:F57"/>
  <sheetViews>
    <sheetView showGridLines="0" zoomScale="130" zoomScaleNormal="130" workbookViewId="0"/>
  </sheetViews>
  <sheetFormatPr defaultRowHeight="15.05" x14ac:dyDescent="0.3"/>
  <cols>
    <col min="1" max="1" width="45.5546875" bestFit="1" customWidth="1"/>
    <col min="2" max="2" width="15.109375" bestFit="1" customWidth="1"/>
    <col min="3" max="3" width="21.33203125" bestFit="1" customWidth="1"/>
    <col min="4" max="4" width="22" bestFit="1" customWidth="1"/>
    <col min="5" max="5" width="13.33203125" bestFit="1" customWidth="1"/>
    <col min="8" max="8" width="15" bestFit="1" customWidth="1"/>
  </cols>
  <sheetData>
    <row r="1" spans="1:6" ht="15.65" x14ac:dyDescent="0.3">
      <c r="A1" s="180" t="s">
        <v>158</v>
      </c>
      <c r="B1" s="181"/>
      <c r="C1" s="181"/>
      <c r="D1" s="181"/>
      <c r="E1" s="182"/>
      <c r="F1" s="182"/>
    </row>
    <row r="2" spans="1:6" ht="15.65" x14ac:dyDescent="0.3">
      <c r="A2" s="183" t="s">
        <v>137</v>
      </c>
      <c r="B2" s="184">
        <v>2800000</v>
      </c>
      <c r="C2" s="181" t="s">
        <v>143</v>
      </c>
      <c r="D2" s="182"/>
      <c r="E2" s="183" t="s">
        <v>7</v>
      </c>
      <c r="F2" s="185">
        <v>0.21</v>
      </c>
    </row>
    <row r="3" spans="1:6" ht="15.65" x14ac:dyDescent="0.3">
      <c r="A3" s="183" t="s">
        <v>138</v>
      </c>
      <c r="B3" s="184">
        <v>1600000</v>
      </c>
      <c r="C3" s="181"/>
      <c r="D3" s="182"/>
      <c r="E3" s="183" t="s">
        <v>44</v>
      </c>
      <c r="F3" s="185">
        <v>0.08</v>
      </c>
    </row>
    <row r="4" spans="1:6" ht="15.65" x14ac:dyDescent="0.3">
      <c r="A4" s="183" t="s">
        <v>139</v>
      </c>
      <c r="B4" s="184">
        <v>855000</v>
      </c>
      <c r="C4" s="181" t="s">
        <v>140</v>
      </c>
      <c r="D4" s="182"/>
      <c r="E4" s="183" t="s">
        <v>224</v>
      </c>
      <c r="F4" s="183">
        <v>5</v>
      </c>
    </row>
    <row r="5" spans="1:6" ht="15.65" x14ac:dyDescent="0.3">
      <c r="A5" s="183" t="s">
        <v>18</v>
      </c>
      <c r="B5" s="184">
        <v>320000</v>
      </c>
      <c r="C5" s="181"/>
      <c r="D5" s="182"/>
      <c r="E5" s="182"/>
      <c r="F5" s="182"/>
    </row>
    <row r="6" spans="1:6" ht="15.65" x14ac:dyDescent="0.3">
      <c r="A6" s="183" t="s">
        <v>54</v>
      </c>
      <c r="B6" s="184">
        <v>140000</v>
      </c>
      <c r="C6" s="181" t="s">
        <v>141</v>
      </c>
      <c r="D6" s="182"/>
      <c r="E6" s="182"/>
      <c r="F6" s="182"/>
    </row>
    <row r="7" spans="1:6" ht="15.65" x14ac:dyDescent="0.3">
      <c r="A7" s="183" t="s">
        <v>145</v>
      </c>
      <c r="B7" s="184">
        <f>B2+(B3-B2)*F2</f>
        <v>2548000</v>
      </c>
      <c r="C7" s="186"/>
      <c r="D7" s="181"/>
      <c r="E7" s="182"/>
      <c r="F7" s="182"/>
    </row>
    <row r="8" spans="1:6" ht="15.65" x14ac:dyDescent="0.3">
      <c r="A8" s="183" t="s">
        <v>146</v>
      </c>
      <c r="B8" s="184">
        <f>B6+(0-B6)*F2</f>
        <v>110600</v>
      </c>
      <c r="C8" s="181" t="s">
        <v>141</v>
      </c>
      <c r="D8" s="181"/>
      <c r="E8" s="182"/>
      <c r="F8" s="182"/>
    </row>
    <row r="9" spans="1:6" ht="15.65" x14ac:dyDescent="0.3">
      <c r="A9" s="181"/>
      <c r="B9" s="186"/>
      <c r="C9" s="181"/>
      <c r="D9" s="186"/>
      <c r="E9" s="182"/>
      <c r="F9" s="182"/>
    </row>
    <row r="10" spans="1:6" ht="15.65" x14ac:dyDescent="0.3">
      <c r="A10" s="183" t="s">
        <v>139</v>
      </c>
      <c r="B10" s="184">
        <f>B4</f>
        <v>855000</v>
      </c>
      <c r="C10" s="181"/>
      <c r="D10" s="181"/>
      <c r="E10" s="182"/>
      <c r="F10" s="182"/>
    </row>
    <row r="11" spans="1:6" ht="15.65" x14ac:dyDescent="0.3">
      <c r="A11" s="183" t="s">
        <v>18</v>
      </c>
      <c r="B11" s="184">
        <f>B5</f>
        <v>320000</v>
      </c>
      <c r="C11" s="181"/>
      <c r="D11" s="181"/>
      <c r="E11" s="182"/>
      <c r="F11" s="182"/>
    </row>
    <row r="12" spans="1:6" ht="15.65" x14ac:dyDescent="0.3">
      <c r="A12" s="187" t="s">
        <v>84</v>
      </c>
      <c r="B12" s="184">
        <f>-B10+-B11</f>
        <v>-1175000</v>
      </c>
      <c r="C12" s="186"/>
      <c r="D12" s="181"/>
      <c r="E12" s="182"/>
      <c r="F12" s="182"/>
    </row>
    <row r="13" spans="1:6" ht="15.65" x14ac:dyDescent="0.3">
      <c r="A13" s="183" t="s">
        <v>23</v>
      </c>
      <c r="B13" s="184">
        <f>B12*F2</f>
        <v>-246750</v>
      </c>
      <c r="C13" s="181"/>
      <c r="D13" s="181"/>
      <c r="E13" s="182"/>
      <c r="F13" s="182"/>
    </row>
    <row r="14" spans="1:6" ht="15.65" x14ac:dyDescent="0.3">
      <c r="A14" s="187" t="s">
        <v>48</v>
      </c>
      <c r="B14" s="184">
        <f>B12-B13</f>
        <v>-928250</v>
      </c>
      <c r="C14" s="181"/>
      <c r="D14" s="181"/>
      <c r="E14" s="182"/>
      <c r="F14" s="182"/>
    </row>
    <row r="15" spans="1:6" ht="15.65" x14ac:dyDescent="0.3">
      <c r="A15" s="187" t="s">
        <v>20</v>
      </c>
      <c r="B15" s="184">
        <f>B12-B13+B11</f>
        <v>-608250</v>
      </c>
      <c r="C15" s="188"/>
      <c r="D15" s="181"/>
      <c r="E15" s="182"/>
      <c r="F15" s="182"/>
    </row>
    <row r="16" spans="1:6" ht="15.65" x14ac:dyDescent="0.3">
      <c r="A16" s="187" t="s">
        <v>9</v>
      </c>
      <c r="B16" s="189">
        <f>-B7+NPV(F3,B15,B15,B15,B15,B15+B8)</f>
        <v>-4901293.3784608124</v>
      </c>
      <c r="C16" s="188">
        <f>-B7+PV($F$3,$F$4,-B15)+PV($F$3,F4,,-B8)</f>
        <v>-4901293.3784608142</v>
      </c>
      <c r="D16" s="181"/>
      <c r="E16" s="182"/>
      <c r="F16" s="182"/>
    </row>
    <row r="17" spans="1:6" ht="15.65" x14ac:dyDescent="0.3">
      <c r="A17" s="181"/>
      <c r="B17" s="186"/>
      <c r="C17" s="181"/>
      <c r="D17" s="181"/>
      <c r="E17" s="182"/>
      <c r="F17" s="182"/>
    </row>
    <row r="18" spans="1:6" ht="15.65" x14ac:dyDescent="0.3">
      <c r="A18" s="180" t="s">
        <v>159</v>
      </c>
      <c r="B18" s="186"/>
      <c r="C18" s="181"/>
      <c r="D18" s="181"/>
      <c r="E18" s="182"/>
      <c r="F18" s="182"/>
    </row>
    <row r="19" spans="1:6" ht="15.65" x14ac:dyDescent="0.3">
      <c r="A19" s="183" t="s">
        <v>142</v>
      </c>
      <c r="B19" s="184">
        <v>4500000</v>
      </c>
      <c r="C19" s="181" t="s">
        <v>143</v>
      </c>
      <c r="D19" s="182"/>
      <c r="E19" s="182"/>
      <c r="F19" s="182"/>
    </row>
    <row r="20" spans="1:6" ht="15.65" x14ac:dyDescent="0.3">
      <c r="A20" s="183" t="s">
        <v>139</v>
      </c>
      <c r="B20" s="184">
        <v>350000</v>
      </c>
      <c r="C20" s="181" t="s">
        <v>229</v>
      </c>
      <c r="D20" s="182"/>
      <c r="E20" s="182"/>
      <c r="F20" s="182"/>
    </row>
    <row r="21" spans="1:6" ht="15.65" x14ac:dyDescent="0.3">
      <c r="A21" s="183" t="s">
        <v>54</v>
      </c>
      <c r="B21" s="184">
        <v>900000</v>
      </c>
      <c r="C21" s="181" t="s">
        <v>141</v>
      </c>
      <c r="D21" s="181"/>
      <c r="E21" s="182"/>
      <c r="F21" s="182"/>
    </row>
    <row r="22" spans="1:6" ht="15.65" x14ac:dyDescent="0.3">
      <c r="A22" s="183" t="s">
        <v>18</v>
      </c>
      <c r="B22" s="184">
        <f>SLN(B19,,5)</f>
        <v>900000</v>
      </c>
      <c r="C22" s="181" t="s">
        <v>229</v>
      </c>
      <c r="D22" s="181"/>
      <c r="E22" s="182"/>
      <c r="F22" s="182"/>
    </row>
    <row r="23" spans="1:6" ht="15.65" x14ac:dyDescent="0.3">
      <c r="A23" s="183" t="s">
        <v>146</v>
      </c>
      <c r="B23" s="184">
        <f>B21+(0-B21)*F2</f>
        <v>711000</v>
      </c>
      <c r="C23" s="181" t="s">
        <v>141</v>
      </c>
      <c r="D23" s="181"/>
      <c r="E23" s="182"/>
      <c r="F23" s="182"/>
    </row>
    <row r="24" spans="1:6" ht="15.65" x14ac:dyDescent="0.3">
      <c r="A24" s="181"/>
      <c r="B24" s="186"/>
      <c r="C24" s="181"/>
      <c r="D24" s="181"/>
      <c r="E24" s="182"/>
      <c r="F24" s="182"/>
    </row>
    <row r="25" spans="1:6" ht="15.65" x14ac:dyDescent="0.3">
      <c r="A25" s="183" t="s">
        <v>139</v>
      </c>
      <c r="B25" s="184">
        <f>B20</f>
        <v>350000</v>
      </c>
      <c r="C25" s="181"/>
      <c r="D25" s="181"/>
      <c r="E25" s="182"/>
      <c r="F25" s="182"/>
    </row>
    <row r="26" spans="1:6" ht="15.65" x14ac:dyDescent="0.3">
      <c r="A26" s="183" t="s">
        <v>18</v>
      </c>
      <c r="B26" s="184">
        <f>B22</f>
        <v>900000</v>
      </c>
      <c r="C26" s="181"/>
      <c r="D26" s="181"/>
      <c r="E26" s="182"/>
      <c r="F26" s="182"/>
    </row>
    <row r="27" spans="1:6" ht="15.65" x14ac:dyDescent="0.3">
      <c r="A27" s="187" t="s">
        <v>84</v>
      </c>
      <c r="B27" s="184">
        <f>-B25+-B26</f>
        <v>-1250000</v>
      </c>
      <c r="C27" s="186"/>
      <c r="D27" s="181"/>
      <c r="E27" s="182"/>
      <c r="F27" s="182"/>
    </row>
    <row r="28" spans="1:6" ht="15.65" x14ac:dyDescent="0.3">
      <c r="A28" s="183" t="s">
        <v>23</v>
      </c>
      <c r="B28" s="184">
        <f>B27*F2</f>
        <v>-262500</v>
      </c>
      <c r="C28" s="181"/>
      <c r="D28" s="181"/>
      <c r="E28" s="182"/>
      <c r="F28" s="182"/>
    </row>
    <row r="29" spans="1:6" ht="15.65" x14ac:dyDescent="0.3">
      <c r="A29" s="187" t="s">
        <v>48</v>
      </c>
      <c r="B29" s="184">
        <f>B27-B28</f>
        <v>-987500</v>
      </c>
      <c r="C29" s="181"/>
      <c r="D29" s="181"/>
      <c r="E29" s="182"/>
      <c r="F29" s="182"/>
    </row>
    <row r="30" spans="1:6" ht="15.65" x14ac:dyDescent="0.3">
      <c r="A30" s="187" t="s">
        <v>20</v>
      </c>
      <c r="B30" s="184">
        <f>B27-B28+B26</f>
        <v>-87500</v>
      </c>
      <c r="C30" s="188"/>
      <c r="D30" s="181"/>
      <c r="E30" s="182"/>
      <c r="F30" s="182"/>
    </row>
    <row r="31" spans="1:6" ht="15.65" x14ac:dyDescent="0.3">
      <c r="A31" s="187" t="s">
        <v>9</v>
      </c>
      <c r="B31" s="189">
        <f>-B19+NPV(F3,B30,B30,B30,B30,B30+B23)</f>
        <v>-4365467.4751533344</v>
      </c>
      <c r="C31" s="188">
        <f>-B19+PV($F$3,$F$4,-B30)+PV($F$3,F4,,-B23)</f>
        <v>-4365467.4751533344</v>
      </c>
      <c r="D31" s="181"/>
      <c r="E31" s="182"/>
      <c r="F31" s="182"/>
    </row>
    <row r="32" spans="1:6" ht="15.65" x14ac:dyDescent="0.3">
      <c r="A32" s="181"/>
      <c r="B32" s="181"/>
      <c r="C32" s="181"/>
      <c r="D32" s="181"/>
      <c r="E32" s="182"/>
      <c r="F32" s="182"/>
    </row>
    <row r="33" spans="1:6" ht="15.65" x14ac:dyDescent="0.3">
      <c r="A33" s="180" t="s">
        <v>147</v>
      </c>
      <c r="B33" s="181"/>
      <c r="C33" s="181"/>
      <c r="D33" s="181"/>
      <c r="E33" s="182"/>
      <c r="F33" s="182"/>
    </row>
    <row r="34" spans="1:6" ht="15.65" x14ac:dyDescent="0.3">
      <c r="A34" s="190" t="s">
        <v>148</v>
      </c>
      <c r="B34" s="191">
        <f>-B19</f>
        <v>-4500000</v>
      </c>
      <c r="C34" s="181"/>
      <c r="D34" s="181"/>
      <c r="E34" s="182"/>
      <c r="F34" s="182"/>
    </row>
    <row r="35" spans="1:6" ht="15.65" x14ac:dyDescent="0.3">
      <c r="A35" s="190" t="s">
        <v>149</v>
      </c>
      <c r="B35" s="192">
        <f>B2</f>
        <v>2800000</v>
      </c>
      <c r="C35" s="181"/>
      <c r="D35" s="181"/>
      <c r="E35" s="182"/>
      <c r="F35" s="182"/>
    </row>
    <row r="36" spans="1:6" ht="15.65" x14ac:dyDescent="0.3">
      <c r="A36" s="190" t="s">
        <v>150</v>
      </c>
      <c r="B36" s="191">
        <f>B7-B2</f>
        <v>-252000</v>
      </c>
      <c r="C36" s="181"/>
      <c r="D36" s="181"/>
      <c r="E36" s="182"/>
      <c r="F36" s="182"/>
    </row>
    <row r="37" spans="1:6" ht="15.65" x14ac:dyDescent="0.3">
      <c r="A37" s="193" t="s">
        <v>151</v>
      </c>
      <c r="B37" s="191">
        <f>SUM(B34:B36)</f>
        <v>-1952000</v>
      </c>
      <c r="C37" s="186">
        <f>B34+B7</f>
        <v>-1952000</v>
      </c>
      <c r="D37" s="186"/>
      <c r="E37" s="182"/>
      <c r="F37" s="182"/>
    </row>
    <row r="38" spans="1:6" ht="15.65" x14ac:dyDescent="0.3">
      <c r="A38" s="181"/>
      <c r="B38" s="181"/>
      <c r="C38" s="181"/>
      <c r="D38" s="181"/>
      <c r="E38" s="182"/>
      <c r="F38" s="182"/>
    </row>
    <row r="39" spans="1:6" ht="15.65" x14ac:dyDescent="0.3">
      <c r="A39" s="190" t="s">
        <v>152</v>
      </c>
      <c r="B39" s="191">
        <f>B25-B10</f>
        <v>-505000</v>
      </c>
      <c r="C39" s="186"/>
      <c r="D39" s="181"/>
      <c r="E39" s="182"/>
      <c r="F39" s="182"/>
    </row>
    <row r="40" spans="1:6" ht="15.65" x14ac:dyDescent="0.3">
      <c r="A40" s="190" t="s">
        <v>18</v>
      </c>
      <c r="B40" s="192">
        <f>B26-B11</f>
        <v>580000</v>
      </c>
      <c r="C40" s="194"/>
      <c r="D40" s="181"/>
      <c r="E40" s="182"/>
      <c r="F40" s="182"/>
    </row>
    <row r="41" spans="1:6" ht="15.65" x14ac:dyDescent="0.3">
      <c r="A41" s="190" t="s">
        <v>84</v>
      </c>
      <c r="B41" s="191">
        <f>-(B39--B40)</f>
        <v>-75000</v>
      </c>
      <c r="C41" s="181"/>
      <c r="D41" s="181"/>
      <c r="E41" s="182"/>
      <c r="F41" s="182"/>
    </row>
    <row r="42" spans="1:6" ht="15.65" x14ac:dyDescent="0.3">
      <c r="A42" s="190" t="s">
        <v>115</v>
      </c>
      <c r="B42" s="191">
        <f>B41*F2</f>
        <v>-15750</v>
      </c>
      <c r="C42" s="181"/>
      <c r="D42" s="181"/>
      <c r="E42" s="182"/>
      <c r="F42" s="182"/>
    </row>
    <row r="43" spans="1:6" ht="15.65" x14ac:dyDescent="0.3">
      <c r="A43" s="190" t="s">
        <v>77</v>
      </c>
      <c r="B43" s="191">
        <f>B41-B42</f>
        <v>-59250</v>
      </c>
      <c r="C43" s="181"/>
      <c r="D43" s="181"/>
      <c r="E43" s="182"/>
      <c r="F43" s="182"/>
    </row>
    <row r="44" spans="1:6" ht="15.65" x14ac:dyDescent="0.3">
      <c r="A44" s="190" t="s">
        <v>20</v>
      </c>
      <c r="B44" s="195">
        <f>B41-B42+B40</f>
        <v>520750</v>
      </c>
      <c r="C44" s="181"/>
      <c r="D44" s="181"/>
      <c r="E44" s="182"/>
      <c r="F44" s="182"/>
    </row>
    <row r="45" spans="1:6" ht="15.65" x14ac:dyDescent="0.3">
      <c r="A45" s="181"/>
      <c r="B45" s="181"/>
      <c r="C45" s="181"/>
      <c r="D45" s="181"/>
      <c r="E45" s="182"/>
      <c r="F45" s="182"/>
    </row>
    <row r="46" spans="1:6" ht="15.65" x14ac:dyDescent="0.3">
      <c r="A46" s="190" t="s">
        <v>153</v>
      </c>
      <c r="B46" s="195">
        <f>B21</f>
        <v>900000</v>
      </c>
      <c r="C46" s="181" t="s">
        <v>141</v>
      </c>
      <c r="D46" s="181"/>
      <c r="E46" s="182"/>
      <c r="F46" s="182"/>
    </row>
    <row r="47" spans="1:6" ht="15.65" x14ac:dyDescent="0.3">
      <c r="A47" s="190" t="s">
        <v>115</v>
      </c>
      <c r="B47" s="191">
        <f>B23-B21</f>
        <v>-189000</v>
      </c>
      <c r="C47" s="181"/>
      <c r="D47" s="181"/>
      <c r="E47" s="182"/>
      <c r="F47" s="182"/>
    </row>
    <row r="48" spans="1:6" ht="15.65" x14ac:dyDescent="0.3">
      <c r="A48" s="190" t="s">
        <v>154</v>
      </c>
      <c r="B48" s="191">
        <f>-B6</f>
        <v>-140000</v>
      </c>
      <c r="C48" s="181"/>
      <c r="D48" s="181"/>
      <c r="E48" s="182"/>
      <c r="F48" s="182"/>
    </row>
    <row r="49" spans="1:6" ht="15.65" x14ac:dyDescent="0.3">
      <c r="A49" s="190" t="s">
        <v>155</v>
      </c>
      <c r="B49" s="192">
        <f>B6-B8</f>
        <v>29400</v>
      </c>
      <c r="C49" s="181"/>
      <c r="D49" s="181"/>
      <c r="E49" s="182"/>
      <c r="F49" s="182"/>
    </row>
    <row r="50" spans="1:6" ht="15.65" x14ac:dyDescent="0.3">
      <c r="A50" s="193" t="s">
        <v>151</v>
      </c>
      <c r="B50" s="195">
        <f>SUM(B46:B49)</f>
        <v>600400</v>
      </c>
      <c r="C50" s="186">
        <f>B23-B8</f>
        <v>600400</v>
      </c>
      <c r="D50" s="186"/>
      <c r="E50" s="182"/>
      <c r="F50" s="182"/>
    </row>
    <row r="51" spans="1:6" ht="15.65" x14ac:dyDescent="0.3">
      <c r="A51" s="181"/>
      <c r="B51" s="181"/>
      <c r="C51" s="181"/>
      <c r="D51" s="181"/>
      <c r="E51" s="182"/>
      <c r="F51" s="182"/>
    </row>
    <row r="52" spans="1:6" ht="15.65" x14ac:dyDescent="0.3">
      <c r="A52" s="193" t="s">
        <v>9</v>
      </c>
      <c r="B52" s="189">
        <f>B37+NPV(F3,B44,B44,B44,B44,B44+B50)</f>
        <v>535825.90330747794</v>
      </c>
      <c r="C52" s="188">
        <f>B37+PV(F3,F4,-B44)+PV(F3,F4,,-B50)</f>
        <v>535825.90330747911</v>
      </c>
      <c r="D52" s="181"/>
      <c r="E52" s="182"/>
      <c r="F52" s="182"/>
    </row>
    <row r="53" spans="1:6" ht="15.65" x14ac:dyDescent="0.3">
      <c r="A53" s="187" t="s">
        <v>117</v>
      </c>
      <c r="B53" s="189">
        <f>B31-B16</f>
        <v>535825.90330747794</v>
      </c>
      <c r="C53" s="188"/>
      <c r="D53" s="181"/>
      <c r="E53" s="182"/>
      <c r="F53" s="182"/>
    </row>
    <row r="54" spans="1:6" x14ac:dyDescent="0.3">
      <c r="A54" s="182"/>
      <c r="B54" s="182"/>
      <c r="C54" s="182"/>
      <c r="D54" s="182"/>
      <c r="E54" s="182"/>
      <c r="F54" s="182"/>
    </row>
    <row r="55" spans="1:6" ht="15.65" x14ac:dyDescent="0.3">
      <c r="A55" s="187" t="s">
        <v>144</v>
      </c>
      <c r="B55" s="184">
        <v>3400000</v>
      </c>
      <c r="C55" s="182"/>
      <c r="D55" s="182"/>
      <c r="E55" s="182"/>
      <c r="F55" s="182"/>
    </row>
    <row r="56" spans="1:6" ht="15.65" x14ac:dyDescent="0.3">
      <c r="A56" s="193" t="s">
        <v>156</v>
      </c>
      <c r="B56" s="191">
        <f>B31/PV(F3,F4,-1)</f>
        <v>-1093359.5063537434</v>
      </c>
      <c r="C56" s="188" t="s">
        <v>230</v>
      </c>
      <c r="D56" s="182"/>
      <c r="E56" s="182"/>
      <c r="F56" s="182"/>
    </row>
    <row r="57" spans="1:6" x14ac:dyDescent="0.3">
      <c r="A57" s="193" t="s">
        <v>157</v>
      </c>
      <c r="B57" s="191">
        <f>B16/PV(F3,F4,-1)</f>
        <v>-1227560.5623612069</v>
      </c>
      <c r="C57" s="182"/>
      <c r="D57" s="182"/>
      <c r="E57" s="182"/>
      <c r="F57" s="18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A1E0-6B60-410A-A3BB-823E9DDFCB41}">
  <dimension ref="A1:K15"/>
  <sheetViews>
    <sheetView showGridLines="0" zoomScale="130" zoomScaleNormal="130" workbookViewId="0">
      <selection activeCell="B13" sqref="B13"/>
    </sheetView>
  </sheetViews>
  <sheetFormatPr defaultRowHeight="15.05" x14ac:dyDescent="0.3"/>
  <cols>
    <col min="1" max="1" width="17.77734375" bestFit="1" customWidth="1"/>
    <col min="2" max="2" width="12.88671875" bestFit="1" customWidth="1"/>
    <col min="3" max="3" width="10.33203125" bestFit="1" customWidth="1"/>
    <col min="4" max="4" width="11.33203125" bestFit="1" customWidth="1"/>
    <col min="5" max="7" width="12.77734375" bestFit="1" customWidth="1"/>
    <col min="9" max="9" width="22.21875" bestFit="1" customWidth="1"/>
    <col min="10" max="10" width="9" bestFit="1" customWidth="1"/>
  </cols>
  <sheetData>
    <row r="1" spans="1:11" ht="15.65" x14ac:dyDescent="0.3">
      <c r="A1" s="6"/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41</v>
      </c>
      <c r="I1" s="183" t="s">
        <v>7</v>
      </c>
      <c r="J1" s="185">
        <v>0.21</v>
      </c>
      <c r="K1" s="182"/>
    </row>
    <row r="2" spans="1:11" ht="15.65" x14ac:dyDescent="0.3">
      <c r="A2" s="9" t="s">
        <v>15</v>
      </c>
      <c r="B2" s="11">
        <v>-1200000</v>
      </c>
      <c r="C2" s="12"/>
      <c r="D2" s="12"/>
      <c r="E2" s="12"/>
      <c r="F2" s="12"/>
      <c r="G2" s="12"/>
      <c r="I2" s="183" t="s">
        <v>44</v>
      </c>
      <c r="J2" s="185">
        <v>0.11</v>
      </c>
      <c r="K2" s="182"/>
    </row>
    <row r="3" spans="1:11" ht="15.65" x14ac:dyDescent="0.3">
      <c r="A3" s="9" t="s">
        <v>118</v>
      </c>
      <c r="B3" s="12"/>
      <c r="C3" s="177">
        <f>$J$7*$J$5</f>
        <v>1175000</v>
      </c>
      <c r="D3" s="177">
        <f>C$3*(1+$J$3)</f>
        <v>1210250</v>
      </c>
      <c r="E3" s="178">
        <f t="shared" ref="E3:G3" si="0">D$3*(1+$J$3)</f>
        <v>1246557.5</v>
      </c>
      <c r="F3" s="178">
        <f t="shared" si="0"/>
        <v>1283954.2250000001</v>
      </c>
      <c r="G3" s="178">
        <f t="shared" si="0"/>
        <v>1322472.8517500001</v>
      </c>
      <c r="I3" s="183" t="s">
        <v>160</v>
      </c>
      <c r="J3" s="185">
        <v>0.03</v>
      </c>
      <c r="K3" s="182"/>
    </row>
    <row r="4" spans="1:11" ht="15.65" x14ac:dyDescent="0.3">
      <c r="A4" s="9" t="s">
        <v>75</v>
      </c>
      <c r="B4" s="12"/>
      <c r="C4" s="177">
        <f>$J$7*$J$6</f>
        <v>425000</v>
      </c>
      <c r="D4" s="177">
        <f t="shared" ref="D4:G4" si="1">C$4*(1+$J$4)</f>
        <v>442000</v>
      </c>
      <c r="E4" s="177">
        <f t="shared" si="1"/>
        <v>459680</v>
      </c>
      <c r="F4" s="178">
        <f t="shared" si="1"/>
        <v>478067.20000000001</v>
      </c>
      <c r="G4" s="178">
        <f t="shared" si="1"/>
        <v>497189.88800000004</v>
      </c>
      <c r="I4" s="183" t="s">
        <v>203</v>
      </c>
      <c r="J4" s="185">
        <v>0.04</v>
      </c>
      <c r="K4" s="182"/>
    </row>
    <row r="5" spans="1:11" ht="15.65" x14ac:dyDescent="0.3">
      <c r="A5" s="9" t="s">
        <v>76</v>
      </c>
      <c r="B5" s="12"/>
      <c r="C5" s="177">
        <f>$J$8</f>
        <v>235000</v>
      </c>
      <c r="D5" s="177">
        <f t="shared" ref="D5:G5" si="2">$J$8</f>
        <v>235000</v>
      </c>
      <c r="E5" s="177">
        <f t="shared" si="2"/>
        <v>235000</v>
      </c>
      <c r="F5" s="177">
        <f t="shared" si="2"/>
        <v>235000</v>
      </c>
      <c r="G5" s="177">
        <f t="shared" si="2"/>
        <v>235000</v>
      </c>
      <c r="I5" s="183" t="s">
        <v>228</v>
      </c>
      <c r="J5" s="184">
        <v>47</v>
      </c>
      <c r="K5" s="181" t="s">
        <v>231</v>
      </c>
    </row>
    <row r="6" spans="1:11" ht="15.65" x14ac:dyDescent="0.3">
      <c r="A6" s="9" t="s">
        <v>18</v>
      </c>
      <c r="B6" s="12"/>
      <c r="C6" s="177">
        <f>SLN(-$B$2,,$J$9)</f>
        <v>240000</v>
      </c>
      <c r="D6" s="177">
        <f t="shared" ref="D6:G6" si="3">SLN(-$B$2,,$J$9)</f>
        <v>240000</v>
      </c>
      <c r="E6" s="177">
        <f t="shared" si="3"/>
        <v>240000</v>
      </c>
      <c r="F6" s="177">
        <f t="shared" si="3"/>
        <v>240000</v>
      </c>
      <c r="G6" s="177">
        <f t="shared" si="3"/>
        <v>240000</v>
      </c>
      <c r="I6" s="183" t="s">
        <v>211</v>
      </c>
      <c r="J6" s="184">
        <v>17</v>
      </c>
      <c r="K6" s="181" t="s">
        <v>231</v>
      </c>
    </row>
    <row r="7" spans="1:11" ht="15.65" x14ac:dyDescent="0.3">
      <c r="A7" s="10" t="s">
        <v>20</v>
      </c>
      <c r="B7" s="12">
        <f>B2+B8</f>
        <v>-1400000</v>
      </c>
      <c r="C7" s="177">
        <f>(C$3-C$4-C$5)*(1-$J$1)+$J$1*(C$6)</f>
        <v>457250</v>
      </c>
      <c r="D7" s="178">
        <f t="shared" ref="D7:F7" si="4">(D$3-D$4-D$5)*(1-$J$1)+$J$1*(D$6)</f>
        <v>471667.5</v>
      </c>
      <c r="E7" s="178">
        <f t="shared" si="4"/>
        <v>486383.22500000003</v>
      </c>
      <c r="F7" s="178">
        <f t="shared" si="4"/>
        <v>501400.74975000013</v>
      </c>
      <c r="G7" s="178">
        <f>(G$3-G$4-G$5)*(1-$J$1)+$J$1*(G$6)+G8</f>
        <v>716723.54136250005</v>
      </c>
      <c r="I7" s="183" t="s">
        <v>226</v>
      </c>
      <c r="J7" s="183">
        <v>25000</v>
      </c>
      <c r="K7" s="181" t="s">
        <v>231</v>
      </c>
    </row>
    <row r="8" spans="1:11" ht="15.65" x14ac:dyDescent="0.3">
      <c r="A8" s="9" t="s">
        <v>26</v>
      </c>
      <c r="B8" s="12">
        <v>-200000</v>
      </c>
      <c r="C8" s="12"/>
      <c r="D8" s="12"/>
      <c r="E8" s="12"/>
      <c r="F8" s="12"/>
      <c r="G8" s="12">
        <f>-B8</f>
        <v>200000</v>
      </c>
      <c r="I8" s="183" t="s">
        <v>212</v>
      </c>
      <c r="J8" s="184">
        <v>235000</v>
      </c>
      <c r="K8" s="182"/>
    </row>
    <row r="9" spans="1:11" ht="15.65" x14ac:dyDescent="0.3">
      <c r="A9" s="9" t="s">
        <v>9</v>
      </c>
      <c r="B9" s="115">
        <f>B7+NPV(J2,C7:G7)</f>
        <v>506020.82489069761</v>
      </c>
      <c r="I9" s="183" t="s">
        <v>224</v>
      </c>
      <c r="J9" s="183">
        <v>5</v>
      </c>
      <c r="K9" s="182"/>
    </row>
    <row r="11" spans="1:11" ht="15.65" x14ac:dyDescent="0.3">
      <c r="A11" s="111" t="s">
        <v>161</v>
      </c>
      <c r="B11" s="189">
        <f>C3*((1/(J2-J3))-(1/(J2-J3))*((1+J3)/(1+J2))^J9)</f>
        <v>4582900.3962725056</v>
      </c>
      <c r="C11" s="26"/>
    </row>
    <row r="12" spans="1:11" ht="15.65" x14ac:dyDescent="0.3">
      <c r="A12" s="111" t="s">
        <v>133</v>
      </c>
      <c r="B12" s="189">
        <f>C4*((1/(J2-J4))-(1/(J2-J4))*((1+J4)/(1+J2))^J9)</f>
        <v>1687709.7242268345</v>
      </c>
      <c r="C12" s="26"/>
    </row>
    <row r="13" spans="1:11" ht="15.65" x14ac:dyDescent="0.3">
      <c r="A13" s="111" t="s">
        <v>131</v>
      </c>
      <c r="B13" s="189">
        <f>PV(J2,J9,-C5)</f>
        <v>868535.79914762476</v>
      </c>
      <c r="C13" s="26"/>
    </row>
    <row r="14" spans="1:11" ht="15.65" x14ac:dyDescent="0.3">
      <c r="A14" s="111" t="s">
        <v>132</v>
      </c>
      <c r="B14" s="189">
        <f>PV(J2,J9,-C6)</f>
        <v>887015.2842358721</v>
      </c>
      <c r="C14" s="26"/>
    </row>
    <row r="15" spans="1:11" ht="15.65" x14ac:dyDescent="0.3">
      <c r="A15" s="114" t="s">
        <v>9</v>
      </c>
      <c r="B15" s="189">
        <f>B7+(B11-B12-B13)*(1-J1)+B14*(J1)+PV(J2,J9,,-G8)</f>
        <v>506020.82489070162</v>
      </c>
      <c r="C15" s="2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DD76-F9FB-4B7B-B8CD-B33D7E979EC8}">
  <dimension ref="A1:P21"/>
  <sheetViews>
    <sheetView showGridLines="0" zoomScale="130" zoomScaleNormal="130" workbookViewId="0">
      <selection activeCell="B1" sqref="B1"/>
    </sheetView>
  </sheetViews>
  <sheetFormatPr defaultRowHeight="15.05" x14ac:dyDescent="0.3"/>
  <cols>
    <col min="1" max="1" width="21.77734375" bestFit="1" customWidth="1"/>
    <col min="2" max="2" width="14" bestFit="1" customWidth="1"/>
    <col min="3" max="3" width="11" bestFit="1" customWidth="1"/>
    <col min="4" max="6" width="10.33203125" bestFit="1" customWidth="1"/>
    <col min="7" max="7" width="11.33203125" bestFit="1" customWidth="1"/>
    <col min="9" max="9" width="6.109375" bestFit="1" customWidth="1"/>
    <col min="10" max="10" width="11" bestFit="1" customWidth="1"/>
    <col min="12" max="16" width="5.88671875" bestFit="1" customWidth="1"/>
  </cols>
  <sheetData>
    <row r="1" spans="1:16" x14ac:dyDescent="0.3">
      <c r="A1" s="6"/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41</v>
      </c>
      <c r="I1" s="7" t="s">
        <v>29</v>
      </c>
      <c r="J1" s="8" t="s">
        <v>162</v>
      </c>
    </row>
    <row r="2" spans="1:16" x14ac:dyDescent="0.3">
      <c r="A2" s="9" t="s">
        <v>15</v>
      </c>
      <c r="B2" s="11">
        <v>-18500000</v>
      </c>
      <c r="C2" s="12"/>
      <c r="D2" s="12"/>
      <c r="E2" s="12"/>
      <c r="F2" s="12"/>
      <c r="G2" s="12"/>
      <c r="I2" s="83">
        <v>1</v>
      </c>
      <c r="J2" s="84">
        <v>73000</v>
      </c>
    </row>
    <row r="3" spans="1:16" x14ac:dyDescent="0.3">
      <c r="A3" s="9" t="s">
        <v>118</v>
      </c>
      <c r="B3" s="12"/>
      <c r="C3" s="196">
        <f t="array" ref="C3:G3">TRANSPOSE($J$2:$J$6*$B$21)</f>
        <v>23725000</v>
      </c>
      <c r="D3" s="196">
        <v>25675000</v>
      </c>
      <c r="E3" s="196">
        <v>27300000</v>
      </c>
      <c r="F3" s="196">
        <v>26650000</v>
      </c>
      <c r="G3" s="196">
        <v>22100000</v>
      </c>
      <c r="I3" s="83">
        <v>2</v>
      </c>
      <c r="J3" s="84">
        <v>79000</v>
      </c>
    </row>
    <row r="4" spans="1:16" x14ac:dyDescent="0.3">
      <c r="A4" s="9" t="s">
        <v>75</v>
      </c>
      <c r="B4" s="12"/>
      <c r="C4" s="196">
        <f t="array" ref="C4:G4">TRANSPOSE($J$2:$J$6*$B$20)</f>
        <v>10585000</v>
      </c>
      <c r="D4" s="196">
        <v>11455000</v>
      </c>
      <c r="E4" s="196">
        <v>12180000</v>
      </c>
      <c r="F4" s="196">
        <v>11890000</v>
      </c>
      <c r="G4" s="196">
        <v>9860000</v>
      </c>
      <c r="I4" s="83">
        <v>3</v>
      </c>
      <c r="J4" s="84">
        <v>84000</v>
      </c>
    </row>
    <row r="5" spans="1:16" x14ac:dyDescent="0.3">
      <c r="A5" s="9" t="s">
        <v>76</v>
      </c>
      <c r="B5" s="12"/>
      <c r="C5" s="177">
        <f>$B$19</f>
        <v>3400000</v>
      </c>
      <c r="D5" s="177">
        <f>$B$19</f>
        <v>3400000</v>
      </c>
      <c r="E5" s="177">
        <f>$B$19</f>
        <v>3400000</v>
      </c>
      <c r="F5" s="177">
        <f>$B$19</f>
        <v>3400000</v>
      </c>
      <c r="G5" s="177">
        <f>$B$19</f>
        <v>3400000</v>
      </c>
      <c r="I5" s="83">
        <v>4</v>
      </c>
      <c r="J5" s="84">
        <v>82000</v>
      </c>
    </row>
    <row r="6" spans="1:16" x14ac:dyDescent="0.3">
      <c r="A6" s="9" t="s">
        <v>18</v>
      </c>
      <c r="B6" s="12"/>
      <c r="C6" s="177">
        <f>-$B$2*L$6</f>
        <v>2643650</v>
      </c>
      <c r="D6" s="177">
        <f t="shared" ref="D6:G6" si="0">-$B$2*M$6</f>
        <v>4530650</v>
      </c>
      <c r="E6" s="177">
        <f t="shared" si="0"/>
        <v>3235650</v>
      </c>
      <c r="F6" s="177">
        <f t="shared" si="0"/>
        <v>2310650</v>
      </c>
      <c r="G6" s="177">
        <f t="shared" si="0"/>
        <v>1652050</v>
      </c>
      <c r="I6" s="83">
        <v>5</v>
      </c>
      <c r="J6" s="84">
        <v>68000</v>
      </c>
      <c r="L6" s="28">
        <v>0.1429</v>
      </c>
      <c r="M6" s="28">
        <v>0.24490000000000001</v>
      </c>
      <c r="N6" s="28">
        <v>0.1749</v>
      </c>
      <c r="O6" s="28">
        <v>0.1249</v>
      </c>
      <c r="P6" s="28">
        <v>8.9300000000000004E-2</v>
      </c>
    </row>
    <row r="7" spans="1:16" x14ac:dyDescent="0.3">
      <c r="A7" s="10" t="s">
        <v>20</v>
      </c>
      <c r="B7" s="12"/>
      <c r="C7" s="177">
        <f>(C$3-C$4-C$5)*(1-$B$15)+$B$15*(C$6)</f>
        <v>8107839.5</v>
      </c>
      <c r="D7" s="177">
        <f>(D$3-D$4-D$5)*(1-$B$15)+$B$15*(D$6)</f>
        <v>9373449.5</v>
      </c>
      <c r="E7" s="177">
        <f>(E$3-E$4-E$5)*(1-$B$15)+$B$15*(E$6)</f>
        <v>9768599.5</v>
      </c>
      <c r="F7" s="177">
        <f>(F$3-F$4-F$5)*(1-$B$15)+$B$15*(F$6)</f>
        <v>9278649.5</v>
      </c>
      <c r="G7" s="177">
        <f>(G$3-G$4-G$5)*(1-$B$15)+$B$15*(G$6)</f>
        <v>7186771.5</v>
      </c>
    </row>
    <row r="8" spans="1:16" x14ac:dyDescent="0.3">
      <c r="A8" s="9" t="s">
        <v>26</v>
      </c>
      <c r="B8" s="12">
        <v>-1500000</v>
      </c>
      <c r="C8" s="177">
        <f>$B$18*(C$3-D$3)</f>
        <v>-292500</v>
      </c>
      <c r="D8" s="177">
        <f>$B$18*(D$3-E$3)</f>
        <v>-243750</v>
      </c>
      <c r="E8" s="177">
        <f>$B$18*(E$3-F$3)</f>
        <v>97500</v>
      </c>
      <c r="F8" s="177">
        <f>$B$18*(F$3-G$3)</f>
        <v>682500</v>
      </c>
      <c r="G8" s="177">
        <f>-B8+-C8+-D8+-E8+-F8</f>
        <v>1256250</v>
      </c>
    </row>
    <row r="9" spans="1:16" x14ac:dyDescent="0.3">
      <c r="A9" s="9" t="s">
        <v>27</v>
      </c>
      <c r="B9" s="12"/>
      <c r="C9" s="177"/>
      <c r="D9" s="177"/>
      <c r="E9" s="177"/>
      <c r="F9" s="177"/>
      <c r="G9" s="177">
        <f>B13</f>
        <v>3798290.5</v>
      </c>
    </row>
    <row r="10" spans="1:16" x14ac:dyDescent="0.3">
      <c r="A10" s="10" t="s">
        <v>36</v>
      </c>
      <c r="B10" s="12">
        <f>B2+B8</f>
        <v>-20000000</v>
      </c>
      <c r="C10" s="177">
        <f>C$7+SUM(C$8:C$9)</f>
        <v>7815339.5</v>
      </c>
      <c r="D10" s="177">
        <f t="shared" ref="D10:F10" si="1">D$7+SUM(D$8:D$9)</f>
        <v>9129699.5</v>
      </c>
      <c r="E10" s="177">
        <f t="shared" si="1"/>
        <v>9866099.5</v>
      </c>
      <c r="F10" s="177">
        <f t="shared" si="1"/>
        <v>9961149.5</v>
      </c>
      <c r="G10" s="177">
        <f>G$7+SUM(G$8:G$9)</f>
        <v>12241312</v>
      </c>
    </row>
    <row r="11" spans="1:16" ht="15.65" x14ac:dyDescent="0.3">
      <c r="A11" s="9" t="s">
        <v>9</v>
      </c>
      <c r="B11" s="115">
        <f>B10+NPV(B16,C10:G10)</f>
        <v>9673430.2355020754</v>
      </c>
    </row>
    <row r="12" spans="1:16" ht="15.65" x14ac:dyDescent="0.3">
      <c r="A12" s="9" t="s">
        <v>43</v>
      </c>
      <c r="B12" s="141">
        <f>IRR(B10:G10)</f>
        <v>0.36387083909623286</v>
      </c>
    </row>
    <row r="13" spans="1:16" ht="15.65" x14ac:dyDescent="0.3">
      <c r="A13" s="120" t="s">
        <v>39</v>
      </c>
      <c r="B13" s="110">
        <f>B17+((-B2-SUM(C6:G6))-B17)*B15</f>
        <v>3798290.5</v>
      </c>
      <c r="C13" s="25"/>
    </row>
    <row r="15" spans="1:16" ht="15.65" x14ac:dyDescent="0.3">
      <c r="A15" s="183" t="s">
        <v>7</v>
      </c>
      <c r="B15" s="185">
        <v>0.23</v>
      </c>
    </row>
    <row r="16" spans="1:16" ht="15.65" x14ac:dyDescent="0.3">
      <c r="A16" s="183" t="s">
        <v>25</v>
      </c>
      <c r="B16" s="185">
        <v>0.18</v>
      </c>
    </row>
    <row r="17" spans="1:2" ht="15.65" x14ac:dyDescent="0.3">
      <c r="A17" s="187" t="s">
        <v>54</v>
      </c>
      <c r="B17" s="184">
        <f>-B2*0.2</f>
        <v>3700000</v>
      </c>
    </row>
    <row r="18" spans="1:2" ht="15.65" x14ac:dyDescent="0.3">
      <c r="A18" s="183" t="s">
        <v>232</v>
      </c>
      <c r="B18" s="185">
        <v>0.15</v>
      </c>
    </row>
    <row r="19" spans="1:2" ht="15.65" x14ac:dyDescent="0.3">
      <c r="A19" s="183" t="s">
        <v>212</v>
      </c>
      <c r="B19" s="184">
        <v>3400000</v>
      </c>
    </row>
    <row r="20" spans="1:2" ht="15.65" x14ac:dyDescent="0.3">
      <c r="A20" s="183" t="s">
        <v>211</v>
      </c>
      <c r="B20" s="184">
        <v>145</v>
      </c>
    </row>
    <row r="21" spans="1:2" ht="15.65" x14ac:dyDescent="0.3">
      <c r="A21" s="183" t="s">
        <v>228</v>
      </c>
      <c r="B21" s="184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28C2-44EF-41F4-9E2E-3EC1BDB50EBC}">
  <dimension ref="A1:H11"/>
  <sheetViews>
    <sheetView showGridLines="0" topLeftCell="B1" zoomScale="160" zoomScaleNormal="160" workbookViewId="0">
      <selection activeCell="D6" sqref="D6"/>
    </sheetView>
  </sheetViews>
  <sheetFormatPr defaultRowHeight="15.05" x14ac:dyDescent="0.25"/>
  <cols>
    <col min="1" max="1" width="18.5546875" style="199" bestFit="1" customWidth="1"/>
    <col min="2" max="2" width="11.44140625" style="199" bestFit="1" customWidth="1"/>
    <col min="3" max="3" width="8.88671875" style="199"/>
    <col min="4" max="8" width="11.44140625" style="199" bestFit="1" customWidth="1"/>
    <col min="9" max="16384" width="8.88671875" style="199"/>
  </cols>
  <sheetData>
    <row r="1" spans="1:8" x14ac:dyDescent="0.25">
      <c r="A1" s="197" t="s">
        <v>233</v>
      </c>
      <c r="B1" s="198">
        <v>-905000</v>
      </c>
    </row>
    <row r="2" spans="1:8" x14ac:dyDescent="0.25">
      <c r="A2" s="197" t="s">
        <v>224</v>
      </c>
      <c r="B2" s="197">
        <v>5</v>
      </c>
    </row>
    <row r="3" spans="1:8" x14ac:dyDescent="0.25">
      <c r="A3" s="197" t="s">
        <v>26</v>
      </c>
      <c r="B3" s="198">
        <v>-65000</v>
      </c>
    </row>
    <row r="4" spans="1:8" x14ac:dyDescent="0.25">
      <c r="A4" s="197" t="s">
        <v>234</v>
      </c>
      <c r="B4" s="200">
        <v>0.22</v>
      </c>
    </row>
    <row r="5" spans="1:8" x14ac:dyDescent="0.25">
      <c r="A5" s="197" t="s">
        <v>6</v>
      </c>
      <c r="B5" s="200">
        <v>0.09</v>
      </c>
      <c r="E5" s="201">
        <v>0.33329999999999999</v>
      </c>
      <c r="F5" s="201">
        <v>0.44450000000000001</v>
      </c>
      <c r="G5" s="201">
        <v>0.14810000000000001</v>
      </c>
      <c r="H5" s="201">
        <v>7.4099999999999999E-2</v>
      </c>
    </row>
    <row r="6" spans="1:8" x14ac:dyDescent="0.25">
      <c r="A6" s="197" t="s">
        <v>54</v>
      </c>
      <c r="B6" s="198">
        <v>125000</v>
      </c>
      <c r="E6" s="202">
        <f>-$B$1*E$5</f>
        <v>301636.5</v>
      </c>
      <c r="F6" s="202">
        <f t="shared" ref="F6:H6" si="0">-$B$1*F$5</f>
        <v>402272.5</v>
      </c>
      <c r="G6" s="202">
        <f t="shared" si="0"/>
        <v>134030.5</v>
      </c>
      <c r="H6" s="202">
        <f t="shared" si="0"/>
        <v>67060.5</v>
      </c>
    </row>
    <row r="7" spans="1:8" x14ac:dyDescent="0.25">
      <c r="A7" s="197" t="s">
        <v>235</v>
      </c>
      <c r="B7" s="198">
        <f>B6+(0-B6)*B4</f>
        <v>97500</v>
      </c>
      <c r="E7" s="204">
        <v>229338.33081900777</v>
      </c>
      <c r="F7" s="204">
        <f>$E$7</f>
        <v>229338.33081900777</v>
      </c>
      <c r="G7" s="204">
        <f t="shared" ref="G7:H7" si="1">$E$7</f>
        <v>229338.33081900777</v>
      </c>
      <c r="H7" s="204">
        <f t="shared" si="1"/>
        <v>229338.33081900777</v>
      </c>
    </row>
    <row r="8" spans="1:8" x14ac:dyDescent="0.25">
      <c r="A8" s="197" t="s">
        <v>236</v>
      </c>
      <c r="B8" s="203">
        <f>B4*NPV(B5,E6:H6)+PV(B5,B2,,-(-B3+B7))</f>
        <v>274204.01615547354</v>
      </c>
      <c r="C8" s="199" t="s">
        <v>237</v>
      </c>
      <c r="E8" s="199" t="s">
        <v>238</v>
      </c>
    </row>
    <row r="9" spans="1:8" x14ac:dyDescent="0.25">
      <c r="A9" s="197" t="s">
        <v>239</v>
      </c>
      <c r="B9" s="198">
        <f>-B1-B3</f>
        <v>970000</v>
      </c>
      <c r="C9" s="199" t="s">
        <v>240</v>
      </c>
    </row>
    <row r="10" spans="1:8" x14ac:dyDescent="0.25">
      <c r="A10" s="197" t="s">
        <v>241</v>
      </c>
      <c r="B10" s="203">
        <f>B9-B8</f>
        <v>695795.98384452646</v>
      </c>
      <c r="C10" s="199" t="s">
        <v>242</v>
      </c>
    </row>
    <row r="11" spans="1:8" x14ac:dyDescent="0.25">
      <c r="A11" s="197" t="s">
        <v>243</v>
      </c>
      <c r="B11" s="203">
        <f>(E7)*(1-B4)*PV(B5,B2,-1)</f>
        <v>695795.98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94D1-3C78-4B3B-8D5C-6AA53B63102B}">
  <dimension ref="A1:J27"/>
  <sheetViews>
    <sheetView showGridLines="0" zoomScale="130" zoomScaleNormal="130" workbookViewId="0"/>
  </sheetViews>
  <sheetFormatPr defaultRowHeight="15.05" x14ac:dyDescent="0.3"/>
  <cols>
    <col min="1" max="1" width="33.21875" bestFit="1" customWidth="1"/>
    <col min="2" max="2" width="11.44140625" bestFit="1" customWidth="1"/>
    <col min="3" max="3" width="11.33203125" bestFit="1" customWidth="1"/>
    <col min="4" max="4" width="12.77734375" bestFit="1" customWidth="1"/>
    <col min="5" max="6" width="11.33203125" bestFit="1" customWidth="1"/>
    <col min="7" max="7" width="10.33203125" bestFit="1" customWidth="1"/>
    <col min="10" max="10" width="5.88671875" bestFit="1" customWidth="1"/>
    <col min="11" max="11" width="18.5546875" bestFit="1" customWidth="1"/>
  </cols>
  <sheetData>
    <row r="1" spans="1:10" x14ac:dyDescent="0.3">
      <c r="A1" s="6"/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41</v>
      </c>
    </row>
    <row r="2" spans="1:10" x14ac:dyDescent="0.3">
      <c r="A2" s="9" t="s">
        <v>15</v>
      </c>
      <c r="B2" s="11">
        <v>-2100000</v>
      </c>
      <c r="C2" s="12"/>
      <c r="D2" s="12"/>
      <c r="E2" s="12"/>
      <c r="F2" s="12"/>
      <c r="G2" s="12"/>
      <c r="I2" s="120" t="s">
        <v>9</v>
      </c>
      <c r="J2" s="142">
        <f>B7+C7*PV(B19,5,-1)+PV(B19,5,,-(G9+G10))</f>
        <v>0</v>
      </c>
    </row>
    <row r="3" spans="1:10" ht="15.65" x14ac:dyDescent="0.3">
      <c r="A3" s="9" t="s">
        <v>74</v>
      </c>
      <c r="B3" s="11"/>
      <c r="C3" s="209">
        <f>$B$21*$B$27</f>
        <v>2900000</v>
      </c>
      <c r="D3" s="209">
        <f t="shared" ref="D3:G3" si="0">$B$21*$B$27</f>
        <v>2900000</v>
      </c>
      <c r="E3" s="209">
        <f t="shared" si="0"/>
        <v>2900000</v>
      </c>
      <c r="F3" s="209">
        <f t="shared" si="0"/>
        <v>2900000</v>
      </c>
      <c r="G3" s="209">
        <f t="shared" si="0"/>
        <v>2900000</v>
      </c>
      <c r="I3" s="24"/>
      <c r="J3" s="88"/>
    </row>
    <row r="4" spans="1:10" ht="15.65" x14ac:dyDescent="0.3">
      <c r="A4" s="9" t="s">
        <v>75</v>
      </c>
      <c r="B4" s="12"/>
      <c r="C4" s="177">
        <f>$B$21*$B$24</f>
        <v>1370250</v>
      </c>
      <c r="D4" s="177">
        <f t="shared" ref="D4:G4" si="1">$B$21*$B$24</f>
        <v>1370250</v>
      </c>
      <c r="E4" s="177">
        <f t="shared" si="1"/>
        <v>1370250</v>
      </c>
      <c r="F4" s="177">
        <f t="shared" si="1"/>
        <v>1370250</v>
      </c>
      <c r="G4" s="177">
        <f t="shared" si="1"/>
        <v>1370250</v>
      </c>
      <c r="I4" s="216" t="s">
        <v>245</v>
      </c>
      <c r="J4" s="217"/>
    </row>
    <row r="5" spans="1:10" ht="15.65" x14ac:dyDescent="0.3">
      <c r="A5" s="9" t="s">
        <v>76</v>
      </c>
      <c r="B5" s="12"/>
      <c r="C5" s="177">
        <f>$B$23</f>
        <v>650000</v>
      </c>
      <c r="D5" s="177">
        <f t="shared" ref="D5:G5" si="2">$B$23</f>
        <v>650000</v>
      </c>
      <c r="E5" s="177">
        <f t="shared" si="2"/>
        <v>650000</v>
      </c>
      <c r="F5" s="177">
        <f t="shared" si="2"/>
        <v>650000</v>
      </c>
      <c r="G5" s="177">
        <f t="shared" si="2"/>
        <v>650000</v>
      </c>
      <c r="I5" s="218">
        <v>1</v>
      </c>
      <c r="J5" s="219"/>
    </row>
    <row r="6" spans="1:10" ht="15.65" x14ac:dyDescent="0.3">
      <c r="A6" s="9" t="s">
        <v>18</v>
      </c>
      <c r="B6" s="12"/>
      <c r="C6" s="177">
        <f>SLN(-$B$2,,$B$22)</f>
        <v>420000</v>
      </c>
      <c r="D6" s="177">
        <f t="shared" ref="D6:G6" si="3">SLN(-$B$2,,$B$22)</f>
        <v>420000</v>
      </c>
      <c r="E6" s="177">
        <f t="shared" si="3"/>
        <v>420000</v>
      </c>
      <c r="F6" s="177">
        <f t="shared" si="3"/>
        <v>420000</v>
      </c>
      <c r="G6" s="177">
        <f t="shared" si="3"/>
        <v>420000</v>
      </c>
      <c r="I6" s="218">
        <v>2</v>
      </c>
      <c r="J6" s="220"/>
    </row>
    <row r="7" spans="1:10" ht="15.65" x14ac:dyDescent="0.3">
      <c r="A7" s="10" t="s">
        <v>20</v>
      </c>
      <c r="B7" s="12">
        <f>B2+B9</f>
        <v>-2425000</v>
      </c>
      <c r="C7" s="85">
        <v>584920.06830344629</v>
      </c>
      <c r="D7" s="210">
        <f>(($B$12-$B$24)*($B$21)-$C$5)*(1-$B$18)+$B$18*($C$6)</f>
        <v>584920.06999999983</v>
      </c>
      <c r="E7" s="91">
        <f>(($B$27-$B$24)*($B$14)-$C$5)*(1-$B$18)+$B$18*($C$6)</f>
        <v>584920.06999999983</v>
      </c>
      <c r="F7" s="211">
        <f>(($B$27-$B$24)*($B$21)-$B$15)*(1-$B$18)+$B$18*($C$6)</f>
        <v>584920.0700000003</v>
      </c>
      <c r="G7" s="12"/>
      <c r="I7" s="218">
        <v>3</v>
      </c>
      <c r="J7" s="221"/>
    </row>
    <row r="8" spans="1:10" ht="15.65" x14ac:dyDescent="0.3">
      <c r="A8" s="10" t="s">
        <v>20</v>
      </c>
      <c r="B8" s="12">
        <f>B7</f>
        <v>-2425000</v>
      </c>
      <c r="C8" s="12">
        <f>(C$3-C$4-C$5)*(1-$B$18)+$B$18*(C$6)</f>
        <v>783202.5</v>
      </c>
      <c r="D8" s="12">
        <f>(D$3-D$4-D$5)*(1-$B$18)+$B$18*(D$6)</f>
        <v>783202.5</v>
      </c>
      <c r="E8" s="12">
        <f>(E$3-E$4-E$5)*(1-$B$18)+$B$18*(E$6)</f>
        <v>783202.5</v>
      </c>
      <c r="F8" s="12">
        <f>(F$3-F$4-F$5)*(1-$B$18)+$B$18*(F$6)</f>
        <v>783202.5</v>
      </c>
      <c r="G8" s="12">
        <f>(G$3-G$4-G$5)*(1-$B$18)+$B$18*(G$6)+SUM(G9:G10)</f>
        <v>1226702.5</v>
      </c>
      <c r="I8" s="218">
        <v>4</v>
      </c>
      <c r="J8" s="222"/>
    </row>
    <row r="9" spans="1:10" ht="15.65" x14ac:dyDescent="0.3">
      <c r="A9" s="9" t="s">
        <v>26</v>
      </c>
      <c r="B9" s="12">
        <v>-325000</v>
      </c>
      <c r="C9" s="12"/>
      <c r="D9" s="12"/>
      <c r="E9" s="12"/>
      <c r="F9" s="12"/>
      <c r="G9" s="12">
        <f>-B9</f>
        <v>325000</v>
      </c>
      <c r="I9" s="218">
        <v>5</v>
      </c>
      <c r="J9" s="223"/>
    </row>
    <row r="10" spans="1:10" x14ac:dyDescent="0.3">
      <c r="A10" s="9" t="s">
        <v>27</v>
      </c>
      <c r="B10" s="12"/>
      <c r="C10" s="12"/>
      <c r="D10" s="82"/>
      <c r="E10" s="12"/>
      <c r="F10" s="12"/>
      <c r="G10" s="12">
        <f>B16</f>
        <v>118500</v>
      </c>
    </row>
    <row r="11" spans="1:10" x14ac:dyDescent="0.3">
      <c r="A11" s="10" t="s">
        <v>36</v>
      </c>
      <c r="B11" s="12"/>
      <c r="C11" s="12"/>
      <c r="D11" s="12"/>
      <c r="E11" s="12"/>
      <c r="F11" s="12"/>
      <c r="G11" s="12"/>
    </row>
    <row r="12" spans="1:10" ht="15.65" x14ac:dyDescent="0.3">
      <c r="A12" s="10" t="s">
        <v>163</v>
      </c>
      <c r="B12" s="212">
        <v>18.269031601920556</v>
      </c>
    </row>
    <row r="13" spans="1:10" ht="15.65" x14ac:dyDescent="0.3">
      <c r="A13" s="10" t="s">
        <v>166</v>
      </c>
      <c r="B13" s="213">
        <f>B8+NPV(B19,C8:G8)</f>
        <v>732831.44795957534</v>
      </c>
    </row>
    <row r="14" spans="1:10" ht="30.05" x14ac:dyDescent="0.3">
      <c r="A14" s="89" t="s">
        <v>167</v>
      </c>
      <c r="B14" s="214">
        <v>121209.43907852897</v>
      </c>
      <c r="C14" s="90"/>
    </row>
    <row r="15" spans="1:10" ht="15.65" x14ac:dyDescent="0.3">
      <c r="A15" s="89" t="s">
        <v>168</v>
      </c>
      <c r="B15" s="215">
        <v>900990.41772151866</v>
      </c>
      <c r="C15" s="90"/>
    </row>
    <row r="16" spans="1:10" ht="15.65" x14ac:dyDescent="0.3">
      <c r="A16" s="120" t="s">
        <v>39</v>
      </c>
      <c r="B16" s="110">
        <f>B20+(0-B20)*B18</f>
        <v>118500</v>
      </c>
    </row>
    <row r="18" spans="1:3" ht="15.65" x14ac:dyDescent="0.3">
      <c r="A18" s="111" t="s">
        <v>7</v>
      </c>
      <c r="B18" s="116">
        <v>0.21</v>
      </c>
    </row>
    <row r="19" spans="1:3" ht="15.65" x14ac:dyDescent="0.3">
      <c r="A19" s="111" t="s">
        <v>25</v>
      </c>
      <c r="B19" s="116">
        <v>0.11</v>
      </c>
    </row>
    <row r="20" spans="1:3" ht="15.65" x14ac:dyDescent="0.3">
      <c r="A20" s="114" t="s">
        <v>54</v>
      </c>
      <c r="B20" s="110">
        <v>150000</v>
      </c>
    </row>
    <row r="21" spans="1:3" ht="15.65" x14ac:dyDescent="0.3">
      <c r="A21" s="205" t="s">
        <v>226</v>
      </c>
      <c r="B21" s="205">
        <v>145000</v>
      </c>
      <c r="C21" s="206" t="s">
        <v>244</v>
      </c>
    </row>
    <row r="22" spans="1:3" ht="15.65" x14ac:dyDescent="0.3">
      <c r="A22" s="205" t="s">
        <v>224</v>
      </c>
      <c r="B22" s="205">
        <v>5</v>
      </c>
      <c r="C22" s="182"/>
    </row>
    <row r="23" spans="1:3" ht="15.65" x14ac:dyDescent="0.3">
      <c r="A23" s="205" t="s">
        <v>212</v>
      </c>
      <c r="B23" s="207">
        <v>650000</v>
      </c>
      <c r="C23" s="182"/>
    </row>
    <row r="24" spans="1:3" ht="15.65" x14ac:dyDescent="0.3">
      <c r="A24" s="205" t="s">
        <v>211</v>
      </c>
      <c r="B24" s="208">
        <v>9.4499999999999993</v>
      </c>
      <c r="C24" s="182"/>
    </row>
    <row r="26" spans="1:3" x14ac:dyDescent="0.3">
      <c r="A26" s="87" t="s">
        <v>164</v>
      </c>
    </row>
    <row r="27" spans="1:3" ht="15.65" x14ac:dyDescent="0.3">
      <c r="A27" s="114" t="s">
        <v>165</v>
      </c>
      <c r="B27" s="1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95FF-F7D1-4CA1-91A0-7420D4AE2071}">
  <dimension ref="A1:I26"/>
  <sheetViews>
    <sheetView showGridLines="0" zoomScale="130" zoomScaleNormal="130" workbookViewId="0">
      <selection activeCell="C14" sqref="C14"/>
    </sheetView>
  </sheetViews>
  <sheetFormatPr defaultRowHeight="15.05" x14ac:dyDescent="0.3"/>
  <cols>
    <col min="1" max="1" width="24.6640625" bestFit="1" customWidth="1"/>
    <col min="2" max="2" width="15.109375" bestFit="1" customWidth="1"/>
    <col min="3" max="3" width="12.77734375" bestFit="1" customWidth="1"/>
    <col min="4" max="4" width="12.5546875" bestFit="1" customWidth="1"/>
    <col min="5" max="5" width="11.44140625" bestFit="1" customWidth="1"/>
    <col min="6" max="6" width="9.88671875" bestFit="1" customWidth="1"/>
  </cols>
  <sheetData>
    <row r="1" spans="1:9" ht="15.65" x14ac:dyDescent="0.3">
      <c r="A1" s="6"/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H1" s="216" t="s">
        <v>245</v>
      </c>
      <c r="I1" s="217"/>
    </row>
    <row r="2" spans="1:9" ht="15.65" x14ac:dyDescent="0.3">
      <c r="A2" s="9" t="s">
        <v>15</v>
      </c>
      <c r="B2" s="11">
        <v>-3600000</v>
      </c>
      <c r="C2" s="12"/>
      <c r="D2" s="12"/>
      <c r="E2" s="12"/>
      <c r="F2" s="12"/>
      <c r="H2" s="218">
        <v>1</v>
      </c>
      <c r="I2" s="221"/>
    </row>
    <row r="3" spans="1:9" ht="15.65" x14ac:dyDescent="0.3">
      <c r="A3" s="9" t="s">
        <v>74</v>
      </c>
      <c r="B3" s="11"/>
      <c r="C3" s="12"/>
      <c r="D3" s="12"/>
      <c r="E3" s="12"/>
      <c r="F3" s="12"/>
      <c r="H3" s="218">
        <v>2</v>
      </c>
      <c r="I3" s="229"/>
    </row>
    <row r="4" spans="1:9" ht="15.65" x14ac:dyDescent="0.3">
      <c r="A4" s="9" t="s">
        <v>170</v>
      </c>
      <c r="B4" s="11"/>
      <c r="C4" s="92">
        <v>4000</v>
      </c>
      <c r="D4" s="92">
        <v>12000</v>
      </c>
      <c r="E4" s="92">
        <v>14000</v>
      </c>
      <c r="F4" s="92">
        <v>7000</v>
      </c>
      <c r="H4" s="218">
        <v>3</v>
      </c>
      <c r="I4" s="220"/>
    </row>
    <row r="5" spans="1:9" x14ac:dyDescent="0.3">
      <c r="A5" s="10" t="s">
        <v>171</v>
      </c>
      <c r="B5" s="11"/>
      <c r="C5" s="177">
        <f>C$4*$B$24</f>
        <v>540000</v>
      </c>
      <c r="D5" s="177">
        <f t="shared" ref="D5:F5" si="0">D$4*$B$24</f>
        <v>1620000</v>
      </c>
      <c r="E5" s="177">
        <f t="shared" si="0"/>
        <v>1890000</v>
      </c>
      <c r="F5" s="177">
        <f t="shared" si="0"/>
        <v>945000</v>
      </c>
    </row>
    <row r="6" spans="1:9" x14ac:dyDescent="0.3">
      <c r="A6" s="10" t="s">
        <v>75</v>
      </c>
      <c r="B6" s="11"/>
      <c r="C6" s="177">
        <f>C$4*$B$23</f>
        <v>172000</v>
      </c>
      <c r="D6" s="177">
        <f t="shared" ref="D6:F6" si="1">D$4*$B$23</f>
        <v>516000</v>
      </c>
      <c r="E6" s="177">
        <f t="shared" si="1"/>
        <v>602000</v>
      </c>
      <c r="F6" s="177">
        <f t="shared" si="1"/>
        <v>301000</v>
      </c>
    </row>
    <row r="7" spans="1:9" x14ac:dyDescent="0.3">
      <c r="A7" s="9" t="s">
        <v>75</v>
      </c>
      <c r="B7" s="12"/>
      <c r="C7" s="196">
        <f>$B$25*$B$23</f>
        <v>774000</v>
      </c>
      <c r="D7" s="196">
        <f t="shared" ref="D7:F7" si="2">$B$25*$B$23</f>
        <v>774000</v>
      </c>
      <c r="E7" s="196">
        <f t="shared" si="2"/>
        <v>774000</v>
      </c>
      <c r="F7" s="196">
        <f t="shared" si="2"/>
        <v>774000</v>
      </c>
    </row>
    <row r="8" spans="1:9" x14ac:dyDescent="0.3">
      <c r="A8" s="9" t="s">
        <v>76</v>
      </c>
      <c r="B8" s="12"/>
      <c r="C8" s="177">
        <f>$B$22</f>
        <v>775000</v>
      </c>
      <c r="D8" s="177">
        <f t="shared" ref="D8:F8" si="3">$B$22</f>
        <v>775000</v>
      </c>
      <c r="E8" s="177">
        <f t="shared" si="3"/>
        <v>775000</v>
      </c>
      <c r="F8" s="177">
        <f t="shared" si="3"/>
        <v>775000</v>
      </c>
    </row>
    <row r="9" spans="1:9" x14ac:dyDescent="0.3">
      <c r="A9" s="9" t="s">
        <v>18</v>
      </c>
      <c r="B9" s="12"/>
      <c r="C9" s="177">
        <f>SLN(-$B$2,,$B$26)</f>
        <v>900000</v>
      </c>
      <c r="D9" s="177">
        <f t="shared" ref="D9:F9" si="4">SLN(-$B$2,,$B$26)</f>
        <v>900000</v>
      </c>
      <c r="E9" s="177">
        <f t="shared" si="4"/>
        <v>900000</v>
      </c>
      <c r="F9" s="177">
        <f t="shared" si="4"/>
        <v>900000</v>
      </c>
    </row>
    <row r="10" spans="1:9" x14ac:dyDescent="0.3">
      <c r="A10" s="10" t="s">
        <v>20</v>
      </c>
      <c r="B10" s="12"/>
      <c r="C10" s="224">
        <f>(C$5-C$6)*(1-$B$19)</f>
        <v>279680</v>
      </c>
      <c r="D10" s="224">
        <f t="shared" ref="D10:F10" si="5">(D$5-D$6)*(1-$B$19)</f>
        <v>839040</v>
      </c>
      <c r="E10" s="224">
        <f t="shared" si="5"/>
        <v>978880</v>
      </c>
      <c r="F10" s="224">
        <f t="shared" si="5"/>
        <v>489440</v>
      </c>
    </row>
    <row r="11" spans="1:9" x14ac:dyDescent="0.3">
      <c r="A11" s="10" t="s">
        <v>20</v>
      </c>
      <c r="B11" s="12">
        <f>B2+B12</f>
        <v>-3725000</v>
      </c>
      <c r="C11" s="225">
        <v>587873.58507789113</v>
      </c>
      <c r="D11" s="210">
        <f>(($B$15-$B$23)*($B$25)-$C$8)*(1-$B$19)+$B$19*($C$9)</f>
        <v>587873.58999999973</v>
      </c>
      <c r="E11" s="12"/>
      <c r="F11" s="12"/>
    </row>
    <row r="12" spans="1:9" x14ac:dyDescent="0.3">
      <c r="A12" s="9" t="s">
        <v>26</v>
      </c>
      <c r="B12" s="12">
        <v>-125000</v>
      </c>
      <c r="C12" s="12"/>
      <c r="D12" s="12"/>
      <c r="E12" s="12"/>
      <c r="F12" s="12">
        <f>-B12</f>
        <v>125000</v>
      </c>
    </row>
    <row r="13" spans="1:9" x14ac:dyDescent="0.3">
      <c r="A13" s="9" t="s">
        <v>27</v>
      </c>
      <c r="B13" s="12"/>
      <c r="C13" s="12"/>
      <c r="D13" s="12"/>
      <c r="E13" s="12"/>
      <c r="F13" s="12">
        <f>B17</f>
        <v>190000</v>
      </c>
    </row>
    <row r="14" spans="1:9" x14ac:dyDescent="0.3">
      <c r="A14" s="10" t="s">
        <v>172</v>
      </c>
      <c r="B14" s="226">
        <f>NPV(B20,C10:F10)</f>
        <v>1883191.4789224956</v>
      </c>
      <c r="C14" s="177">
        <f>B11+B14</f>
        <v>-1841808.5210775044</v>
      </c>
      <c r="D14" s="177" t="s">
        <v>247</v>
      </c>
      <c r="E14" s="12"/>
      <c r="F14" s="12"/>
    </row>
    <row r="15" spans="1:9" ht="15.65" x14ac:dyDescent="0.3">
      <c r="A15" s="10" t="s">
        <v>163</v>
      </c>
      <c r="B15" s="212">
        <v>113.23929751461986</v>
      </c>
      <c r="C15" s="206" t="s">
        <v>246</v>
      </c>
    </row>
    <row r="16" spans="1:9" ht="15.65" x14ac:dyDescent="0.3">
      <c r="A16" s="10" t="s">
        <v>169</v>
      </c>
      <c r="B16" s="228">
        <f>B11+B14+C11*PV(B20,B26,-1)+PV(B20,B26,,-(F13+F12))</f>
        <v>99999.999999999738</v>
      </c>
      <c r="C16" s="227"/>
    </row>
    <row r="17" spans="1:2" ht="15.65" x14ac:dyDescent="0.3">
      <c r="A17" s="120" t="s">
        <v>39</v>
      </c>
      <c r="B17" s="207">
        <f>B21+(0-B21)*B19</f>
        <v>190000</v>
      </c>
    </row>
    <row r="19" spans="1:2" ht="15.65" x14ac:dyDescent="0.3">
      <c r="A19" s="111" t="s">
        <v>7</v>
      </c>
      <c r="B19" s="116">
        <v>0.24</v>
      </c>
    </row>
    <row r="20" spans="1:2" ht="15.65" x14ac:dyDescent="0.3">
      <c r="A20" s="111" t="s">
        <v>25</v>
      </c>
      <c r="B20" s="116">
        <v>0.13</v>
      </c>
    </row>
    <row r="21" spans="1:2" ht="15.65" x14ac:dyDescent="0.3">
      <c r="A21" s="114" t="s">
        <v>54</v>
      </c>
      <c r="B21" s="110">
        <v>250000</v>
      </c>
    </row>
    <row r="22" spans="1:2" ht="15.65" x14ac:dyDescent="0.3">
      <c r="A22" s="205" t="s">
        <v>212</v>
      </c>
      <c r="B22" s="207">
        <v>775000</v>
      </c>
    </row>
    <row r="23" spans="1:2" ht="15.65" x14ac:dyDescent="0.3">
      <c r="A23" s="205" t="s">
        <v>211</v>
      </c>
      <c r="B23" s="207">
        <v>43</v>
      </c>
    </row>
    <row r="24" spans="1:2" ht="15.65" x14ac:dyDescent="0.3">
      <c r="A24" s="205" t="s">
        <v>228</v>
      </c>
      <c r="B24" s="207">
        <v>135</v>
      </c>
    </row>
    <row r="25" spans="1:2" ht="15.65" x14ac:dyDescent="0.3">
      <c r="A25" s="205" t="s">
        <v>226</v>
      </c>
      <c r="B25" s="205">
        <v>18000</v>
      </c>
    </row>
    <row r="26" spans="1:2" ht="15.65" x14ac:dyDescent="0.3">
      <c r="A26" s="205" t="s">
        <v>224</v>
      </c>
      <c r="B26" s="20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09E3-EE4F-48FF-9C0D-2E6A989DD717}">
  <dimension ref="A1:M28"/>
  <sheetViews>
    <sheetView showGridLines="0" topLeftCell="A13" zoomScale="130" zoomScaleNormal="130" workbookViewId="0">
      <selection activeCell="C28" sqref="C28:D28"/>
    </sheetView>
  </sheetViews>
  <sheetFormatPr defaultRowHeight="15.05" x14ac:dyDescent="0.3"/>
  <cols>
    <col min="1" max="1" width="36.5546875" bestFit="1" customWidth="1"/>
    <col min="2" max="2" width="15" bestFit="1" customWidth="1"/>
    <col min="3" max="3" width="15.109375" bestFit="1" customWidth="1"/>
    <col min="4" max="4" width="10.5546875" bestFit="1" customWidth="1"/>
    <col min="5" max="7" width="9.88671875" bestFit="1" customWidth="1"/>
    <col min="9" max="9" width="14.6640625" bestFit="1" customWidth="1"/>
  </cols>
  <sheetData>
    <row r="1" spans="1:13" ht="15.65" x14ac:dyDescent="0.3">
      <c r="A1" s="6"/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41</v>
      </c>
      <c r="I1" s="111" t="s">
        <v>7</v>
      </c>
      <c r="J1" s="116">
        <v>0.21</v>
      </c>
    </row>
    <row r="2" spans="1:13" ht="15.65" x14ac:dyDescent="0.3">
      <c r="A2" s="9" t="s">
        <v>173</v>
      </c>
      <c r="B2" s="11">
        <v>-450000</v>
      </c>
      <c r="C2" s="12"/>
      <c r="D2" s="12"/>
      <c r="E2" s="12"/>
      <c r="F2" s="12"/>
      <c r="G2" s="95"/>
      <c r="I2" s="111" t="s">
        <v>44</v>
      </c>
      <c r="J2" s="116">
        <v>0.14000000000000001</v>
      </c>
    </row>
    <row r="3" spans="1:13" ht="15.65" x14ac:dyDescent="0.3">
      <c r="A3" s="86" t="s">
        <v>174</v>
      </c>
      <c r="B3" s="12">
        <v>-580000</v>
      </c>
      <c r="C3" s="82"/>
      <c r="D3" s="82"/>
      <c r="E3" s="82"/>
      <c r="F3" s="82"/>
      <c r="G3" s="94"/>
      <c r="I3" s="230" t="s">
        <v>224</v>
      </c>
      <c r="J3" s="230">
        <v>5</v>
      </c>
      <c r="K3" s="182"/>
      <c r="L3" s="182"/>
      <c r="M3" s="182"/>
    </row>
    <row r="4" spans="1:13" ht="15.65" x14ac:dyDescent="0.3">
      <c r="A4" s="86" t="s">
        <v>179</v>
      </c>
      <c r="B4" s="12"/>
      <c r="C4" s="93">
        <v>85000</v>
      </c>
      <c r="D4" s="93">
        <v>85000</v>
      </c>
      <c r="E4" s="93">
        <v>85000</v>
      </c>
      <c r="F4" s="93">
        <v>85000</v>
      </c>
      <c r="G4" s="105">
        <v>85000</v>
      </c>
      <c r="I4" s="230" t="s">
        <v>248</v>
      </c>
      <c r="J4" s="231">
        <v>130000</v>
      </c>
      <c r="K4" s="232" t="s">
        <v>249</v>
      </c>
      <c r="L4" s="182"/>
      <c r="M4" s="182"/>
    </row>
    <row r="5" spans="1:13" x14ac:dyDescent="0.3">
      <c r="A5" s="9" t="s">
        <v>177</v>
      </c>
      <c r="B5" s="95">
        <v>230000</v>
      </c>
      <c r="C5" s="100"/>
      <c r="D5" s="101"/>
      <c r="E5" s="101"/>
    </row>
    <row r="6" spans="1:13" x14ac:dyDescent="0.3">
      <c r="A6" s="9" t="s">
        <v>178</v>
      </c>
      <c r="B6" s="12"/>
      <c r="C6" s="12"/>
      <c r="D6" s="12">
        <v>60000</v>
      </c>
      <c r="E6" s="102">
        <f>SUM(C8:E8)</f>
        <v>270000</v>
      </c>
      <c r="F6" s="97"/>
      <c r="G6" s="96"/>
    </row>
    <row r="7" spans="1:13" x14ac:dyDescent="0.3">
      <c r="A7" s="86" t="s">
        <v>175</v>
      </c>
      <c r="B7" s="12"/>
      <c r="C7" s="177">
        <f>SLN(-$B$3,,$J$3)</f>
        <v>116000</v>
      </c>
      <c r="D7" s="177">
        <f t="shared" ref="D7:G7" si="0">SLN(-$B$3,,$J$3)</f>
        <v>116000</v>
      </c>
      <c r="E7" s="177">
        <f t="shared" si="0"/>
        <v>116000</v>
      </c>
      <c r="F7" s="177">
        <f t="shared" si="0"/>
        <v>116000</v>
      </c>
      <c r="G7" s="233">
        <f t="shared" si="0"/>
        <v>116000</v>
      </c>
    </row>
    <row r="8" spans="1:13" x14ac:dyDescent="0.3">
      <c r="A8" s="9" t="s">
        <v>176</v>
      </c>
      <c r="B8" s="12"/>
      <c r="C8" s="12">
        <v>90000</v>
      </c>
      <c r="D8" s="12">
        <v>90000</v>
      </c>
      <c r="E8" s="95">
        <v>90000</v>
      </c>
      <c r="F8" s="100"/>
      <c r="G8" s="101"/>
    </row>
    <row r="9" spans="1:13" x14ac:dyDescent="0.3">
      <c r="A9" s="86" t="s">
        <v>180</v>
      </c>
      <c r="B9" s="12">
        <f>B3</f>
        <v>-580000</v>
      </c>
      <c r="C9" s="12">
        <f>C$4*(1-$J$1)+$J$1*(C$7)</f>
        <v>91510</v>
      </c>
      <c r="D9" s="12">
        <f t="shared" ref="D9:E9" si="1">D$4*(1-$J$1)+$J$1*(D$7)</f>
        <v>91510</v>
      </c>
      <c r="E9" s="93">
        <f t="shared" si="1"/>
        <v>91510</v>
      </c>
      <c r="F9" s="93">
        <f>F$4*(1-$J$1)+$J$1*(F$7)</f>
        <v>91510</v>
      </c>
      <c r="G9" s="104">
        <f>G$4*(1-$J$1)+$J$1*(G$7)+G11</f>
        <v>194210</v>
      </c>
      <c r="H9" s="25"/>
    </row>
    <row r="10" spans="1:13" x14ac:dyDescent="0.3">
      <c r="A10" s="9" t="s">
        <v>184</v>
      </c>
      <c r="B10" s="12">
        <f>-(B5+(E6-B5)*J1)</f>
        <v>-238400</v>
      </c>
      <c r="C10" s="12">
        <f>C$8*$J$1</f>
        <v>18900</v>
      </c>
      <c r="D10" s="95">
        <f>C10+D12</f>
        <v>85200</v>
      </c>
      <c r="E10" s="100"/>
      <c r="F10" s="101"/>
      <c r="G10" s="101"/>
    </row>
    <row r="11" spans="1:13" x14ac:dyDescent="0.3">
      <c r="A11" s="86" t="s">
        <v>181</v>
      </c>
      <c r="B11" s="12"/>
      <c r="C11" s="12"/>
      <c r="D11" s="12"/>
      <c r="E11" s="103"/>
      <c r="F11" s="103"/>
      <c r="G11" s="233">
        <f>$J$4+(0-$J$4)*$J$1</f>
        <v>102700</v>
      </c>
      <c r="J11" s="106"/>
    </row>
    <row r="12" spans="1:13" x14ac:dyDescent="0.3">
      <c r="A12" s="9" t="s">
        <v>185</v>
      </c>
      <c r="B12" s="93"/>
      <c r="C12" s="93"/>
      <c r="D12" s="105">
        <f>D6+(D8-D6)*J1</f>
        <v>66300</v>
      </c>
    </row>
    <row r="13" spans="1:13" ht="15.65" x14ac:dyDescent="0.3">
      <c r="A13" s="99" t="s">
        <v>182</v>
      </c>
      <c r="B13" s="234">
        <f>B9+NPV(J2,C9:G9)</f>
        <v>-212499.5987100093</v>
      </c>
    </row>
    <row r="14" spans="1:13" ht="15.65" x14ac:dyDescent="0.3">
      <c r="A14" s="99" t="s">
        <v>183</v>
      </c>
      <c r="B14" s="234">
        <f>B13/PV(J2,J3,-1)</f>
        <v>-61897.636740175047</v>
      </c>
    </row>
    <row r="15" spans="1:13" ht="15.65" x14ac:dyDescent="0.3">
      <c r="A15" s="98" t="s">
        <v>186</v>
      </c>
      <c r="B15" s="234">
        <f>B10+NPV(J2,C10:D10)</f>
        <v>-156262.41920590954</v>
      </c>
      <c r="H15" s="106"/>
      <c r="I15" s="106"/>
    </row>
    <row r="16" spans="1:13" ht="15.65" x14ac:dyDescent="0.3">
      <c r="A16" s="107" t="s">
        <v>187</v>
      </c>
      <c r="B16" s="234">
        <f>B15/PV(J2,2,-1)</f>
        <v>-94896.560747663505</v>
      </c>
    </row>
    <row r="19" spans="1:4" ht="15.65" x14ac:dyDescent="0.3">
      <c r="A19" s="5" t="s">
        <v>188</v>
      </c>
      <c r="B19" s="2"/>
      <c r="C19" s="2"/>
      <c r="D19" s="2"/>
    </row>
    <row r="20" spans="1:4" x14ac:dyDescent="0.3">
      <c r="A20" s="236" t="s">
        <v>189</v>
      </c>
      <c r="B20" s="235" t="s">
        <v>190</v>
      </c>
      <c r="C20" s="235" t="s">
        <v>191</v>
      </c>
      <c r="D20" s="235" t="s">
        <v>192</v>
      </c>
    </row>
    <row r="21" spans="1:4" x14ac:dyDescent="0.3">
      <c r="A21" s="237">
        <v>0</v>
      </c>
      <c r="B21" s="145">
        <f>B9</f>
        <v>-580000</v>
      </c>
      <c r="C21" s="146">
        <f>B10</f>
        <v>-238400</v>
      </c>
      <c r="D21" s="130">
        <f>B21-C21</f>
        <v>-341600</v>
      </c>
    </row>
    <row r="22" spans="1:4" x14ac:dyDescent="0.3">
      <c r="A22" s="237">
        <v>1</v>
      </c>
      <c r="B22" s="147">
        <f>$C$9</f>
        <v>91510</v>
      </c>
      <c r="C22" s="148">
        <f>$C$10</f>
        <v>18900</v>
      </c>
      <c r="D22" s="130">
        <f t="shared" ref="D22:D26" si="2">B22-C22</f>
        <v>72610</v>
      </c>
    </row>
    <row r="23" spans="1:4" x14ac:dyDescent="0.3">
      <c r="A23" s="237">
        <v>2</v>
      </c>
      <c r="B23" s="147">
        <f t="shared" ref="B23:B25" si="3">$C$9</f>
        <v>91510</v>
      </c>
      <c r="C23" s="148">
        <f>D10</f>
        <v>85200</v>
      </c>
      <c r="D23" s="130">
        <f t="shared" si="2"/>
        <v>6310</v>
      </c>
    </row>
    <row r="24" spans="1:4" x14ac:dyDescent="0.3">
      <c r="A24" s="237">
        <v>3</v>
      </c>
      <c r="B24" s="147">
        <f t="shared" si="3"/>
        <v>91510</v>
      </c>
      <c r="C24" s="149">
        <v>0</v>
      </c>
      <c r="D24" s="130">
        <f t="shared" si="2"/>
        <v>91510</v>
      </c>
    </row>
    <row r="25" spans="1:4" x14ac:dyDescent="0.3">
      <c r="A25" s="237">
        <v>4</v>
      </c>
      <c r="B25" s="147">
        <f t="shared" si="3"/>
        <v>91510</v>
      </c>
      <c r="C25" s="149">
        <v>0</v>
      </c>
      <c r="D25" s="130">
        <f t="shared" si="2"/>
        <v>91510</v>
      </c>
    </row>
    <row r="26" spans="1:4" x14ac:dyDescent="0.3">
      <c r="A26" s="237">
        <v>5</v>
      </c>
      <c r="B26" s="147">
        <f>G9</f>
        <v>194210</v>
      </c>
      <c r="C26" s="149">
        <v>0</v>
      </c>
      <c r="D26" s="130">
        <f t="shared" si="2"/>
        <v>194210</v>
      </c>
    </row>
    <row r="28" spans="1:4" x14ac:dyDescent="0.3">
      <c r="B28" s="143" t="s">
        <v>9</v>
      </c>
      <c r="C28" s="144">
        <f>D21+NPV(J2,D22:D26)</f>
        <v>-56237.179504099826</v>
      </c>
      <c r="D28">
        <v>56237.18</v>
      </c>
    </row>
  </sheetData>
  <pageMargins left="0.7" right="0.7" top="0.75" bottom="0.75" header="0.3" footer="0.3"/>
  <ignoredErrors>
    <ignoredError sqref="E6" formulaRange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919-C89E-4E27-8A4C-9D410F7D3F50}">
  <dimension ref="A1:H52"/>
  <sheetViews>
    <sheetView showGridLines="0" topLeftCell="A31" zoomScale="145" zoomScaleNormal="145" workbookViewId="0">
      <selection activeCell="D39" sqref="D39"/>
    </sheetView>
  </sheetViews>
  <sheetFormatPr defaultRowHeight="15.05" x14ac:dyDescent="0.3"/>
  <cols>
    <col min="1" max="1" width="43.33203125" bestFit="1" customWidth="1"/>
    <col min="2" max="2" width="14.5546875" bestFit="1" customWidth="1"/>
    <col min="3" max="3" width="11.5546875" bestFit="1" customWidth="1"/>
    <col min="4" max="4" width="13.6640625" bestFit="1" customWidth="1"/>
    <col min="5" max="5" width="11.5546875" bestFit="1" customWidth="1"/>
    <col min="6" max="6" width="10.5546875" bestFit="1" customWidth="1"/>
  </cols>
  <sheetData>
    <row r="1" spans="1:8" ht="15.65" x14ac:dyDescent="0.3">
      <c r="A1" s="344" t="s">
        <v>250</v>
      </c>
      <c r="B1" s="344"/>
      <c r="C1" s="240" t="s">
        <v>251</v>
      </c>
      <c r="D1" s="243"/>
      <c r="E1" s="266" t="s">
        <v>224</v>
      </c>
      <c r="F1" s="266">
        <v>15</v>
      </c>
      <c r="G1" s="243"/>
      <c r="H1" s="243"/>
    </row>
    <row r="2" spans="1:8" ht="15.65" x14ac:dyDescent="0.3">
      <c r="A2" s="241" t="s">
        <v>252</v>
      </c>
      <c r="B2" s="239">
        <v>115000</v>
      </c>
      <c r="C2" s="239">
        <v>160000</v>
      </c>
      <c r="D2" s="243"/>
      <c r="E2" s="266" t="s">
        <v>234</v>
      </c>
      <c r="F2" s="267">
        <v>0.21</v>
      </c>
      <c r="G2" s="243"/>
      <c r="H2" s="243"/>
    </row>
    <row r="3" spans="1:8" ht="15.65" x14ac:dyDescent="0.3">
      <c r="A3" s="241" t="s">
        <v>253</v>
      </c>
      <c r="B3" s="239">
        <v>340000</v>
      </c>
      <c r="C3" s="239">
        <v>345000</v>
      </c>
      <c r="D3" s="243"/>
      <c r="E3" s="266" t="s">
        <v>258</v>
      </c>
      <c r="F3" s="267">
        <v>0.12</v>
      </c>
      <c r="G3" s="243" t="s">
        <v>257</v>
      </c>
      <c r="H3" s="243"/>
    </row>
    <row r="4" spans="1:8" ht="15.65" x14ac:dyDescent="0.3">
      <c r="A4" s="241" t="s">
        <v>254</v>
      </c>
      <c r="B4" s="239">
        <v>275000</v>
      </c>
      <c r="C4" s="239">
        <v>295000</v>
      </c>
      <c r="D4" s="243"/>
      <c r="E4" s="266" t="s">
        <v>261</v>
      </c>
      <c r="F4" s="268">
        <v>75000</v>
      </c>
      <c r="G4" s="243" t="s">
        <v>262</v>
      </c>
      <c r="H4" s="243"/>
    </row>
    <row r="5" spans="1:8" ht="15.65" x14ac:dyDescent="0.3">
      <c r="A5" s="241" t="s">
        <v>255</v>
      </c>
      <c r="B5" s="239">
        <v>115000</v>
      </c>
      <c r="C5" s="239">
        <v>130000</v>
      </c>
      <c r="D5" s="243"/>
      <c r="E5" s="243"/>
      <c r="F5" s="243"/>
      <c r="G5" s="243"/>
      <c r="H5" s="243"/>
    </row>
    <row r="6" spans="1:8" ht="15.65" x14ac:dyDescent="0.3">
      <c r="A6" s="241" t="s">
        <v>256</v>
      </c>
      <c r="B6" s="239">
        <v>75000</v>
      </c>
      <c r="C6" s="239">
        <v>85000</v>
      </c>
      <c r="D6" s="243"/>
      <c r="E6" s="243"/>
      <c r="F6" s="243"/>
      <c r="G6" s="243"/>
      <c r="H6" s="243"/>
    </row>
    <row r="7" spans="1:8" ht="15.65" x14ac:dyDescent="0.3">
      <c r="A7" s="241" t="s">
        <v>259</v>
      </c>
      <c r="B7" s="242">
        <v>1450000</v>
      </c>
      <c r="C7" s="242"/>
      <c r="D7" s="243"/>
      <c r="E7" s="243"/>
      <c r="F7" s="243"/>
      <c r="G7" s="243"/>
      <c r="H7" s="243"/>
    </row>
    <row r="8" spans="1:8" ht="15.65" x14ac:dyDescent="0.3">
      <c r="A8" s="243"/>
      <c r="B8" s="243"/>
      <c r="C8" s="243"/>
      <c r="D8" s="243"/>
      <c r="E8" s="243"/>
      <c r="F8" s="243"/>
      <c r="G8" s="243"/>
      <c r="H8" s="243"/>
    </row>
    <row r="9" spans="1:8" ht="15.65" x14ac:dyDescent="0.3">
      <c r="A9" s="244" t="s">
        <v>260</v>
      </c>
      <c r="B9" s="245"/>
      <c r="C9" s="245"/>
      <c r="D9" s="245"/>
      <c r="E9" s="243"/>
      <c r="F9" s="243"/>
      <c r="G9" s="243"/>
      <c r="H9" s="243"/>
    </row>
    <row r="10" spans="1:8" ht="15.65" x14ac:dyDescent="0.3">
      <c r="A10" s="153" t="s">
        <v>261</v>
      </c>
      <c r="B10" s="136">
        <f>F4</f>
        <v>75000</v>
      </c>
      <c r="C10" s="243"/>
      <c r="D10" s="32"/>
      <c r="E10" s="243"/>
      <c r="F10" s="243"/>
      <c r="G10" s="243"/>
      <c r="H10" s="243"/>
    </row>
    <row r="11" spans="1:8" ht="15.65" x14ac:dyDescent="0.3">
      <c r="A11" s="153" t="s">
        <v>115</v>
      </c>
      <c r="B11" s="140">
        <f>$B$10*$F$2</f>
        <v>15750</v>
      </c>
      <c r="C11" s="243"/>
      <c r="D11" s="32"/>
      <c r="E11" s="243"/>
      <c r="F11" s="243"/>
      <c r="G11" s="243"/>
      <c r="H11" s="243"/>
    </row>
    <row r="12" spans="1:8" ht="15.65" x14ac:dyDescent="0.3">
      <c r="A12" s="153" t="s">
        <v>77</v>
      </c>
      <c r="B12" s="136">
        <f>B10-B11</f>
        <v>59250</v>
      </c>
      <c r="C12" s="243"/>
      <c r="D12" s="32"/>
      <c r="E12" s="243"/>
      <c r="F12" s="243"/>
      <c r="G12" s="243"/>
      <c r="H12" s="243"/>
    </row>
    <row r="13" spans="1:8" ht="15.65" x14ac:dyDescent="0.3">
      <c r="A13" s="153" t="s">
        <v>9</v>
      </c>
      <c r="B13" s="269">
        <f>PV($F$3,$F$1,-$B$12)</f>
        <v>403543.72100080154</v>
      </c>
      <c r="C13" s="243"/>
      <c r="D13" s="243"/>
      <c r="E13" s="243"/>
      <c r="F13" s="243"/>
      <c r="G13" s="243"/>
      <c r="H13" s="243"/>
    </row>
    <row r="14" spans="1:8" ht="15.65" x14ac:dyDescent="0.3">
      <c r="A14" s="243"/>
      <c r="B14" s="243"/>
      <c r="C14" s="243"/>
      <c r="D14" s="243"/>
      <c r="E14" s="243"/>
      <c r="F14" s="243"/>
      <c r="G14" s="243"/>
      <c r="H14" s="243"/>
    </row>
    <row r="15" spans="1:8" ht="15.65" x14ac:dyDescent="0.3">
      <c r="A15" s="244" t="s">
        <v>263</v>
      </c>
      <c r="B15" s="245"/>
      <c r="C15" s="243"/>
      <c r="D15" s="243"/>
      <c r="E15" s="243"/>
      <c r="F15" s="243"/>
      <c r="G15" s="243"/>
      <c r="H15" s="243"/>
    </row>
    <row r="16" spans="1:8" ht="15.65" x14ac:dyDescent="0.3">
      <c r="A16" s="247" t="s">
        <v>264</v>
      </c>
      <c r="B16" s="248"/>
      <c r="C16" s="249"/>
      <c r="D16" s="249"/>
      <c r="E16" s="249"/>
      <c r="F16" s="249"/>
      <c r="G16" s="243"/>
      <c r="H16" s="243"/>
    </row>
    <row r="17" spans="1:8" ht="15.05" customHeight="1" x14ac:dyDescent="0.3">
      <c r="A17" s="153" t="s">
        <v>265</v>
      </c>
      <c r="B17" s="151">
        <f>-B2</f>
        <v>-115000</v>
      </c>
      <c r="C17" s="251"/>
      <c r="D17" s="251"/>
      <c r="E17" s="243"/>
      <c r="F17" s="32"/>
      <c r="G17" s="243"/>
      <c r="H17" s="243"/>
    </row>
    <row r="18" spans="1:8" ht="15.05" customHeight="1" x14ac:dyDescent="0.3">
      <c r="A18" s="153" t="s">
        <v>266</v>
      </c>
      <c r="B18" s="151">
        <f>-B3</f>
        <v>-340000</v>
      </c>
      <c r="C18" s="252"/>
      <c r="D18" s="252"/>
      <c r="E18" s="243"/>
      <c r="F18" s="32"/>
      <c r="G18" s="243"/>
      <c r="H18" s="243"/>
    </row>
    <row r="19" spans="1:8" ht="15.05" customHeight="1" x14ac:dyDescent="0.3">
      <c r="A19" s="153" t="s">
        <v>103</v>
      </c>
      <c r="B19" s="151">
        <f>SUM(B17:B18)</f>
        <v>-455000</v>
      </c>
      <c r="C19" s="251"/>
      <c r="D19" s="251"/>
      <c r="E19" s="243"/>
      <c r="F19" s="253"/>
      <c r="G19" s="243"/>
      <c r="H19" s="243"/>
    </row>
    <row r="20" spans="1:8" ht="15.05" customHeight="1" x14ac:dyDescent="0.3">
      <c r="A20" s="246"/>
      <c r="B20" s="250"/>
      <c r="C20" s="251"/>
      <c r="D20" s="251"/>
      <c r="E20" s="243"/>
      <c r="F20" s="253"/>
      <c r="G20" s="243"/>
      <c r="H20" s="243"/>
    </row>
    <row r="21" spans="1:8" ht="15.05" customHeight="1" x14ac:dyDescent="0.3">
      <c r="A21" s="32"/>
      <c r="B21" s="277" t="s">
        <v>267</v>
      </c>
      <c r="C21" s="254"/>
      <c r="D21" s="277" t="s">
        <v>268</v>
      </c>
      <c r="E21" s="243"/>
      <c r="F21" s="32"/>
      <c r="G21" s="243"/>
      <c r="H21" s="243"/>
    </row>
    <row r="22" spans="1:8" ht="15.65" x14ac:dyDescent="0.3">
      <c r="A22" s="246" t="s">
        <v>269</v>
      </c>
      <c r="B22" s="255">
        <f>B4</f>
        <v>275000</v>
      </c>
      <c r="C22" s="256"/>
      <c r="D22" s="255">
        <f>B22</f>
        <v>275000</v>
      </c>
      <c r="E22" s="243"/>
      <c r="F22" s="32"/>
      <c r="G22" s="243"/>
      <c r="H22" s="243"/>
    </row>
    <row r="23" spans="1:8" ht="15.65" x14ac:dyDescent="0.3">
      <c r="A23" s="246" t="s">
        <v>270</v>
      </c>
      <c r="B23" s="255">
        <f>B5</f>
        <v>115000</v>
      </c>
      <c r="C23" s="257"/>
      <c r="D23" s="255">
        <f>B23</f>
        <v>115000</v>
      </c>
      <c r="E23" s="243"/>
      <c r="F23" s="32"/>
      <c r="G23" s="243"/>
      <c r="H23" s="243"/>
    </row>
    <row r="24" spans="1:8" ht="15.65" x14ac:dyDescent="0.3">
      <c r="A24" s="246" t="s">
        <v>18</v>
      </c>
      <c r="B24" s="255">
        <f>SLN(-$B$19,,$F$1)</f>
        <v>30333.333333333332</v>
      </c>
      <c r="C24" s="258"/>
      <c r="D24" s="255">
        <f>B24</f>
        <v>30333.333333333332</v>
      </c>
      <c r="E24" s="243"/>
      <c r="F24" s="32"/>
      <c r="G24" s="243"/>
      <c r="H24" s="243"/>
    </row>
    <row r="25" spans="1:8" ht="15.65" x14ac:dyDescent="0.3">
      <c r="A25" s="246" t="s">
        <v>271</v>
      </c>
      <c r="B25" s="259"/>
      <c r="C25" s="260"/>
      <c r="D25" s="255">
        <f>B6</f>
        <v>75000</v>
      </c>
      <c r="E25" s="243"/>
      <c r="F25" s="32"/>
      <c r="G25" s="243"/>
      <c r="H25" s="243"/>
    </row>
    <row r="26" spans="1:8" ht="15.65" x14ac:dyDescent="0.3">
      <c r="A26" s="246" t="s">
        <v>84</v>
      </c>
      <c r="B26" s="255">
        <f>B22-B23-B24</f>
        <v>129666.66666666667</v>
      </c>
      <c r="C26" s="256"/>
      <c r="D26" s="255">
        <f>D22-D23-D24-D25</f>
        <v>54666.666666666672</v>
      </c>
      <c r="E26" s="243"/>
      <c r="F26" s="32"/>
      <c r="G26" s="243"/>
      <c r="H26" s="243"/>
    </row>
    <row r="27" spans="1:8" ht="15.65" x14ac:dyDescent="0.3">
      <c r="A27" s="246" t="s">
        <v>23</v>
      </c>
      <c r="B27" s="255">
        <f>B26*$F$2</f>
        <v>27230</v>
      </c>
      <c r="C27" s="261"/>
      <c r="D27" s="255">
        <f>D26*$F$2</f>
        <v>11480</v>
      </c>
      <c r="E27" s="243"/>
      <c r="F27" s="32"/>
      <c r="G27" s="243"/>
      <c r="H27" s="243"/>
    </row>
    <row r="28" spans="1:8" ht="15.65" x14ac:dyDescent="0.3">
      <c r="A28" s="246" t="s">
        <v>48</v>
      </c>
      <c r="B28" s="262">
        <f>B26-B27</f>
        <v>102436.66666666667</v>
      </c>
      <c r="C28" s="263"/>
      <c r="D28" s="262">
        <f>D26-D27</f>
        <v>43186.666666666672</v>
      </c>
      <c r="E28" s="243"/>
      <c r="F28" s="32"/>
      <c r="G28" s="243"/>
      <c r="H28" s="243"/>
    </row>
    <row r="29" spans="1:8" ht="15.65" x14ac:dyDescent="0.3">
      <c r="A29" s="246" t="s">
        <v>20</v>
      </c>
      <c r="B29" s="264">
        <f>B26+B24-B27</f>
        <v>132770</v>
      </c>
      <c r="C29" s="265"/>
      <c r="D29" s="264">
        <f>D26+D24-D27</f>
        <v>73520</v>
      </c>
      <c r="E29" s="243"/>
      <c r="F29" s="32"/>
      <c r="G29" s="243"/>
      <c r="H29" s="243"/>
    </row>
    <row r="30" spans="1:8" ht="15.65" x14ac:dyDescent="0.3">
      <c r="A30" s="243"/>
      <c r="B30" s="243"/>
      <c r="C30" s="243"/>
      <c r="D30" s="243"/>
      <c r="E30" s="243"/>
      <c r="F30" s="243"/>
      <c r="G30" s="243"/>
      <c r="H30" s="243"/>
    </row>
    <row r="31" spans="1:8" ht="15.65" x14ac:dyDescent="0.3">
      <c r="A31" s="243"/>
      <c r="B31" s="266" t="s">
        <v>9</v>
      </c>
      <c r="C31" s="270">
        <f>$B$19+$B$29*PV($F$3,$F$1-1,-1)+PV($F$3,$F$1,,-$D$29)</f>
        <v>438453.72478636517</v>
      </c>
      <c r="D31" s="243"/>
      <c r="E31" s="243"/>
      <c r="F31" s="243"/>
      <c r="G31" s="243"/>
      <c r="H31" s="243"/>
    </row>
    <row r="32" spans="1:8" ht="15.65" x14ac:dyDescent="0.3">
      <c r="A32" s="243"/>
      <c r="B32" s="243"/>
      <c r="C32" s="243"/>
      <c r="D32" s="243"/>
      <c r="E32" s="243"/>
      <c r="F32" s="243"/>
      <c r="G32" s="243"/>
      <c r="H32" s="243"/>
    </row>
    <row r="33" spans="1:8" ht="15.65" x14ac:dyDescent="0.3">
      <c r="A33" s="244" t="s">
        <v>272</v>
      </c>
      <c r="B33" s="245"/>
      <c r="C33" s="243"/>
      <c r="D33" s="243"/>
      <c r="E33" s="243"/>
      <c r="F33" s="243"/>
      <c r="G33" s="243"/>
      <c r="H33" s="243"/>
    </row>
    <row r="34" spans="1:8" ht="15.65" x14ac:dyDescent="0.3">
      <c r="A34" s="247" t="s">
        <v>264</v>
      </c>
      <c r="B34" s="248"/>
      <c r="C34" s="249"/>
      <c r="D34" s="249"/>
      <c r="E34" s="243"/>
      <c r="F34" s="243"/>
      <c r="G34" s="243"/>
      <c r="H34" s="243"/>
    </row>
    <row r="35" spans="1:8" ht="15.65" x14ac:dyDescent="0.3">
      <c r="A35" s="153" t="s">
        <v>265</v>
      </c>
      <c r="B35" s="151">
        <f>-C2</f>
        <v>-160000</v>
      </c>
      <c r="C35" s="251"/>
      <c r="D35" s="251"/>
      <c r="E35" s="243"/>
      <c r="F35" s="243"/>
      <c r="G35" s="243"/>
      <c r="H35" s="243"/>
    </row>
    <row r="36" spans="1:8" ht="15.65" x14ac:dyDescent="0.3">
      <c r="A36" s="153" t="s">
        <v>266</v>
      </c>
      <c r="B36" s="151">
        <f>-C3</f>
        <v>-345000</v>
      </c>
      <c r="C36" s="252"/>
      <c r="D36" s="252"/>
      <c r="E36" s="243"/>
      <c r="F36" s="243"/>
      <c r="G36" s="243"/>
      <c r="H36" s="243"/>
    </row>
    <row r="37" spans="1:8" ht="15.65" x14ac:dyDescent="0.3">
      <c r="A37" s="153" t="s">
        <v>103</v>
      </c>
      <c r="B37" s="151">
        <f>SUM(B35:B36)</f>
        <v>-505000</v>
      </c>
      <c r="C37" s="251"/>
      <c r="D37" s="251"/>
      <c r="E37" s="243"/>
      <c r="F37" s="243"/>
      <c r="G37" s="243"/>
      <c r="H37" s="243"/>
    </row>
    <row r="38" spans="1:8" ht="15.65" x14ac:dyDescent="0.3">
      <c r="A38" s="246"/>
      <c r="B38" s="250"/>
      <c r="C38" s="251"/>
      <c r="D38" s="251"/>
      <c r="E38" s="243"/>
      <c r="F38" s="243"/>
      <c r="G38" s="243"/>
      <c r="H38" s="243"/>
    </row>
    <row r="39" spans="1:8" ht="15.65" x14ac:dyDescent="0.3">
      <c r="A39" s="32"/>
      <c r="B39" s="277" t="s">
        <v>267</v>
      </c>
      <c r="C39" s="252"/>
      <c r="D39" s="277" t="s">
        <v>268</v>
      </c>
      <c r="E39" s="243"/>
      <c r="F39" s="243"/>
      <c r="G39" s="243"/>
      <c r="H39" s="243"/>
    </row>
    <row r="40" spans="1:8" ht="15.65" x14ac:dyDescent="0.3">
      <c r="A40" s="246" t="s">
        <v>269</v>
      </c>
      <c r="B40" s="255">
        <f>C4</f>
        <v>295000</v>
      </c>
      <c r="C40" s="256"/>
      <c r="D40" s="255">
        <f>B40</f>
        <v>295000</v>
      </c>
      <c r="E40" s="243"/>
      <c r="F40" s="243"/>
      <c r="G40" s="243"/>
      <c r="H40" s="243"/>
    </row>
    <row r="41" spans="1:8" ht="15.65" x14ac:dyDescent="0.3">
      <c r="A41" s="246" t="s">
        <v>270</v>
      </c>
      <c r="B41" s="255">
        <f>C5</f>
        <v>130000</v>
      </c>
      <c r="C41" s="257"/>
      <c r="D41" s="255">
        <f>B41</f>
        <v>130000</v>
      </c>
      <c r="E41" s="243"/>
      <c r="F41" s="243"/>
      <c r="G41" s="243"/>
      <c r="H41" s="243"/>
    </row>
    <row r="42" spans="1:8" ht="15.65" x14ac:dyDescent="0.3">
      <c r="A42" s="246" t="s">
        <v>18</v>
      </c>
      <c r="B42" s="255">
        <f>SLN(-$B$37,,$F$1)</f>
        <v>33666.666666666664</v>
      </c>
      <c r="C42" s="258"/>
      <c r="D42" s="255">
        <f>B42</f>
        <v>33666.666666666664</v>
      </c>
      <c r="E42" s="243"/>
      <c r="F42" s="243"/>
      <c r="G42" s="243"/>
      <c r="H42" s="243"/>
    </row>
    <row r="43" spans="1:8" ht="15.65" x14ac:dyDescent="0.3">
      <c r="A43" s="246" t="s">
        <v>271</v>
      </c>
      <c r="B43" s="259"/>
      <c r="C43" s="260"/>
      <c r="D43" s="255">
        <f>C6</f>
        <v>85000</v>
      </c>
      <c r="E43" s="243"/>
      <c r="F43" s="243"/>
      <c r="G43" s="243"/>
      <c r="H43" s="243"/>
    </row>
    <row r="44" spans="1:8" ht="15.65" x14ac:dyDescent="0.3">
      <c r="A44" s="246" t="s">
        <v>84</v>
      </c>
      <c r="B44" s="255">
        <f>B40-B41-B42</f>
        <v>131333.33333333334</v>
      </c>
      <c r="C44" s="256"/>
      <c r="D44" s="255">
        <f>D40-D41-D42-D43</f>
        <v>46333.333333333343</v>
      </c>
      <c r="E44" s="243"/>
      <c r="F44" s="243"/>
      <c r="G44" s="243"/>
      <c r="H44" s="243"/>
    </row>
    <row r="45" spans="1:8" ht="15.65" x14ac:dyDescent="0.3">
      <c r="A45" s="246" t="s">
        <v>23</v>
      </c>
      <c r="B45" s="255">
        <f>B44*$F$2</f>
        <v>27580</v>
      </c>
      <c r="C45" s="261"/>
      <c r="D45" s="255">
        <f>D44*$F$2</f>
        <v>9730.0000000000018</v>
      </c>
      <c r="E45" s="243"/>
      <c r="F45" s="243"/>
      <c r="G45" s="243"/>
      <c r="H45" s="243"/>
    </row>
    <row r="46" spans="1:8" ht="15.65" x14ac:dyDescent="0.3">
      <c r="A46" s="246" t="s">
        <v>48</v>
      </c>
      <c r="B46" s="262">
        <f>B44-B45</f>
        <v>103753.33333333334</v>
      </c>
      <c r="C46" s="263"/>
      <c r="D46" s="262">
        <f>D44-D45</f>
        <v>36603.333333333343</v>
      </c>
      <c r="E46" s="243"/>
      <c r="F46" s="243"/>
      <c r="G46" s="243"/>
      <c r="H46" s="243"/>
    </row>
    <row r="47" spans="1:8" ht="15.65" x14ac:dyDescent="0.3">
      <c r="A47" s="246" t="s">
        <v>20</v>
      </c>
      <c r="B47" s="264">
        <f>B44+B42-B45</f>
        <v>137420</v>
      </c>
      <c r="C47" s="265"/>
      <c r="D47" s="264">
        <f>D44+D42-D45</f>
        <v>70270</v>
      </c>
      <c r="E47" s="243"/>
      <c r="F47" s="243"/>
      <c r="G47" s="243"/>
      <c r="H47" s="243"/>
    </row>
    <row r="48" spans="1:8" ht="15.65" x14ac:dyDescent="0.3">
      <c r="A48" s="243"/>
      <c r="B48" s="243"/>
      <c r="C48" s="243"/>
      <c r="D48" s="243"/>
      <c r="E48" s="243"/>
      <c r="F48" s="243"/>
      <c r="G48" s="243"/>
      <c r="H48" s="243"/>
    </row>
    <row r="49" spans="1:8" ht="15.65" x14ac:dyDescent="0.3">
      <c r="A49" s="243"/>
      <c r="B49" s="266" t="s">
        <v>9</v>
      </c>
      <c r="C49" s="270">
        <f>$B$37+$B$47*PV($F$3,$F$1-1,-1)+PV($F$3,$F$1,,-$D$47)</f>
        <v>418680.94419839024</v>
      </c>
      <c r="D49" s="243"/>
      <c r="E49" s="243"/>
      <c r="F49" s="243"/>
      <c r="G49" s="243"/>
      <c r="H49" s="243"/>
    </row>
    <row r="50" spans="1:8" ht="15.65" x14ac:dyDescent="0.3">
      <c r="A50" s="243"/>
      <c r="B50" s="243"/>
      <c r="C50" s="243"/>
      <c r="D50" s="243"/>
      <c r="E50" s="243"/>
      <c r="F50" s="243"/>
      <c r="G50" s="243"/>
      <c r="H50" s="243"/>
    </row>
    <row r="51" spans="1:8" ht="15.65" x14ac:dyDescent="0.3">
      <c r="A51" s="271" t="s">
        <v>273</v>
      </c>
      <c r="B51" s="272"/>
      <c r="C51" s="273"/>
      <c r="D51" s="268">
        <f>$C$31-$B$13</f>
        <v>34910.003785563633</v>
      </c>
      <c r="E51" s="243"/>
      <c r="F51" s="243"/>
      <c r="G51" s="243"/>
      <c r="H51" s="243"/>
    </row>
    <row r="52" spans="1:8" ht="15.65" x14ac:dyDescent="0.3">
      <c r="A52" s="274" t="s">
        <v>274</v>
      </c>
      <c r="B52" s="275"/>
      <c r="C52" s="276"/>
      <c r="D52" s="269">
        <f>$C$49-$B$13</f>
        <v>15137.223197588697</v>
      </c>
      <c r="E52" s="243"/>
      <c r="F52" s="243"/>
      <c r="G52" s="243"/>
      <c r="H52" s="243"/>
    </row>
  </sheetData>
  <mergeCells count="1">
    <mergeCell ref="A1: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D63C-635E-4547-8C5D-FE272D91D553}">
  <dimension ref="A1:J7"/>
  <sheetViews>
    <sheetView showGridLines="0" zoomScale="145" zoomScaleNormal="145" workbookViewId="0">
      <selection activeCell="F2" sqref="F2"/>
    </sheetView>
  </sheetViews>
  <sheetFormatPr defaultRowHeight="15.05" x14ac:dyDescent="0.3"/>
  <cols>
    <col min="1" max="1" width="14.77734375" bestFit="1" customWidth="1"/>
    <col min="2" max="2" width="12.44140625" bestFit="1" customWidth="1"/>
    <col min="3" max="3" width="7.6640625" bestFit="1" customWidth="1"/>
    <col min="4" max="4" width="14.77734375" bestFit="1" customWidth="1"/>
    <col min="5" max="5" width="12.21875" bestFit="1" customWidth="1"/>
    <col min="6" max="6" width="12.44140625" bestFit="1" customWidth="1"/>
    <col min="7" max="7" width="7.6640625" customWidth="1"/>
    <col min="8" max="8" width="22" customWidth="1"/>
  </cols>
  <sheetData>
    <row r="1" spans="1:10" ht="15.65" x14ac:dyDescent="0.3">
      <c r="A1" s="281" t="s">
        <v>285</v>
      </c>
      <c r="B1" s="281"/>
      <c r="C1" s="282"/>
      <c r="D1" s="281" t="s">
        <v>286</v>
      </c>
      <c r="E1" s="281"/>
      <c r="F1" s="287" t="s">
        <v>202</v>
      </c>
      <c r="G1" s="282"/>
      <c r="H1" s="282"/>
      <c r="I1" s="282"/>
      <c r="J1" s="282"/>
    </row>
    <row r="2" spans="1:10" ht="15.65" x14ac:dyDescent="0.3">
      <c r="A2" s="278" t="s">
        <v>275</v>
      </c>
      <c r="B2" s="238">
        <v>415000</v>
      </c>
      <c r="C2" s="282"/>
      <c r="D2" s="278" t="s">
        <v>275</v>
      </c>
      <c r="E2" s="279">
        <f>PV($I$5,1,,-$B2)</f>
        <v>391509.43396226416</v>
      </c>
      <c r="F2" s="283">
        <f>$E2/($I$6-$I2)</f>
        <v>6525157.2327044019</v>
      </c>
      <c r="G2" s="282"/>
      <c r="H2" s="284" t="s">
        <v>278</v>
      </c>
      <c r="I2" s="285">
        <v>0.04</v>
      </c>
      <c r="J2" s="282" t="s">
        <v>279</v>
      </c>
    </row>
    <row r="3" spans="1:10" ht="15.65" x14ac:dyDescent="0.3">
      <c r="A3" s="278" t="s">
        <v>196</v>
      </c>
      <c r="B3" s="238">
        <v>209000</v>
      </c>
      <c r="C3" s="282"/>
      <c r="D3" s="278" t="s">
        <v>196</v>
      </c>
      <c r="E3" s="279">
        <f>PV($I$5,1,,-$B3)</f>
        <v>197169.8113207547</v>
      </c>
      <c r="F3" s="283">
        <f>$E3/($I$6-$I3)</f>
        <v>2816711.5902964952</v>
      </c>
      <c r="G3" s="282"/>
      <c r="H3" s="284" t="s">
        <v>280</v>
      </c>
      <c r="I3" s="285">
        <v>0.03</v>
      </c>
      <c r="J3" s="282" t="s">
        <v>279</v>
      </c>
    </row>
    <row r="4" spans="1:10" ht="15.65" x14ac:dyDescent="0.3">
      <c r="A4" s="278" t="s">
        <v>276</v>
      </c>
      <c r="B4" s="238">
        <v>73000</v>
      </c>
      <c r="C4" s="282"/>
      <c r="D4" s="278" t="s">
        <v>276</v>
      </c>
      <c r="E4" s="279">
        <f>PV($I$5,1,,-$B4)</f>
        <v>68867.924528301883</v>
      </c>
      <c r="F4" s="283">
        <f>$E4/($I$6-$I4)</f>
        <v>765199.16142557643</v>
      </c>
      <c r="G4" s="282"/>
      <c r="H4" s="284" t="s">
        <v>281</v>
      </c>
      <c r="I4" s="285">
        <v>0.01</v>
      </c>
      <c r="J4" s="282" t="s">
        <v>279</v>
      </c>
    </row>
    <row r="5" spans="1:10" ht="15.65" x14ac:dyDescent="0.3">
      <c r="A5" s="278" t="s">
        <v>277</v>
      </c>
      <c r="B5" s="238">
        <v>160000</v>
      </c>
      <c r="C5" s="282" t="s">
        <v>3</v>
      </c>
      <c r="D5" s="278" t="s">
        <v>277</v>
      </c>
      <c r="E5" s="279">
        <f>PV($I$5,1,,-$B5)</f>
        <v>150943.39622641509</v>
      </c>
      <c r="F5" s="283">
        <f>$E5/($I$6-(-$I5))</f>
        <v>943396.22641509434</v>
      </c>
      <c r="G5" s="282"/>
      <c r="H5" s="284" t="s">
        <v>282</v>
      </c>
      <c r="I5" s="285">
        <v>0.06</v>
      </c>
      <c r="J5" s="282" t="s">
        <v>3</v>
      </c>
    </row>
    <row r="6" spans="1:10" ht="15.65" x14ac:dyDescent="0.3">
      <c r="A6" s="282"/>
      <c r="B6" s="282"/>
      <c r="C6" s="282"/>
      <c r="D6" s="282"/>
      <c r="E6" s="282"/>
      <c r="F6" s="282"/>
      <c r="G6" s="282"/>
      <c r="H6" s="284" t="s">
        <v>283</v>
      </c>
      <c r="I6" s="285">
        <v>0.1</v>
      </c>
      <c r="J6" s="282" t="s">
        <v>284</v>
      </c>
    </row>
    <row r="7" spans="1:10" ht="15.65" x14ac:dyDescent="0.3">
      <c r="A7" s="280" t="s">
        <v>9</v>
      </c>
      <c r="B7" s="286">
        <f>SUM($F$2-$F$3-$F$4-$F$5)*(1-$I$7)</f>
        <v>1559883.198562444</v>
      </c>
      <c r="C7" s="282"/>
      <c r="D7" s="282"/>
      <c r="E7" s="282"/>
      <c r="F7" s="282"/>
      <c r="G7" s="282"/>
      <c r="H7" s="284" t="s">
        <v>7</v>
      </c>
      <c r="I7" s="285">
        <v>0.22</v>
      </c>
      <c r="J7" s="282"/>
    </row>
  </sheetData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AED6-7F2D-4C43-B29D-20CE0A0C8D84}">
  <dimension ref="A1:L22"/>
  <sheetViews>
    <sheetView showGridLines="0" zoomScale="130" zoomScaleNormal="130" workbookViewId="0">
      <selection activeCell="B1" sqref="B1"/>
    </sheetView>
  </sheetViews>
  <sheetFormatPr defaultRowHeight="15.05" x14ac:dyDescent="0.3"/>
  <cols>
    <col min="1" max="1" width="23.6640625" bestFit="1" customWidth="1"/>
    <col min="2" max="2" width="14" bestFit="1" customWidth="1"/>
    <col min="3" max="3" width="17.33203125" bestFit="1" customWidth="1"/>
    <col min="4" max="6" width="13.88671875" bestFit="1" customWidth="1"/>
    <col min="8" max="8" width="23.77734375" bestFit="1" customWidth="1"/>
    <col min="9" max="12" width="10.21875" bestFit="1" customWidth="1"/>
  </cols>
  <sheetData>
    <row r="1" spans="1:12" x14ac:dyDescent="0.3">
      <c r="A1" s="6"/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H1" s="6"/>
      <c r="I1" s="8" t="s">
        <v>11</v>
      </c>
      <c r="J1" s="108" t="s">
        <v>12</v>
      </c>
      <c r="K1" s="108" t="s">
        <v>13</v>
      </c>
      <c r="L1" s="16" t="s">
        <v>14</v>
      </c>
    </row>
    <row r="2" spans="1:12" x14ac:dyDescent="0.3">
      <c r="A2" s="9" t="s">
        <v>15</v>
      </c>
      <c r="B2" s="11">
        <v>-115000000</v>
      </c>
      <c r="C2" s="12"/>
      <c r="D2" s="12"/>
      <c r="E2" s="12"/>
      <c r="F2" s="12"/>
      <c r="H2" s="9" t="s">
        <v>193</v>
      </c>
      <c r="I2" s="84">
        <v>145000</v>
      </c>
      <c r="J2" s="84">
        <v>165000</v>
      </c>
      <c r="K2" s="84">
        <v>180000</v>
      </c>
      <c r="L2" s="84">
        <v>155000</v>
      </c>
    </row>
    <row r="3" spans="1:12" x14ac:dyDescent="0.3">
      <c r="A3" s="9" t="s">
        <v>118</v>
      </c>
      <c r="B3" s="12"/>
      <c r="C3" s="293">
        <f>I$2*$B$16</f>
        <v>60175000</v>
      </c>
      <c r="D3" s="293">
        <f>J$2*$B$16</f>
        <v>68475000</v>
      </c>
      <c r="E3" s="293">
        <f>K$2*$B$16</f>
        <v>74700000</v>
      </c>
      <c r="F3" s="293">
        <f>L$2*$B$16</f>
        <v>64325000</v>
      </c>
      <c r="H3" s="9" t="s">
        <v>194</v>
      </c>
      <c r="I3" s="84">
        <v>1120000</v>
      </c>
      <c r="J3" s="84">
        <v>1200000</v>
      </c>
      <c r="K3" s="84">
        <v>1360000</v>
      </c>
      <c r="L3" s="84">
        <v>1280000</v>
      </c>
    </row>
    <row r="4" spans="1:12" x14ac:dyDescent="0.3">
      <c r="A4" s="9" t="s">
        <v>198</v>
      </c>
      <c r="B4" s="12"/>
      <c r="C4" s="294">
        <f>B17</f>
        <v>15.7</v>
      </c>
      <c r="D4" s="294">
        <f>C$4*(1+$B$18)</f>
        <v>16.013999999999999</v>
      </c>
      <c r="E4" s="294">
        <f>D$4*(1+$B$18)</f>
        <v>16.33428</v>
      </c>
      <c r="F4" s="294">
        <f>E$4*(1+$B$18)</f>
        <v>16.660965600000001</v>
      </c>
      <c r="H4" s="9" t="s">
        <v>195</v>
      </c>
      <c r="I4" s="84">
        <v>210000</v>
      </c>
      <c r="J4" s="84">
        <v>225000</v>
      </c>
      <c r="K4" s="84">
        <v>255000</v>
      </c>
      <c r="L4" s="84">
        <v>240000</v>
      </c>
    </row>
    <row r="5" spans="1:12" x14ac:dyDescent="0.3">
      <c r="A5" s="10" t="s">
        <v>196</v>
      </c>
      <c r="B5" s="12"/>
      <c r="C5" s="177">
        <f>C$4*I$3</f>
        <v>17584000</v>
      </c>
      <c r="D5" s="177">
        <f t="shared" ref="D5:F5" si="0">D$4*J$3</f>
        <v>19216800</v>
      </c>
      <c r="E5" s="177">
        <f t="shared" si="0"/>
        <v>22214620.800000001</v>
      </c>
      <c r="F5" s="177">
        <f t="shared" si="0"/>
        <v>21326035.968000002</v>
      </c>
    </row>
    <row r="6" spans="1:12" x14ac:dyDescent="0.3">
      <c r="A6" s="9" t="s">
        <v>199</v>
      </c>
      <c r="B6" s="12"/>
      <c r="C6" s="294">
        <f>B19</f>
        <v>4.0999999999999996</v>
      </c>
      <c r="D6" s="294">
        <f>C$6*(1+$B$20)</f>
        <v>4.2229999999999999</v>
      </c>
      <c r="E6" s="294">
        <f>D$6*(1+$B$20)</f>
        <v>4.3496899999999998</v>
      </c>
      <c r="F6" s="294">
        <f>E$6*(1+$B$20)</f>
        <v>4.4801807</v>
      </c>
    </row>
    <row r="7" spans="1:12" x14ac:dyDescent="0.3">
      <c r="A7" s="10" t="s">
        <v>197</v>
      </c>
      <c r="B7" s="12"/>
      <c r="C7" s="177">
        <f>C$6*I$4</f>
        <v>860999.99999999988</v>
      </c>
      <c r="D7" s="177">
        <f t="shared" ref="D7:F7" si="1">D$6*J$4</f>
        <v>950175</v>
      </c>
      <c r="E7" s="177">
        <f t="shared" si="1"/>
        <v>1109170.95</v>
      </c>
      <c r="F7" s="177">
        <f t="shared" si="1"/>
        <v>1075243.368</v>
      </c>
    </row>
    <row r="8" spans="1:12" x14ac:dyDescent="0.3">
      <c r="A8" s="9" t="s">
        <v>18</v>
      </c>
      <c r="B8" s="12"/>
      <c r="C8" s="177">
        <f>SLN(-$B$2,,$B$22)</f>
        <v>28750000</v>
      </c>
      <c r="D8" s="177">
        <f>SLN(-$B$2,,$B$22)</f>
        <v>28750000</v>
      </c>
      <c r="E8" s="177">
        <f>SLN(-$B$2,,$B$22)</f>
        <v>28750000</v>
      </c>
      <c r="F8" s="177">
        <f>SLN(-$B$2,,$B$22)</f>
        <v>28750000</v>
      </c>
    </row>
    <row r="9" spans="1:12" x14ac:dyDescent="0.3">
      <c r="A9" s="10" t="s">
        <v>200</v>
      </c>
      <c r="B9" s="12"/>
      <c r="C9" s="177">
        <f>PV($B$21,1,,-C$8)</f>
        <v>27380952.380952381</v>
      </c>
      <c r="D9" s="177">
        <f>PV($B$21,2,,-D$8)</f>
        <v>26077097.505668934</v>
      </c>
      <c r="E9" s="177">
        <f>PV($B$21,3,,-E$8)</f>
        <v>24835330.957779936</v>
      </c>
      <c r="F9" s="177">
        <f>PV($B$21,4,,-F$8)</f>
        <v>23652696.150266606</v>
      </c>
    </row>
    <row r="10" spans="1:12" x14ac:dyDescent="0.3">
      <c r="A10" s="10" t="s">
        <v>20</v>
      </c>
      <c r="B10" s="12">
        <f>B2</f>
        <v>-115000000</v>
      </c>
      <c r="C10" s="178">
        <f>(C$3-C$5-C$7)*(1-$B$15)+$B$15*(C$9)</f>
        <v>38716700</v>
      </c>
      <c r="D10" s="178">
        <f>(D$3-D$5-D$7)*(1-$B$15)+$B$15*(D$9)</f>
        <v>43639530.226190478</v>
      </c>
      <c r="E10" s="178">
        <f>(E$3-E$5-E$7)*(1-$B$15)+$B$15*(E$9)</f>
        <v>45802624.018633783</v>
      </c>
      <c r="F10" s="178">
        <f>(F$3-F$5-F$7)*(1-$B$15)+$B$15*(F$9)</f>
        <v>38086805.516115986</v>
      </c>
    </row>
    <row r="11" spans="1:12" ht="15.65" x14ac:dyDescent="0.3">
      <c r="A11" s="9" t="s">
        <v>9</v>
      </c>
      <c r="B11" s="115">
        <f>B10+NPV(B14,C10:F10)</f>
        <v>35849921.905894965</v>
      </c>
    </row>
    <row r="14" spans="1:12" ht="15.65" x14ac:dyDescent="0.3">
      <c r="A14" s="288" t="s">
        <v>44</v>
      </c>
      <c r="B14" s="289">
        <v>0.04</v>
      </c>
      <c r="C14" s="290" t="s">
        <v>284</v>
      </c>
    </row>
    <row r="15" spans="1:12" ht="15.65" x14ac:dyDescent="0.3">
      <c r="A15" s="288" t="s">
        <v>201</v>
      </c>
      <c r="B15" s="289">
        <v>0.21</v>
      </c>
      <c r="C15" s="182"/>
    </row>
    <row r="16" spans="1:12" ht="15.65" x14ac:dyDescent="0.3">
      <c r="A16" s="288" t="s">
        <v>228</v>
      </c>
      <c r="B16" s="291">
        <v>415</v>
      </c>
      <c r="C16" s="290" t="s">
        <v>231</v>
      </c>
    </row>
    <row r="17" spans="1:3" ht="15.65" x14ac:dyDescent="0.3">
      <c r="A17" s="288" t="s">
        <v>196</v>
      </c>
      <c r="B17" s="292">
        <v>15.7</v>
      </c>
      <c r="C17" s="290" t="s">
        <v>287</v>
      </c>
    </row>
    <row r="18" spans="1:3" ht="15.65" x14ac:dyDescent="0.3">
      <c r="A18" s="288" t="s">
        <v>288</v>
      </c>
      <c r="B18" s="289">
        <v>0.02</v>
      </c>
      <c r="C18" s="290" t="s">
        <v>279</v>
      </c>
    </row>
    <row r="19" spans="1:3" ht="15.65" x14ac:dyDescent="0.3">
      <c r="A19" s="288" t="s">
        <v>197</v>
      </c>
      <c r="B19" s="292">
        <v>4.0999999999999996</v>
      </c>
      <c r="C19" s="290" t="s">
        <v>289</v>
      </c>
    </row>
    <row r="20" spans="1:3" ht="15.65" x14ac:dyDescent="0.3">
      <c r="A20" s="288" t="s">
        <v>290</v>
      </c>
      <c r="B20" s="289">
        <v>0.03</v>
      </c>
      <c r="C20" s="290" t="s">
        <v>284</v>
      </c>
    </row>
    <row r="21" spans="1:3" ht="15.65" x14ac:dyDescent="0.3">
      <c r="A21" s="288" t="s">
        <v>291</v>
      </c>
      <c r="B21" s="289">
        <v>0.05</v>
      </c>
      <c r="C21" s="290"/>
    </row>
    <row r="22" spans="1:3" ht="15.65" x14ac:dyDescent="0.3">
      <c r="A22" s="288" t="s">
        <v>224</v>
      </c>
      <c r="B22" s="288">
        <v>4</v>
      </c>
      <c r="C22" s="290"/>
    </row>
  </sheetData>
  <pageMargins left="0.7" right="0.7" top="0.75" bottom="0.75" header="0.3" footer="0.3"/>
  <ignoredErrors>
    <ignoredError sqref="C5" formula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2192-1080-4B9B-A8DA-81C2C49CBD73}">
  <dimension ref="A1:H26"/>
  <sheetViews>
    <sheetView showGridLines="0" zoomScale="160" zoomScaleNormal="160" workbookViewId="0">
      <selection activeCell="B1" sqref="B1"/>
    </sheetView>
  </sheetViews>
  <sheetFormatPr defaultRowHeight="15.05" x14ac:dyDescent="0.3"/>
  <cols>
    <col min="1" max="1" width="19.109375" bestFit="1" customWidth="1"/>
    <col min="2" max="2" width="12.33203125" bestFit="1" customWidth="1"/>
    <col min="3" max="4" width="10.88671875" bestFit="1" customWidth="1"/>
    <col min="6" max="6" width="22.88671875" bestFit="1" customWidth="1"/>
    <col min="7" max="7" width="12.109375" bestFit="1" customWidth="1"/>
  </cols>
  <sheetData>
    <row r="1" spans="1:8" ht="15.65" x14ac:dyDescent="0.3">
      <c r="A1" s="174" t="s">
        <v>292</v>
      </c>
      <c r="B1" s="295"/>
      <c r="C1" s="295"/>
      <c r="D1" s="295"/>
      <c r="E1" s="296"/>
      <c r="F1" s="297" t="s">
        <v>228</v>
      </c>
      <c r="G1" s="298">
        <v>8.25</v>
      </c>
      <c r="H1" s="296" t="s">
        <v>294</v>
      </c>
    </row>
    <row r="2" spans="1:8" ht="15.65" x14ac:dyDescent="0.3">
      <c r="A2" s="253"/>
      <c r="B2" s="277" t="s">
        <v>293</v>
      </c>
      <c r="C2" s="277" t="s">
        <v>97</v>
      </c>
      <c r="D2" s="277" t="s">
        <v>98</v>
      </c>
      <c r="E2" s="296"/>
      <c r="F2" s="297" t="s">
        <v>295</v>
      </c>
      <c r="G2" s="299">
        <v>3200000</v>
      </c>
      <c r="H2" s="296" t="s">
        <v>296</v>
      </c>
    </row>
    <row r="3" spans="1:8" ht="15.65" x14ac:dyDescent="0.3">
      <c r="A3" s="246" t="s">
        <v>74</v>
      </c>
      <c r="B3" s="255">
        <f t="shared" ref="B3:D3" si="0">$G$2*$G$1</f>
        <v>26400000</v>
      </c>
      <c r="C3" s="255">
        <f t="shared" si="0"/>
        <v>26400000</v>
      </c>
      <c r="D3" s="255">
        <f t="shared" si="0"/>
        <v>26400000</v>
      </c>
      <c r="E3" s="296"/>
      <c r="F3" s="297" t="s">
        <v>297</v>
      </c>
      <c r="G3" s="299">
        <v>4900000</v>
      </c>
      <c r="H3" s="296" t="s">
        <v>296</v>
      </c>
    </row>
    <row r="4" spans="1:8" ht="15.65" x14ac:dyDescent="0.3">
      <c r="A4" s="246" t="s">
        <v>121</v>
      </c>
      <c r="B4" s="300">
        <f t="shared" ref="B4:D4" si="1">$G$2*$G$4</f>
        <v>11520000</v>
      </c>
      <c r="C4" s="300">
        <f t="shared" si="1"/>
        <v>11520000</v>
      </c>
      <c r="D4" s="300">
        <f t="shared" si="1"/>
        <v>11520000</v>
      </c>
      <c r="E4" s="296"/>
      <c r="F4" s="297" t="s">
        <v>298</v>
      </c>
      <c r="G4" s="301">
        <v>3.6</v>
      </c>
      <c r="H4" s="296" t="s">
        <v>299</v>
      </c>
    </row>
    <row r="5" spans="1:8" ht="15.65" x14ac:dyDescent="0.3">
      <c r="A5" s="246" t="s">
        <v>18</v>
      </c>
      <c r="B5" s="300">
        <f>PV($G$12,1,,-SLN($G$6,,$G$9))</f>
        <v>9061488.6731391586</v>
      </c>
      <c r="C5" s="300">
        <f>PV($G$12,2,,-SLN($G$6,,$G$9))</f>
        <v>8797561.8185817078</v>
      </c>
      <c r="D5" s="300">
        <f>PV($G$12,3,,-SLN($G$6,,$G$9))</f>
        <v>8541322.1539628226</v>
      </c>
      <c r="E5" s="296"/>
      <c r="F5" s="297" t="s">
        <v>298</v>
      </c>
      <c r="G5" s="301">
        <v>4.55</v>
      </c>
      <c r="H5" s="296" t="s">
        <v>300</v>
      </c>
    </row>
    <row r="6" spans="1:8" ht="15.65" x14ac:dyDescent="0.3">
      <c r="A6" s="246" t="s">
        <v>84</v>
      </c>
      <c r="B6" s="255">
        <f t="shared" ref="B6:D6" si="2">B$3-B$4-B$5</f>
        <v>5818511.3268608414</v>
      </c>
      <c r="C6" s="255">
        <f t="shared" si="2"/>
        <v>6082438.1814182922</v>
      </c>
      <c r="D6" s="255">
        <f t="shared" si="2"/>
        <v>6338677.8460371774</v>
      </c>
      <c r="E6" s="296"/>
      <c r="F6" s="297" t="s">
        <v>301</v>
      </c>
      <c r="G6" s="302">
        <v>28000000</v>
      </c>
      <c r="H6" s="296" t="s">
        <v>302</v>
      </c>
    </row>
    <row r="7" spans="1:8" ht="15.65" x14ac:dyDescent="0.3">
      <c r="A7" s="246" t="s">
        <v>23</v>
      </c>
      <c r="B7" s="300">
        <f t="shared" ref="B7:D7" si="3">B$6*$G$10</f>
        <v>1280072.4919093852</v>
      </c>
      <c r="C7" s="300">
        <f t="shared" si="3"/>
        <v>1338136.3999120244</v>
      </c>
      <c r="D7" s="300">
        <f t="shared" si="3"/>
        <v>1394509.126128179</v>
      </c>
      <c r="E7" s="296"/>
      <c r="F7" s="297" t="s">
        <v>301</v>
      </c>
      <c r="G7" s="302">
        <v>36000000</v>
      </c>
      <c r="H7" s="296" t="s">
        <v>297</v>
      </c>
    </row>
    <row r="8" spans="1:8" ht="15.65" x14ac:dyDescent="0.3">
      <c r="A8" s="246" t="s">
        <v>77</v>
      </c>
      <c r="B8" s="262">
        <f t="shared" ref="B8:D8" si="4">B$6-B$7</f>
        <v>4538438.8349514566</v>
      </c>
      <c r="C8" s="262">
        <f t="shared" si="4"/>
        <v>4744301.7815062683</v>
      </c>
      <c r="D8" s="262">
        <f t="shared" si="4"/>
        <v>4944168.7199089983</v>
      </c>
      <c r="E8" s="296"/>
      <c r="F8" s="297" t="s">
        <v>303</v>
      </c>
      <c r="G8" s="303">
        <v>1000000</v>
      </c>
      <c r="H8" s="296" t="s">
        <v>297</v>
      </c>
    </row>
    <row r="9" spans="1:8" ht="15.65" x14ac:dyDescent="0.3">
      <c r="A9" s="246" t="s">
        <v>20</v>
      </c>
      <c r="B9" s="264">
        <f t="shared" ref="B9:D9" si="5">B$6+B$5-B$7</f>
        <v>13599927.508090615</v>
      </c>
      <c r="C9" s="264">
        <f t="shared" si="5"/>
        <v>13541863.600087976</v>
      </c>
      <c r="D9" s="264">
        <f t="shared" si="5"/>
        <v>13485490.873871822</v>
      </c>
      <c r="E9" s="296"/>
      <c r="F9" s="297" t="s">
        <v>224</v>
      </c>
      <c r="G9" s="304">
        <v>3</v>
      </c>
      <c r="H9" s="296"/>
    </row>
    <row r="10" spans="1:8" ht="15.65" x14ac:dyDescent="0.3">
      <c r="A10" s="296"/>
      <c r="B10" s="296"/>
      <c r="C10" s="296"/>
      <c r="D10" s="296"/>
      <c r="E10" s="296"/>
      <c r="F10" s="297" t="s">
        <v>234</v>
      </c>
      <c r="G10" s="305">
        <v>0.22</v>
      </c>
      <c r="H10" s="296"/>
    </row>
    <row r="11" spans="1:8" ht="15.65" x14ac:dyDescent="0.3">
      <c r="A11" s="153" t="s">
        <v>9</v>
      </c>
      <c r="B11" s="306">
        <f>NPV($G$11,$B$9:$D$9)-$G$6</f>
        <v>8884455.4425086677</v>
      </c>
      <c r="C11" s="296"/>
      <c r="D11" s="296"/>
      <c r="E11" s="296"/>
      <c r="F11" s="297" t="s">
        <v>122</v>
      </c>
      <c r="G11" s="305">
        <v>0.05</v>
      </c>
      <c r="H11" s="296"/>
    </row>
    <row r="12" spans="1:8" ht="15.65" x14ac:dyDescent="0.3">
      <c r="A12" s="296"/>
      <c r="B12" s="296"/>
      <c r="C12" s="296"/>
      <c r="D12" s="296"/>
      <c r="E12" s="296"/>
      <c r="F12" s="297" t="s">
        <v>90</v>
      </c>
      <c r="G12" s="305">
        <v>0.03</v>
      </c>
      <c r="H12" s="296"/>
    </row>
    <row r="13" spans="1:8" ht="15.65" x14ac:dyDescent="0.3">
      <c r="A13" s="153" t="s">
        <v>305</v>
      </c>
      <c r="B13" s="307">
        <f>$G$8+(0-$G$8)*($G$10)</f>
        <v>780000</v>
      </c>
      <c r="C13" s="296"/>
      <c r="D13" s="296"/>
      <c r="E13" s="296"/>
      <c r="F13" s="308"/>
      <c r="G13" s="309"/>
      <c r="H13" s="296"/>
    </row>
    <row r="14" spans="1:8" ht="15.65" x14ac:dyDescent="0.3">
      <c r="A14" s="296"/>
      <c r="B14" s="296"/>
      <c r="C14" s="296"/>
      <c r="D14" s="296"/>
      <c r="E14" s="296"/>
      <c r="F14" s="308"/>
      <c r="G14" s="309"/>
      <c r="H14" s="296"/>
    </row>
    <row r="15" spans="1:8" ht="15.65" x14ac:dyDescent="0.3">
      <c r="A15" s="174" t="s">
        <v>304</v>
      </c>
      <c r="B15" s="295"/>
      <c r="C15" s="295"/>
      <c r="D15" s="295"/>
      <c r="E15" s="296"/>
      <c r="F15" s="296"/>
      <c r="G15" s="296"/>
      <c r="H15" s="296"/>
    </row>
    <row r="16" spans="1:8" ht="15.65" x14ac:dyDescent="0.3">
      <c r="A16" s="253"/>
      <c r="B16" s="277" t="s">
        <v>293</v>
      </c>
      <c r="C16" s="277" t="s">
        <v>97</v>
      </c>
      <c r="D16" s="277" t="s">
        <v>98</v>
      </c>
      <c r="E16" s="296"/>
      <c r="F16" s="296"/>
      <c r="G16" s="296"/>
      <c r="H16" s="296"/>
    </row>
    <row r="17" spans="1:8" ht="15.65" x14ac:dyDescent="0.3">
      <c r="A17" s="246" t="s">
        <v>74</v>
      </c>
      <c r="B17" s="255">
        <f t="shared" ref="B17:D17" si="6">$G$3*$G$1</f>
        <v>40425000</v>
      </c>
      <c r="C17" s="255">
        <f t="shared" si="6"/>
        <v>40425000</v>
      </c>
      <c r="D17" s="255">
        <f t="shared" si="6"/>
        <v>40425000</v>
      </c>
      <c r="E17" s="296"/>
      <c r="F17" s="296"/>
      <c r="G17" s="296"/>
      <c r="H17" s="296"/>
    </row>
    <row r="18" spans="1:8" ht="15.65" x14ac:dyDescent="0.3">
      <c r="A18" s="246" t="s">
        <v>121</v>
      </c>
      <c r="B18" s="300">
        <f t="shared" ref="B18:D18" si="7">$G$3*$G$5</f>
        <v>22295000</v>
      </c>
      <c r="C18" s="300">
        <f t="shared" si="7"/>
        <v>22295000</v>
      </c>
      <c r="D18" s="300">
        <f t="shared" si="7"/>
        <v>22295000</v>
      </c>
      <c r="E18" s="296"/>
      <c r="F18" s="296"/>
      <c r="G18" s="296"/>
      <c r="H18" s="296"/>
    </row>
    <row r="19" spans="1:8" ht="15.65" x14ac:dyDescent="0.3">
      <c r="A19" s="246" t="s">
        <v>18</v>
      </c>
      <c r="B19" s="300">
        <f>PV($G$12,1,,-SLN($G$7,,$G$9))</f>
        <v>11650485.436893204</v>
      </c>
      <c r="C19" s="300">
        <f>PV($G$12,2,,-SLN($G$7,,$G$9))</f>
        <v>11311150.909605052</v>
      </c>
      <c r="D19" s="300">
        <f>PV($G$12,3,,-SLN($G$7,,$G$9))</f>
        <v>10981699.912237914</v>
      </c>
      <c r="E19" s="296"/>
      <c r="F19" s="296"/>
      <c r="G19" s="296"/>
      <c r="H19" s="296"/>
    </row>
    <row r="20" spans="1:8" ht="15.65" x14ac:dyDescent="0.3">
      <c r="A20" s="246" t="s">
        <v>84</v>
      </c>
      <c r="B20" s="255">
        <f t="shared" ref="B20:D20" si="8">B$17-B$18-B$19</f>
        <v>6479514.5631067958</v>
      </c>
      <c r="C20" s="255">
        <f t="shared" si="8"/>
        <v>6818849.0903949477</v>
      </c>
      <c r="D20" s="255">
        <f t="shared" si="8"/>
        <v>7148300.0877620857</v>
      </c>
      <c r="E20" s="296"/>
      <c r="F20" s="296"/>
      <c r="G20" s="296"/>
      <c r="H20" s="296"/>
    </row>
    <row r="21" spans="1:8" ht="15.65" x14ac:dyDescent="0.3">
      <c r="A21" s="246" t="s">
        <v>23</v>
      </c>
      <c r="B21" s="300">
        <f t="shared" ref="B21:D21" si="9">B$20*$G$10</f>
        <v>1425493.2038834952</v>
      </c>
      <c r="C21" s="300">
        <f t="shared" si="9"/>
        <v>1500146.7998868886</v>
      </c>
      <c r="D21" s="300">
        <f t="shared" si="9"/>
        <v>1572626.0193076588</v>
      </c>
      <c r="E21" s="296"/>
      <c r="F21" s="296"/>
      <c r="G21" s="296"/>
      <c r="H21" s="296"/>
    </row>
    <row r="22" spans="1:8" ht="15.65" x14ac:dyDescent="0.3">
      <c r="A22" s="246" t="s">
        <v>77</v>
      </c>
      <c r="B22" s="262">
        <f t="shared" ref="B22:D22" si="10">B$20-B$21</f>
        <v>5054021.3592233006</v>
      </c>
      <c r="C22" s="262">
        <f t="shared" si="10"/>
        <v>5318702.2905080589</v>
      </c>
      <c r="D22" s="262">
        <f t="shared" si="10"/>
        <v>5575674.0684544267</v>
      </c>
      <c r="E22" s="296"/>
      <c r="F22" s="296"/>
      <c r="G22" s="296"/>
      <c r="H22" s="296"/>
    </row>
    <row r="23" spans="1:8" ht="15.65" x14ac:dyDescent="0.3">
      <c r="A23" s="246" t="s">
        <v>20</v>
      </c>
      <c r="B23" s="264">
        <f t="shared" ref="B23:D23" si="11">B$20+B$19-B$21</f>
        <v>16704506.796116505</v>
      </c>
      <c r="C23" s="264">
        <f t="shared" si="11"/>
        <v>16629853.200113112</v>
      </c>
      <c r="D23" s="264">
        <f t="shared" si="11"/>
        <v>16557373.980692342</v>
      </c>
      <c r="E23" s="296"/>
      <c r="F23" s="296"/>
      <c r="G23" s="296"/>
      <c r="H23" s="296"/>
    </row>
    <row r="24" spans="1:8" ht="15.65" x14ac:dyDescent="0.3">
      <c r="A24" s="296"/>
      <c r="B24" s="296"/>
      <c r="C24" s="296"/>
      <c r="D24" s="296"/>
      <c r="E24" s="296"/>
      <c r="F24" s="296"/>
      <c r="G24" s="296"/>
      <c r="H24" s="296"/>
    </row>
    <row r="25" spans="1:8" ht="15.65" x14ac:dyDescent="0.3">
      <c r="A25" s="153" t="s">
        <v>9</v>
      </c>
      <c r="B25" s="306">
        <f>NPV($G$11,$B$23,$C$23,$D$23+$B$13)-$G$7</f>
        <v>9969496.6707954183</v>
      </c>
      <c r="C25" s="296"/>
      <c r="D25" s="296"/>
      <c r="E25" s="296"/>
      <c r="F25" s="296"/>
      <c r="G25" s="296"/>
      <c r="H25" s="296"/>
    </row>
    <row r="26" spans="1:8" ht="15.65" x14ac:dyDescent="0.3">
      <c r="A26" s="296"/>
      <c r="B26" s="296"/>
      <c r="C26" s="296"/>
      <c r="D26" s="296"/>
      <c r="E26" s="296"/>
      <c r="F26" s="296"/>
      <c r="G26" s="296"/>
      <c r="H26" s="29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89D6-78AB-4E5D-87E2-44795B1CAB12}">
  <dimension ref="A1:O50"/>
  <sheetViews>
    <sheetView showGridLines="0" zoomScale="130" zoomScaleNormal="130" workbookViewId="0"/>
  </sheetViews>
  <sheetFormatPr defaultRowHeight="15.05" x14ac:dyDescent="0.3"/>
  <cols>
    <col min="1" max="1" width="14.77734375" bestFit="1" customWidth="1"/>
    <col min="2" max="2" width="13.5546875" bestFit="1" customWidth="1"/>
    <col min="3" max="3" width="13.88671875" bestFit="1" customWidth="1"/>
    <col min="4" max="6" width="13.5546875" bestFit="1" customWidth="1"/>
    <col min="8" max="8" width="14.33203125" bestFit="1" customWidth="1"/>
    <col min="9" max="9" width="11.6640625" customWidth="1"/>
  </cols>
  <sheetData>
    <row r="1" spans="1:15" ht="15.65" x14ac:dyDescent="0.3">
      <c r="A1" s="32"/>
      <c r="B1" s="235" t="s">
        <v>72</v>
      </c>
      <c r="C1" s="235" t="s">
        <v>97</v>
      </c>
      <c r="D1" s="235" t="s">
        <v>98</v>
      </c>
      <c r="E1" s="235" t="s">
        <v>99</v>
      </c>
      <c r="F1" s="235" t="s">
        <v>100</v>
      </c>
      <c r="G1" s="296"/>
      <c r="H1" s="310" t="s">
        <v>228</v>
      </c>
      <c r="I1" s="311">
        <v>5900</v>
      </c>
      <c r="J1" s="296" t="s">
        <v>308</v>
      </c>
      <c r="K1" s="296"/>
      <c r="L1" s="296"/>
      <c r="M1" s="296"/>
      <c r="N1" s="296"/>
      <c r="O1" s="296"/>
    </row>
    <row r="2" spans="1:15" ht="15.65" x14ac:dyDescent="0.3">
      <c r="A2" s="153" t="s">
        <v>306</v>
      </c>
      <c r="B2" s="161">
        <f t="array" ref="B2:F2">TRANSPOSE($O$6:$O$10*$I$1)</f>
        <v>10620000</v>
      </c>
      <c r="C2" s="161">
        <v>12685000</v>
      </c>
      <c r="D2" s="161">
        <v>15340000</v>
      </c>
      <c r="E2" s="161">
        <v>13865000</v>
      </c>
      <c r="F2" s="136">
        <v>12980000</v>
      </c>
      <c r="G2" s="296"/>
      <c r="H2" s="297" t="s">
        <v>211</v>
      </c>
      <c r="I2" s="312">
        <v>0.37</v>
      </c>
      <c r="J2" s="296" t="s">
        <v>309</v>
      </c>
      <c r="K2" s="296"/>
      <c r="L2" s="296"/>
      <c r="M2" s="296"/>
      <c r="N2" s="296"/>
      <c r="O2" s="296"/>
    </row>
    <row r="3" spans="1:15" ht="15.65" x14ac:dyDescent="0.3">
      <c r="A3" s="153" t="s">
        <v>307</v>
      </c>
      <c r="B3" s="145">
        <f t="shared" ref="B3:F3" si="0">-($I$5*$I$6)</f>
        <v>-1075000</v>
      </c>
      <c r="C3" s="145">
        <f t="shared" si="0"/>
        <v>-1075000</v>
      </c>
      <c r="D3" s="145">
        <f t="shared" si="0"/>
        <v>-1075000</v>
      </c>
      <c r="E3" s="145">
        <f t="shared" si="0"/>
        <v>-1075000</v>
      </c>
      <c r="F3" s="130">
        <f t="shared" si="0"/>
        <v>-1075000</v>
      </c>
      <c r="G3" s="296"/>
      <c r="H3" s="297" t="s">
        <v>212</v>
      </c>
      <c r="I3" s="311">
        <v>2050000</v>
      </c>
      <c r="J3" s="296" t="s">
        <v>3</v>
      </c>
      <c r="K3" s="296"/>
      <c r="L3" s="296"/>
      <c r="M3" s="296"/>
      <c r="N3" s="296"/>
      <c r="O3" s="296"/>
    </row>
    <row r="4" spans="1:15" ht="15.65" x14ac:dyDescent="0.3">
      <c r="A4" s="164" t="s">
        <v>151</v>
      </c>
      <c r="B4" s="319">
        <f>SUM(B2:B3)</f>
        <v>9545000</v>
      </c>
      <c r="C4" s="319">
        <f t="shared" ref="C4:F4" si="1">SUM(C2:C3)</f>
        <v>11610000</v>
      </c>
      <c r="D4" s="319">
        <f t="shared" si="1"/>
        <v>14265000</v>
      </c>
      <c r="E4" s="319">
        <f t="shared" si="1"/>
        <v>12790000</v>
      </c>
      <c r="F4" s="319">
        <f t="shared" si="1"/>
        <v>11905000</v>
      </c>
      <c r="G4" s="296"/>
      <c r="H4" s="297" t="s">
        <v>310</v>
      </c>
      <c r="I4" s="312">
        <v>0.1</v>
      </c>
      <c r="J4" s="296" t="s">
        <v>311</v>
      </c>
      <c r="K4" s="296"/>
      <c r="L4" s="296"/>
      <c r="M4" s="296"/>
      <c r="N4" s="296"/>
      <c r="O4" s="296"/>
    </row>
    <row r="5" spans="1:15" ht="15.65" x14ac:dyDescent="0.3">
      <c r="A5" s="296"/>
      <c r="B5" s="296"/>
      <c r="C5" s="296"/>
      <c r="D5" s="296"/>
      <c r="E5" s="296"/>
      <c r="F5" s="296"/>
      <c r="G5" s="296"/>
      <c r="H5" s="297" t="s">
        <v>312</v>
      </c>
      <c r="I5" s="297">
        <v>250</v>
      </c>
      <c r="J5" s="296" t="s">
        <v>313</v>
      </c>
      <c r="K5" s="296"/>
      <c r="L5" s="296"/>
      <c r="M5" s="296"/>
      <c r="N5" s="313" t="s">
        <v>219</v>
      </c>
      <c r="O5" s="313" t="s">
        <v>226</v>
      </c>
    </row>
    <row r="6" spans="1:15" ht="15.65" x14ac:dyDescent="0.3">
      <c r="A6" s="153" t="s">
        <v>18</v>
      </c>
      <c r="B6" s="320">
        <f t="array" ref="B6:F6">TRANSPOSE(-$I$11*$N$13:$N$17)</f>
        <v>2286400</v>
      </c>
      <c r="C6" s="320">
        <v>3918400</v>
      </c>
      <c r="D6" s="320">
        <v>2798400</v>
      </c>
      <c r="E6" s="320">
        <v>1998400</v>
      </c>
      <c r="F6" s="320">
        <v>1428800</v>
      </c>
      <c r="G6" s="296"/>
      <c r="H6" s="297" t="s">
        <v>323</v>
      </c>
      <c r="I6" s="311">
        <v>4300</v>
      </c>
      <c r="J6" s="296" t="s">
        <v>314</v>
      </c>
      <c r="K6" s="296"/>
      <c r="L6" s="296"/>
      <c r="M6" s="296"/>
      <c r="N6" s="313">
        <v>1</v>
      </c>
      <c r="O6" s="313">
        <v>1800</v>
      </c>
    </row>
    <row r="7" spans="1:15" ht="15.65" x14ac:dyDescent="0.3">
      <c r="A7" s="296"/>
      <c r="B7" s="296"/>
      <c r="C7" s="296"/>
      <c r="D7" s="296"/>
      <c r="E7" s="296"/>
      <c r="F7" s="296"/>
      <c r="G7" s="296"/>
      <c r="H7" s="297" t="s">
        <v>315</v>
      </c>
      <c r="I7" s="312">
        <v>0.4</v>
      </c>
      <c r="J7" s="296" t="s">
        <v>309</v>
      </c>
      <c r="K7" s="296"/>
      <c r="L7" s="296"/>
      <c r="M7" s="296"/>
      <c r="N7" s="313">
        <v>2</v>
      </c>
      <c r="O7" s="313">
        <v>2150</v>
      </c>
    </row>
    <row r="8" spans="1:15" ht="15.65" x14ac:dyDescent="0.3">
      <c r="A8" s="297" t="s">
        <v>324</v>
      </c>
      <c r="B8" s="311">
        <f>-($B$2*$I$4)</f>
        <v>-1062000</v>
      </c>
      <c r="C8" s="296"/>
      <c r="D8" s="296"/>
      <c r="E8" s="296"/>
      <c r="F8" s="296"/>
      <c r="G8" s="296"/>
      <c r="H8" s="297" t="s">
        <v>316</v>
      </c>
      <c r="I8" s="312">
        <v>0.1</v>
      </c>
      <c r="J8" s="296" t="s">
        <v>309</v>
      </c>
      <c r="K8" s="296"/>
      <c r="L8" s="296"/>
      <c r="M8" s="296"/>
      <c r="N8" s="313">
        <v>3</v>
      </c>
      <c r="O8" s="313">
        <v>2600</v>
      </c>
    </row>
    <row r="9" spans="1:15" ht="15.65" x14ac:dyDescent="0.3">
      <c r="A9" s="297" t="s">
        <v>325</v>
      </c>
      <c r="B9" s="311">
        <f>-$B$3*$I$8</f>
        <v>107500</v>
      </c>
      <c r="C9" s="296"/>
      <c r="D9" s="296"/>
      <c r="E9" s="296"/>
      <c r="F9" s="296"/>
      <c r="G9" s="296"/>
      <c r="H9" s="297" t="s">
        <v>224</v>
      </c>
      <c r="I9" s="316">
        <v>5</v>
      </c>
      <c r="J9" s="296"/>
      <c r="K9" s="296"/>
      <c r="L9" s="296"/>
      <c r="M9" s="296"/>
      <c r="N9" s="313">
        <v>4</v>
      </c>
      <c r="O9" s="313">
        <v>2350</v>
      </c>
    </row>
    <row r="10" spans="1:15" ht="15.65" x14ac:dyDescent="0.3">
      <c r="A10" s="297" t="s">
        <v>151</v>
      </c>
      <c r="B10" s="311">
        <f>SUM(B8:B9)</f>
        <v>-954500</v>
      </c>
      <c r="C10" s="296"/>
      <c r="D10" s="296"/>
      <c r="E10" s="296"/>
      <c r="F10" s="296"/>
      <c r="G10" s="296"/>
      <c r="H10" s="297" t="s">
        <v>317</v>
      </c>
      <c r="I10" s="297"/>
      <c r="J10" s="308" t="s">
        <v>318</v>
      </c>
      <c r="K10" s="296"/>
      <c r="L10" s="296"/>
      <c r="M10" s="296"/>
      <c r="N10" s="313">
        <v>5</v>
      </c>
      <c r="O10" s="313">
        <v>2200</v>
      </c>
    </row>
    <row r="11" spans="1:15" ht="15.65" x14ac:dyDescent="0.3">
      <c r="A11" s="296"/>
      <c r="B11" s="296"/>
      <c r="C11" s="296"/>
      <c r="D11" s="296"/>
      <c r="E11" s="296"/>
      <c r="F11" s="296"/>
      <c r="G11" s="296"/>
      <c r="H11" s="297" t="s">
        <v>319</v>
      </c>
      <c r="I11" s="311">
        <v>-16000000</v>
      </c>
      <c r="J11" s="296" t="s">
        <v>320</v>
      </c>
      <c r="K11" s="296"/>
      <c r="L11" s="296"/>
      <c r="M11" s="296"/>
      <c r="N11" s="296"/>
      <c r="O11" s="296"/>
    </row>
    <row r="12" spans="1:15" ht="15.65" x14ac:dyDescent="0.3">
      <c r="A12" s="297" t="s">
        <v>110</v>
      </c>
      <c r="B12" s="311">
        <f>(-I11)-(-I11*N13)-(-I11*N14)-(-I11*N15)</f>
        <v>6996800</v>
      </c>
      <c r="C12" s="315">
        <f>-I11-SUM(B6:D6)</f>
        <v>6996800</v>
      </c>
      <c r="D12" s="296"/>
      <c r="E12" s="296"/>
      <c r="F12" s="296"/>
      <c r="G12" s="296"/>
      <c r="H12" s="297" t="s">
        <v>303</v>
      </c>
      <c r="I12" s="311">
        <v>2900000</v>
      </c>
      <c r="J12" s="296" t="s">
        <v>321</v>
      </c>
      <c r="K12" s="296"/>
      <c r="L12" s="296"/>
      <c r="M12" s="296"/>
      <c r="N12" s="296"/>
      <c r="O12" s="296"/>
    </row>
    <row r="13" spans="1:15" ht="15.65" x14ac:dyDescent="0.3">
      <c r="A13" s="297" t="s">
        <v>326</v>
      </c>
      <c r="B13" s="311">
        <f>(B12-I13)*(I14)</f>
        <v>461328</v>
      </c>
      <c r="C13" s="296"/>
      <c r="D13" s="296"/>
      <c r="E13" s="314"/>
      <c r="F13" s="296"/>
      <c r="G13" s="296"/>
      <c r="H13" s="297" t="s">
        <v>303</v>
      </c>
      <c r="I13" s="311">
        <v>4800000</v>
      </c>
      <c r="J13" s="296" t="s">
        <v>322</v>
      </c>
      <c r="K13" s="296"/>
      <c r="L13" s="296"/>
      <c r="M13" s="296"/>
      <c r="N13" s="317">
        <v>0.1429</v>
      </c>
      <c r="O13" s="296"/>
    </row>
    <row r="14" spans="1:15" ht="15.65" x14ac:dyDescent="0.3">
      <c r="A14" s="296"/>
      <c r="B14" s="296"/>
      <c r="C14" s="296"/>
      <c r="D14" s="296"/>
      <c r="E14" s="296"/>
      <c r="F14" s="296"/>
      <c r="G14" s="296"/>
      <c r="H14" s="297" t="s">
        <v>234</v>
      </c>
      <c r="I14" s="312">
        <v>0.21</v>
      </c>
      <c r="J14" s="296"/>
      <c r="K14" s="296"/>
      <c r="L14" s="296"/>
      <c r="M14" s="296"/>
      <c r="N14" s="317">
        <v>0.24490000000000001</v>
      </c>
      <c r="O14" s="296"/>
    </row>
    <row r="15" spans="1:15" ht="15.65" x14ac:dyDescent="0.3">
      <c r="A15" s="153" t="s">
        <v>327</v>
      </c>
      <c r="B15" s="136">
        <f>I13</f>
        <v>4800000</v>
      </c>
      <c r="C15" s="296"/>
      <c r="D15" s="296"/>
      <c r="E15" s="296"/>
      <c r="F15" s="296"/>
      <c r="G15" s="296"/>
      <c r="H15" s="297" t="s">
        <v>25</v>
      </c>
      <c r="I15" s="312">
        <v>0.11</v>
      </c>
      <c r="J15" s="296"/>
      <c r="K15" s="296"/>
      <c r="L15" s="296"/>
      <c r="M15" s="296"/>
      <c r="N15" s="317">
        <v>0.1749</v>
      </c>
      <c r="O15" s="296"/>
    </row>
    <row r="16" spans="1:15" ht="15.65" x14ac:dyDescent="0.3">
      <c r="A16" s="153" t="s">
        <v>115</v>
      </c>
      <c r="B16" s="140">
        <f>B13</f>
        <v>461328</v>
      </c>
      <c r="C16" s="296"/>
      <c r="D16" s="296"/>
      <c r="E16" s="296"/>
      <c r="F16" s="296"/>
      <c r="G16" s="296"/>
      <c r="H16" s="296"/>
      <c r="I16" s="296"/>
      <c r="J16" s="296"/>
      <c r="K16" s="296"/>
      <c r="L16" s="296"/>
      <c r="M16" s="296"/>
      <c r="N16" s="317">
        <v>0.1249</v>
      </c>
      <c r="O16" s="296"/>
    </row>
    <row r="17" spans="1:15" ht="15.65" x14ac:dyDescent="0.3">
      <c r="A17" s="153" t="s">
        <v>54</v>
      </c>
      <c r="B17" s="136">
        <f>SUM(B15:B16)</f>
        <v>5261328</v>
      </c>
      <c r="C17" s="296"/>
      <c r="D17" s="296"/>
      <c r="E17" s="296"/>
      <c r="F17" s="296"/>
      <c r="G17" s="296"/>
      <c r="H17" s="296"/>
      <c r="I17" s="296"/>
      <c r="J17" s="296"/>
      <c r="K17" s="296"/>
      <c r="L17" s="296"/>
      <c r="M17" s="296"/>
      <c r="N17" s="317">
        <v>8.9300000000000004E-2</v>
      </c>
      <c r="O17" s="296"/>
    </row>
    <row r="18" spans="1:15" ht="15.65" x14ac:dyDescent="0.3">
      <c r="A18" s="296"/>
      <c r="B18" s="296"/>
      <c r="C18" s="296"/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317">
        <v>8.9200000000000002E-2</v>
      </c>
      <c r="O18" s="296"/>
    </row>
    <row r="19" spans="1:15" ht="15.65" x14ac:dyDescent="0.3">
      <c r="A19" s="32"/>
      <c r="B19" s="235" t="s">
        <v>72</v>
      </c>
      <c r="C19" s="235" t="s">
        <v>97</v>
      </c>
      <c r="D19" s="235" t="s">
        <v>98</v>
      </c>
      <c r="E19" s="235" t="s">
        <v>99</v>
      </c>
      <c r="F19" s="235" t="s">
        <v>100</v>
      </c>
      <c r="G19" s="296"/>
      <c r="H19" s="296"/>
      <c r="I19" s="296"/>
      <c r="J19" s="296"/>
      <c r="K19" s="296"/>
      <c r="L19" s="296"/>
      <c r="M19" s="296"/>
      <c r="N19" s="317">
        <v>8.9300000000000004E-2</v>
      </c>
      <c r="O19" s="296"/>
    </row>
    <row r="20" spans="1:15" ht="15.65" x14ac:dyDescent="0.3">
      <c r="A20" s="153" t="s">
        <v>306</v>
      </c>
      <c r="B20" s="161">
        <f t="shared" ref="B20:F20" si="2">B$2*$I$2</f>
        <v>3929400</v>
      </c>
      <c r="C20" s="161">
        <f t="shared" si="2"/>
        <v>4693450</v>
      </c>
      <c r="D20" s="161">
        <f t="shared" si="2"/>
        <v>5675800</v>
      </c>
      <c r="E20" s="161">
        <f t="shared" si="2"/>
        <v>5130050</v>
      </c>
      <c r="F20" s="136">
        <f t="shared" si="2"/>
        <v>4802600</v>
      </c>
      <c r="G20" s="296"/>
      <c r="H20" s="296"/>
      <c r="I20" s="296"/>
      <c r="J20" s="296"/>
      <c r="K20" s="296"/>
      <c r="L20" s="296"/>
      <c r="M20" s="296"/>
      <c r="N20" s="317">
        <v>4.4600000000000001E-2</v>
      </c>
      <c r="O20" s="296"/>
    </row>
    <row r="21" spans="1:15" ht="15.65" x14ac:dyDescent="0.3">
      <c r="A21" s="153" t="s">
        <v>307</v>
      </c>
      <c r="B21" s="145">
        <f t="shared" ref="B21:F21" si="3">B$3*$I$7</f>
        <v>-430000</v>
      </c>
      <c r="C21" s="145">
        <f t="shared" si="3"/>
        <v>-430000</v>
      </c>
      <c r="D21" s="145">
        <f t="shared" si="3"/>
        <v>-430000</v>
      </c>
      <c r="E21" s="145">
        <f t="shared" si="3"/>
        <v>-430000</v>
      </c>
      <c r="F21" s="130">
        <f t="shared" si="3"/>
        <v>-430000</v>
      </c>
      <c r="G21" s="296"/>
      <c r="H21" s="296"/>
      <c r="I21" s="296"/>
      <c r="J21" s="296"/>
      <c r="K21" s="296"/>
      <c r="L21" s="296"/>
      <c r="M21" s="296"/>
      <c r="N21" s="296"/>
      <c r="O21" s="296"/>
    </row>
    <row r="22" spans="1:15" ht="15.65" x14ac:dyDescent="0.3">
      <c r="A22" s="164" t="s">
        <v>75</v>
      </c>
      <c r="B22" s="319">
        <f>SUM(B20:B21)</f>
        <v>3499400</v>
      </c>
      <c r="C22" s="319">
        <f t="shared" ref="C22:F22" si="4">SUM(C20:C21)</f>
        <v>4263450</v>
      </c>
      <c r="D22" s="319">
        <f t="shared" si="4"/>
        <v>5245800</v>
      </c>
      <c r="E22" s="319">
        <f t="shared" si="4"/>
        <v>4700050</v>
      </c>
      <c r="F22" s="319">
        <f t="shared" si="4"/>
        <v>4372600</v>
      </c>
      <c r="G22" s="296"/>
      <c r="H22" s="296"/>
      <c r="I22" s="296"/>
      <c r="J22" s="296"/>
      <c r="K22" s="296"/>
      <c r="L22" s="296"/>
      <c r="M22" s="296"/>
      <c r="N22" s="296"/>
      <c r="O22" s="296"/>
    </row>
    <row r="23" spans="1:15" ht="15.65" x14ac:dyDescent="0.3">
      <c r="A23" s="246"/>
      <c r="B23" s="318"/>
      <c r="C23" s="318"/>
      <c r="D23" s="318"/>
      <c r="E23" s="318"/>
      <c r="F23" s="318"/>
      <c r="G23" s="296"/>
      <c r="H23" s="296"/>
      <c r="I23" s="296"/>
      <c r="J23" s="296"/>
      <c r="K23" s="296"/>
      <c r="L23" s="296"/>
      <c r="M23" s="296"/>
      <c r="N23" s="296"/>
      <c r="O23" s="296"/>
    </row>
    <row r="24" spans="1:15" ht="15.65" x14ac:dyDescent="0.3">
      <c r="A24" s="296"/>
      <c r="B24" s="323" t="s">
        <v>11</v>
      </c>
      <c r="C24" s="323" t="s">
        <v>12</v>
      </c>
      <c r="D24" s="323" t="s">
        <v>13</v>
      </c>
      <c r="E24" s="323" t="s">
        <v>14</v>
      </c>
      <c r="F24" s="323" t="s">
        <v>41</v>
      </c>
      <c r="G24" s="296"/>
      <c r="H24" s="296"/>
      <c r="I24" s="296"/>
      <c r="J24" s="296"/>
      <c r="K24" s="296"/>
      <c r="L24" s="296"/>
      <c r="M24" s="296"/>
      <c r="N24" s="296"/>
      <c r="O24" s="296"/>
    </row>
    <row r="25" spans="1:15" ht="15.65" x14ac:dyDescent="0.3">
      <c r="A25" s="321" t="s">
        <v>74</v>
      </c>
      <c r="B25" s="151">
        <f>B$4</f>
        <v>9545000</v>
      </c>
      <c r="C25" s="151">
        <f t="shared" ref="C25:F25" si="5">C$4</f>
        <v>11610000</v>
      </c>
      <c r="D25" s="151">
        <f t="shared" si="5"/>
        <v>14265000</v>
      </c>
      <c r="E25" s="151">
        <f t="shared" si="5"/>
        <v>12790000</v>
      </c>
      <c r="F25" s="151">
        <f t="shared" si="5"/>
        <v>11905000</v>
      </c>
      <c r="G25" s="296"/>
      <c r="H25" s="296"/>
      <c r="I25" s="296"/>
      <c r="J25" s="296"/>
      <c r="K25" s="296"/>
      <c r="L25" s="296"/>
      <c r="M25" s="296"/>
      <c r="N25" s="296"/>
      <c r="O25" s="296"/>
    </row>
    <row r="26" spans="1:15" ht="15.65" x14ac:dyDescent="0.3">
      <c r="A26" s="153" t="s">
        <v>211</v>
      </c>
      <c r="B26" s="322">
        <f>B$22</f>
        <v>3499400</v>
      </c>
      <c r="C26" s="322">
        <f t="shared" ref="C26:F26" si="6">C$22</f>
        <v>4263450</v>
      </c>
      <c r="D26" s="322">
        <f t="shared" si="6"/>
        <v>5245800</v>
      </c>
      <c r="E26" s="322">
        <f t="shared" si="6"/>
        <v>4700050</v>
      </c>
      <c r="F26" s="322">
        <f t="shared" si="6"/>
        <v>4372600</v>
      </c>
      <c r="G26" s="296"/>
      <c r="H26" s="296"/>
      <c r="I26" s="296"/>
      <c r="J26" s="296"/>
      <c r="K26" s="296"/>
      <c r="L26" s="296"/>
      <c r="M26" s="296"/>
      <c r="N26" s="296"/>
      <c r="O26" s="296"/>
    </row>
    <row r="27" spans="1:15" ht="15.65" x14ac:dyDescent="0.3">
      <c r="A27" s="153" t="s">
        <v>76</v>
      </c>
      <c r="B27" s="322">
        <f>$I$3</f>
        <v>2050000</v>
      </c>
      <c r="C27" s="322">
        <f t="shared" ref="C27:F27" si="7">$I$3</f>
        <v>2050000</v>
      </c>
      <c r="D27" s="322">
        <f t="shared" si="7"/>
        <v>2050000</v>
      </c>
      <c r="E27" s="322">
        <f t="shared" si="7"/>
        <v>2050000</v>
      </c>
      <c r="F27" s="322">
        <f t="shared" si="7"/>
        <v>2050000</v>
      </c>
      <c r="G27" s="296"/>
      <c r="H27" s="296"/>
      <c r="I27" s="296"/>
      <c r="J27" s="296"/>
      <c r="K27" s="296"/>
      <c r="L27" s="296"/>
      <c r="M27" s="296"/>
      <c r="N27" s="296"/>
      <c r="O27" s="296"/>
    </row>
    <row r="28" spans="1:15" ht="15.65" x14ac:dyDescent="0.3">
      <c r="A28" s="153" t="s">
        <v>213</v>
      </c>
      <c r="B28" s="322">
        <v>0</v>
      </c>
      <c r="C28" s="322">
        <v>0</v>
      </c>
      <c r="D28" s="322">
        <f>D$6</f>
        <v>2798400</v>
      </c>
      <c r="E28" s="322">
        <f t="shared" ref="E28:F28" si="8">E$6</f>
        <v>1998400</v>
      </c>
      <c r="F28" s="322">
        <f t="shared" si="8"/>
        <v>1428800</v>
      </c>
      <c r="G28" s="296"/>
      <c r="H28" s="296"/>
      <c r="I28" s="296"/>
      <c r="J28" s="296"/>
      <c r="K28" s="296"/>
      <c r="L28" s="296"/>
      <c r="M28" s="296"/>
      <c r="N28" s="296"/>
      <c r="O28" s="296"/>
    </row>
    <row r="29" spans="1:15" ht="15.65" x14ac:dyDescent="0.3">
      <c r="A29" s="153" t="s">
        <v>84</v>
      </c>
      <c r="B29" s="322">
        <f t="shared" ref="B29:F29" si="9">B$25-B$26-B$27-B$28</f>
        <v>3995600</v>
      </c>
      <c r="C29" s="322">
        <f t="shared" si="9"/>
        <v>5296550</v>
      </c>
      <c r="D29" s="322">
        <f t="shared" si="9"/>
        <v>4170800</v>
      </c>
      <c r="E29" s="322">
        <f t="shared" si="9"/>
        <v>4041550</v>
      </c>
      <c r="F29" s="322">
        <f t="shared" si="9"/>
        <v>4053600</v>
      </c>
      <c r="G29" s="296"/>
      <c r="H29" s="296"/>
      <c r="I29" s="296"/>
      <c r="J29" s="296"/>
      <c r="K29" s="296"/>
      <c r="L29" s="296"/>
      <c r="M29" s="296"/>
      <c r="N29" s="296"/>
      <c r="O29" s="296"/>
    </row>
    <row r="30" spans="1:15" ht="15.65" x14ac:dyDescent="0.3">
      <c r="A30" s="153" t="s">
        <v>23</v>
      </c>
      <c r="B30" s="322">
        <f t="shared" ref="B30:F30" si="10">B$29*$I$14</f>
        <v>839076</v>
      </c>
      <c r="C30" s="322">
        <f t="shared" si="10"/>
        <v>1112275.5</v>
      </c>
      <c r="D30" s="322">
        <f t="shared" si="10"/>
        <v>875868</v>
      </c>
      <c r="E30" s="322">
        <f t="shared" si="10"/>
        <v>848725.5</v>
      </c>
      <c r="F30" s="322">
        <f t="shared" si="10"/>
        <v>851256</v>
      </c>
      <c r="G30" s="296"/>
      <c r="H30" s="296"/>
      <c r="I30" s="296"/>
      <c r="J30" s="296"/>
      <c r="K30" s="296"/>
      <c r="L30" s="296"/>
      <c r="M30" s="296"/>
      <c r="N30" s="296"/>
      <c r="O30" s="296"/>
    </row>
    <row r="31" spans="1:15" ht="15.65" x14ac:dyDescent="0.3">
      <c r="A31" s="153" t="s">
        <v>48</v>
      </c>
      <c r="B31" s="322">
        <f t="shared" ref="B31:F31" si="11">B$29-B$30</f>
        <v>3156524</v>
      </c>
      <c r="C31" s="322">
        <f t="shared" si="11"/>
        <v>4184274.5</v>
      </c>
      <c r="D31" s="322">
        <f t="shared" si="11"/>
        <v>3294932</v>
      </c>
      <c r="E31" s="322">
        <f t="shared" si="11"/>
        <v>3192824.5</v>
      </c>
      <c r="F31" s="322">
        <f t="shared" si="11"/>
        <v>3202344</v>
      </c>
      <c r="G31" s="296"/>
      <c r="H31" s="296"/>
      <c r="I31" s="296"/>
      <c r="J31" s="296"/>
      <c r="K31" s="296"/>
      <c r="L31" s="296"/>
      <c r="M31" s="296"/>
      <c r="N31" s="296"/>
      <c r="O31" s="296"/>
    </row>
    <row r="32" spans="1:15" ht="15.65" x14ac:dyDescent="0.3">
      <c r="A32" s="153" t="s">
        <v>20</v>
      </c>
      <c r="B32" s="322">
        <f t="shared" ref="B32:F32" si="12">B$29+B$28-B$30</f>
        <v>3156524</v>
      </c>
      <c r="C32" s="322">
        <f t="shared" si="12"/>
        <v>4184274.5</v>
      </c>
      <c r="D32" s="322">
        <f t="shared" si="12"/>
        <v>6093332</v>
      </c>
      <c r="E32" s="322">
        <f t="shared" si="12"/>
        <v>5191224.5</v>
      </c>
      <c r="F32" s="322">
        <f t="shared" si="12"/>
        <v>4631144</v>
      </c>
      <c r="G32" s="296"/>
      <c r="H32" s="296"/>
      <c r="I32" s="296"/>
      <c r="J32" s="296"/>
      <c r="K32" s="296"/>
      <c r="L32" s="296"/>
      <c r="M32" s="296"/>
      <c r="N32" s="296"/>
      <c r="O32" s="296"/>
    </row>
    <row r="33" spans="1:15" ht="15.65" x14ac:dyDescent="0.3">
      <c r="A33" s="296"/>
      <c r="B33" s="296"/>
      <c r="C33" s="296"/>
      <c r="D33" s="296"/>
      <c r="E33" s="296"/>
      <c r="F33" s="296"/>
      <c r="G33" s="296"/>
      <c r="H33" s="296"/>
      <c r="I33" s="296"/>
      <c r="J33" s="296"/>
      <c r="K33" s="296"/>
      <c r="L33" s="296"/>
      <c r="M33" s="296"/>
      <c r="N33" s="296"/>
      <c r="O33" s="296"/>
    </row>
    <row r="34" spans="1:15" ht="15.65" x14ac:dyDescent="0.3">
      <c r="A34" s="296"/>
      <c r="B34" s="235" t="s">
        <v>72</v>
      </c>
      <c r="C34" s="235" t="s">
        <v>97</v>
      </c>
      <c r="D34" s="235" t="s">
        <v>98</v>
      </c>
      <c r="E34" s="235" t="s">
        <v>99</v>
      </c>
      <c r="F34" s="235" t="s">
        <v>100</v>
      </c>
      <c r="G34" s="296"/>
      <c r="H34" s="296"/>
      <c r="I34" s="296"/>
      <c r="J34" s="296"/>
      <c r="K34" s="296"/>
      <c r="L34" s="296"/>
      <c r="M34" s="296"/>
      <c r="N34" s="296"/>
      <c r="O34" s="296"/>
    </row>
    <row r="35" spans="1:15" ht="15.65" x14ac:dyDescent="0.3">
      <c r="A35" s="153" t="s">
        <v>328</v>
      </c>
      <c r="B35" s="161">
        <f>(B$2*$I$4)+(B$3*$I$8)</f>
        <v>954500</v>
      </c>
      <c r="C35" s="161">
        <f t="shared" ref="C35:F35" si="13">(C$2*$I$4)+(C$3*$I$8)</f>
        <v>1161000</v>
      </c>
      <c r="D35" s="161">
        <f t="shared" si="13"/>
        <v>1426500</v>
      </c>
      <c r="E35" s="161">
        <f t="shared" si="13"/>
        <v>1279000</v>
      </c>
      <c r="F35" s="161">
        <f t="shared" si="13"/>
        <v>1190500</v>
      </c>
      <c r="G35" s="296"/>
      <c r="H35" s="296"/>
      <c r="I35" s="296"/>
      <c r="J35" s="296"/>
      <c r="K35" s="296"/>
      <c r="L35" s="296"/>
      <c r="M35" s="296"/>
      <c r="N35" s="296"/>
      <c r="O35" s="296"/>
    </row>
    <row r="36" spans="1:15" ht="15.65" x14ac:dyDescent="0.3">
      <c r="A36" s="153" t="s">
        <v>329</v>
      </c>
      <c r="B36" s="324">
        <f>C$35</f>
        <v>1161000</v>
      </c>
      <c r="C36" s="324">
        <f t="shared" ref="C36:F36" si="14">D$35</f>
        <v>1426500</v>
      </c>
      <c r="D36" s="324">
        <f t="shared" si="14"/>
        <v>1279000</v>
      </c>
      <c r="E36" s="324">
        <f t="shared" si="14"/>
        <v>1190500</v>
      </c>
      <c r="F36" s="324">
        <f t="shared" si="14"/>
        <v>0</v>
      </c>
      <c r="G36" s="296"/>
      <c r="H36" s="296"/>
      <c r="I36" s="296"/>
      <c r="J36" s="296"/>
      <c r="K36" s="296"/>
      <c r="L36" s="296"/>
      <c r="M36" s="296"/>
      <c r="N36" s="296"/>
      <c r="O36" s="296"/>
    </row>
    <row r="37" spans="1:15" ht="15.65" x14ac:dyDescent="0.3">
      <c r="A37" s="325" t="s">
        <v>325</v>
      </c>
      <c r="B37" s="325"/>
      <c r="C37" s="325"/>
      <c r="D37" s="325"/>
      <c r="E37" s="325"/>
      <c r="F37" s="326">
        <f>-B9</f>
        <v>-107500</v>
      </c>
      <c r="G37" s="296"/>
      <c r="H37" s="296"/>
      <c r="I37" s="296"/>
      <c r="J37" s="296"/>
      <c r="K37" s="296"/>
      <c r="L37" s="296"/>
      <c r="M37" s="296"/>
      <c r="N37" s="296"/>
      <c r="O37" s="296"/>
    </row>
    <row r="38" spans="1:15" ht="15.65" x14ac:dyDescent="0.3">
      <c r="A38" s="114" t="s">
        <v>330</v>
      </c>
      <c r="B38" s="327">
        <f t="shared" ref="B38:F38" si="15">B$35-B$36</f>
        <v>-206500</v>
      </c>
      <c r="C38" s="327">
        <f t="shared" si="15"/>
        <v>-265500</v>
      </c>
      <c r="D38" s="327">
        <f t="shared" si="15"/>
        <v>147500</v>
      </c>
      <c r="E38" s="327">
        <f t="shared" si="15"/>
        <v>88500</v>
      </c>
      <c r="F38" s="327">
        <f t="shared" si="15"/>
        <v>1190500</v>
      </c>
      <c r="G38" s="296"/>
      <c r="H38" s="296"/>
      <c r="I38" s="296"/>
      <c r="J38" s="296"/>
      <c r="K38" s="296"/>
      <c r="L38" s="296"/>
      <c r="M38" s="296"/>
      <c r="N38" s="296"/>
      <c r="O38" s="296"/>
    </row>
    <row r="39" spans="1:15" ht="15.65" x14ac:dyDescent="0.3">
      <c r="A39" s="296"/>
      <c r="B39" s="296"/>
      <c r="C39" s="296"/>
      <c r="D39" s="296"/>
      <c r="E39" s="296"/>
      <c r="F39" s="296"/>
      <c r="G39" s="296"/>
      <c r="H39" s="296"/>
      <c r="I39" s="296"/>
      <c r="J39" s="296"/>
      <c r="K39" s="296"/>
      <c r="L39" s="296"/>
      <c r="M39" s="296"/>
      <c r="N39" s="296"/>
      <c r="O39" s="296"/>
    </row>
    <row r="40" spans="1:15" ht="15.65" x14ac:dyDescent="0.3">
      <c r="A40" s="253"/>
      <c r="B40" s="235" t="s">
        <v>72</v>
      </c>
      <c r="C40" s="235" t="s">
        <v>97</v>
      </c>
      <c r="D40" s="235" t="s">
        <v>98</v>
      </c>
      <c r="E40" s="235" t="s">
        <v>99</v>
      </c>
      <c r="F40" s="235" t="s">
        <v>100</v>
      </c>
      <c r="G40" s="296"/>
      <c r="H40" s="296"/>
      <c r="I40" s="296"/>
      <c r="J40" s="296"/>
      <c r="K40" s="296"/>
      <c r="L40" s="296"/>
      <c r="M40" s="296"/>
      <c r="N40" s="296"/>
      <c r="O40" s="296"/>
    </row>
    <row r="41" spans="1:15" ht="15.65" x14ac:dyDescent="0.3">
      <c r="A41" s="153" t="s">
        <v>20</v>
      </c>
      <c r="B41" s="136">
        <f>B$32</f>
        <v>3156524</v>
      </c>
      <c r="C41" s="136">
        <f t="shared" ref="C41:F41" si="16">C$32</f>
        <v>4184274.5</v>
      </c>
      <c r="D41" s="136">
        <f t="shared" si="16"/>
        <v>6093332</v>
      </c>
      <c r="E41" s="136">
        <f t="shared" si="16"/>
        <v>5191224.5</v>
      </c>
      <c r="F41" s="136">
        <f t="shared" si="16"/>
        <v>4631144</v>
      </c>
      <c r="G41" s="296"/>
      <c r="H41" s="296"/>
      <c r="I41" s="296"/>
      <c r="J41" s="296"/>
      <c r="K41" s="296"/>
      <c r="L41" s="296"/>
      <c r="M41" s="296"/>
      <c r="N41" s="296"/>
      <c r="O41" s="296"/>
    </row>
    <row r="42" spans="1:15" ht="15.65" x14ac:dyDescent="0.3">
      <c r="A42" s="153" t="s">
        <v>266</v>
      </c>
      <c r="B42" s="328">
        <v>0</v>
      </c>
      <c r="C42" s="145">
        <f>I11</f>
        <v>-16000000</v>
      </c>
      <c r="D42" s="329">
        <v>0</v>
      </c>
      <c r="E42" s="329">
        <v>0</v>
      </c>
      <c r="F42" s="140">
        <f>B17</f>
        <v>5261328</v>
      </c>
      <c r="G42" s="296"/>
      <c r="H42" s="296"/>
      <c r="I42" s="296"/>
      <c r="J42" s="296"/>
      <c r="K42" s="296"/>
      <c r="L42" s="296"/>
      <c r="M42" s="296"/>
      <c r="N42" s="296"/>
      <c r="O42" s="296"/>
    </row>
    <row r="43" spans="1:15" ht="15.65" x14ac:dyDescent="0.3">
      <c r="A43" s="153" t="s">
        <v>331</v>
      </c>
      <c r="B43" s="137">
        <f>B$38</f>
        <v>-206500</v>
      </c>
      <c r="C43" s="137">
        <f t="shared" ref="C43:F43" si="17">C$38</f>
        <v>-265500</v>
      </c>
      <c r="D43" s="137">
        <f t="shared" si="17"/>
        <v>147500</v>
      </c>
      <c r="E43" s="137">
        <f t="shared" si="17"/>
        <v>88500</v>
      </c>
      <c r="F43" s="137">
        <f t="shared" si="17"/>
        <v>1190500</v>
      </c>
      <c r="G43" s="296"/>
      <c r="H43" s="296"/>
      <c r="I43" s="296"/>
      <c r="J43" s="296"/>
      <c r="K43" s="296"/>
      <c r="L43" s="296"/>
      <c r="M43" s="296"/>
      <c r="N43" s="296"/>
      <c r="O43" s="296"/>
    </row>
    <row r="44" spans="1:15" ht="15.65" x14ac:dyDescent="0.3">
      <c r="A44" s="164" t="s">
        <v>151</v>
      </c>
      <c r="B44" s="330">
        <f>SUM(B$41:B$43)</f>
        <v>2950024</v>
      </c>
      <c r="C44" s="330">
        <f t="shared" ref="C44:F44" si="18">SUM(C$41:C$43)</f>
        <v>-12081225.5</v>
      </c>
      <c r="D44" s="330">
        <f t="shared" si="18"/>
        <v>6240832</v>
      </c>
      <c r="E44" s="330">
        <f t="shared" si="18"/>
        <v>5279724.5</v>
      </c>
      <c r="F44" s="330">
        <f t="shared" si="18"/>
        <v>11082972</v>
      </c>
      <c r="G44" s="296"/>
      <c r="H44" s="296"/>
      <c r="I44" s="296"/>
      <c r="J44" s="296"/>
      <c r="K44" s="296"/>
      <c r="L44" s="296"/>
      <c r="M44" s="296"/>
      <c r="N44" s="296"/>
      <c r="O44" s="296"/>
    </row>
    <row r="45" spans="1:15" ht="15.65" x14ac:dyDescent="0.3">
      <c r="A45" s="296"/>
      <c r="B45" s="296"/>
      <c r="C45" s="296"/>
      <c r="D45" s="296"/>
      <c r="E45" s="296"/>
      <c r="F45" s="296"/>
      <c r="G45" s="296"/>
      <c r="H45" s="296"/>
      <c r="I45" s="296"/>
      <c r="J45" s="296"/>
      <c r="K45" s="296"/>
      <c r="L45" s="296"/>
      <c r="M45" s="296"/>
      <c r="N45" s="296"/>
      <c r="O45" s="296"/>
    </row>
    <row r="46" spans="1:15" ht="15.65" x14ac:dyDescent="0.3">
      <c r="A46" s="153" t="s">
        <v>9</v>
      </c>
      <c r="B46" s="270">
        <f>NPV($I$15,$B$44:$F$44)+$B$10</f>
        <v>6516150.7282843711</v>
      </c>
      <c r="C46" s="296"/>
      <c r="D46" s="296"/>
      <c r="E46" s="296"/>
      <c r="F46" s="296"/>
      <c r="G46" s="296"/>
      <c r="H46" s="296"/>
      <c r="I46" s="296"/>
      <c r="J46" s="296"/>
      <c r="K46" s="296"/>
      <c r="L46" s="296"/>
      <c r="M46" s="296"/>
      <c r="N46" s="296"/>
      <c r="O46" s="296"/>
    </row>
    <row r="47" spans="1:15" ht="15.65" x14ac:dyDescent="0.3">
      <c r="A47" s="296"/>
      <c r="B47" s="296"/>
    </row>
    <row r="48" spans="1:15" ht="15.65" x14ac:dyDescent="0.3">
      <c r="A48" s="296"/>
      <c r="B48" s="296"/>
    </row>
    <row r="49" spans="1:2" ht="15.65" x14ac:dyDescent="0.3">
      <c r="A49" s="296"/>
      <c r="B49" s="296"/>
    </row>
    <row r="50" spans="1:2" ht="15.65" x14ac:dyDescent="0.3">
      <c r="A50" s="296"/>
      <c r="B50" s="2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C150-2991-40D4-8260-A875348972B5}">
  <dimension ref="A1:N43"/>
  <sheetViews>
    <sheetView showGridLines="0" topLeftCell="F3" zoomScale="145" zoomScaleNormal="145" workbookViewId="0">
      <selection activeCell="N3" sqref="N3"/>
    </sheetView>
  </sheetViews>
  <sheetFormatPr defaultRowHeight="15.05" x14ac:dyDescent="0.3"/>
  <cols>
    <col min="1" max="1" width="22.5546875" bestFit="1" customWidth="1"/>
    <col min="2" max="2" width="14" bestFit="1" customWidth="1"/>
    <col min="3" max="4" width="11.33203125" bestFit="1" customWidth="1"/>
    <col min="5" max="5" width="10.88671875" bestFit="1" customWidth="1"/>
    <col min="6" max="6" width="12.109375" bestFit="1" customWidth="1"/>
    <col min="7" max="7" width="9.88671875" bestFit="1" customWidth="1"/>
    <col min="8" max="8" width="7.44140625" bestFit="1" customWidth="1"/>
    <col min="9" max="9" width="5.88671875" bestFit="1" customWidth="1"/>
    <col min="10" max="10" width="20.21875" bestFit="1" customWidth="1"/>
    <col min="11" max="11" width="10.44140625" bestFit="1" customWidth="1"/>
    <col min="12" max="12" width="7.77734375" customWidth="1"/>
  </cols>
  <sheetData>
    <row r="1" spans="1:14" ht="15.65" x14ac:dyDescent="0.3">
      <c r="A1" s="32"/>
      <c r="B1" s="332" t="s">
        <v>72</v>
      </c>
      <c r="C1" s="333" t="s">
        <v>97</v>
      </c>
      <c r="D1" s="333" t="s">
        <v>98</v>
      </c>
      <c r="E1" s="333" t="s">
        <v>99</v>
      </c>
      <c r="F1" s="154"/>
      <c r="G1" s="331" t="s">
        <v>219</v>
      </c>
      <c r="H1" s="331" t="s">
        <v>332</v>
      </c>
      <c r="J1" s="336" t="s">
        <v>44</v>
      </c>
      <c r="K1" s="337">
        <v>0.12</v>
      </c>
      <c r="L1" s="338"/>
      <c r="M1" s="338"/>
    </row>
    <row r="2" spans="1:14" ht="15.65" x14ac:dyDescent="0.3">
      <c r="A2" s="153" t="s">
        <v>204</v>
      </c>
      <c r="B2" s="136">
        <f t="shared" ref="B2:E2" si="0">$K$3*$K$4</f>
        <v>43000000</v>
      </c>
      <c r="C2" s="136">
        <f t="shared" si="0"/>
        <v>43000000</v>
      </c>
      <c r="D2" s="136">
        <f t="shared" si="0"/>
        <v>43000000</v>
      </c>
      <c r="E2" s="136">
        <f t="shared" si="0"/>
        <v>43000000</v>
      </c>
      <c r="F2" s="155"/>
      <c r="G2" s="167">
        <v>1</v>
      </c>
      <c r="H2" s="168">
        <v>620000</v>
      </c>
      <c r="J2" s="336" t="s">
        <v>201</v>
      </c>
      <c r="K2" s="337">
        <v>0.25</v>
      </c>
      <c r="L2" s="338"/>
      <c r="M2" s="338"/>
    </row>
    <row r="3" spans="1:14" ht="15.65" x14ac:dyDescent="0.3">
      <c r="A3" s="153" t="s">
        <v>205</v>
      </c>
      <c r="B3" s="151">
        <f t="array" ref="B3:E3">TRANSPOSE(($H$2:$H$5)-$K$3)*$K$5</f>
        <v>9240000</v>
      </c>
      <c r="C3" s="151">
        <v>13860000</v>
      </c>
      <c r="D3" s="151">
        <v>17710000</v>
      </c>
      <c r="E3" s="151">
        <v>6930000</v>
      </c>
      <c r="F3" s="156"/>
      <c r="G3" s="167">
        <v>2</v>
      </c>
      <c r="H3" s="168">
        <v>680000</v>
      </c>
      <c r="J3" s="336" t="s">
        <v>333</v>
      </c>
      <c r="K3" s="339">
        <v>500000</v>
      </c>
      <c r="L3" s="338" t="s">
        <v>334</v>
      </c>
      <c r="M3" s="338"/>
    </row>
    <row r="4" spans="1:14" ht="15.65" x14ac:dyDescent="0.3">
      <c r="A4" s="153" t="s">
        <v>151</v>
      </c>
      <c r="B4" s="152">
        <f>SUM(B2:B3)</f>
        <v>52240000</v>
      </c>
      <c r="C4" s="152">
        <f t="shared" ref="C4:E4" si="1">SUM(C2:C3)</f>
        <v>56860000</v>
      </c>
      <c r="D4" s="152">
        <f t="shared" si="1"/>
        <v>60710000</v>
      </c>
      <c r="E4" s="152">
        <f t="shared" si="1"/>
        <v>49930000</v>
      </c>
      <c r="F4" s="157"/>
      <c r="G4" s="167">
        <v>3</v>
      </c>
      <c r="H4" s="168">
        <v>730000</v>
      </c>
      <c r="J4" s="336" t="s">
        <v>228</v>
      </c>
      <c r="K4" s="340">
        <v>86</v>
      </c>
      <c r="L4" s="338" t="s">
        <v>335</v>
      </c>
      <c r="M4" s="338"/>
    </row>
    <row r="5" spans="1:14" ht="15.65" x14ac:dyDescent="0.3">
      <c r="G5" s="167">
        <v>4</v>
      </c>
      <c r="H5" s="168">
        <v>590000</v>
      </c>
      <c r="J5" s="336" t="s">
        <v>228</v>
      </c>
      <c r="K5" s="340">
        <v>77</v>
      </c>
      <c r="L5" s="338" t="s">
        <v>336</v>
      </c>
      <c r="M5" s="338"/>
    </row>
    <row r="6" spans="1:14" ht="15.65" x14ac:dyDescent="0.3">
      <c r="A6" s="111" t="s">
        <v>206</v>
      </c>
      <c r="B6" s="110">
        <v>-95000000</v>
      </c>
      <c r="J6" s="336" t="s">
        <v>26</v>
      </c>
      <c r="K6" s="337">
        <v>0.05</v>
      </c>
      <c r="L6" s="338" t="s">
        <v>337</v>
      </c>
      <c r="M6" s="338"/>
    </row>
    <row r="7" spans="1:14" ht="15.65" x14ac:dyDescent="0.3">
      <c r="A7" s="111" t="s">
        <v>207</v>
      </c>
      <c r="B7" s="110">
        <v>-6500000</v>
      </c>
      <c r="J7" s="336" t="s">
        <v>211</v>
      </c>
      <c r="K7" s="340">
        <v>31</v>
      </c>
      <c r="L7" s="338"/>
      <c r="M7" s="338"/>
    </row>
    <row r="8" spans="1:14" ht="15.65" x14ac:dyDescent="0.3">
      <c r="A8" s="111" t="s">
        <v>208</v>
      </c>
      <c r="B8" s="110">
        <f>-B4*$K$6</f>
        <v>-2612000</v>
      </c>
      <c r="J8" s="336" t="s">
        <v>212</v>
      </c>
      <c r="K8" s="340">
        <v>4100000</v>
      </c>
      <c r="L8" s="338"/>
      <c r="M8" s="338"/>
    </row>
    <row r="9" spans="1:14" ht="15.65" x14ac:dyDescent="0.3">
      <c r="A9" s="114" t="s">
        <v>209</v>
      </c>
      <c r="B9" s="110">
        <f>SUM(B6:B8)</f>
        <v>-104112000</v>
      </c>
      <c r="J9" s="336" t="s">
        <v>338</v>
      </c>
      <c r="K9" s="340">
        <v>2700000</v>
      </c>
      <c r="L9" s="338"/>
      <c r="M9" s="338"/>
    </row>
    <row r="10" spans="1:14" ht="15.65" x14ac:dyDescent="0.3">
      <c r="J10" s="336" t="s">
        <v>339</v>
      </c>
      <c r="K10" s="340">
        <v>6000000</v>
      </c>
      <c r="L10" s="338" t="s">
        <v>340</v>
      </c>
      <c r="M10" s="338"/>
    </row>
    <row r="11" spans="1:14" ht="15.65" x14ac:dyDescent="0.3">
      <c r="A11" s="32"/>
      <c r="B11" s="335" t="s">
        <v>72</v>
      </c>
      <c r="C11" s="335" t="s">
        <v>97</v>
      </c>
      <c r="D11" s="335" t="s">
        <v>98</v>
      </c>
      <c r="E11" s="335" t="s">
        <v>99</v>
      </c>
      <c r="F11" s="335" t="s">
        <v>100</v>
      </c>
      <c r="G11" s="335" t="s">
        <v>210</v>
      </c>
      <c r="J11" s="336" t="s">
        <v>303</v>
      </c>
      <c r="K11" s="337">
        <v>0.6</v>
      </c>
      <c r="L11" s="338" t="s">
        <v>343</v>
      </c>
      <c r="M11" s="338"/>
    </row>
    <row r="12" spans="1:14" ht="15.65" x14ac:dyDescent="0.3">
      <c r="A12" s="153" t="s">
        <v>74</v>
      </c>
      <c r="B12" s="136">
        <f>B$4</f>
        <v>52240000</v>
      </c>
      <c r="C12" s="136">
        <f t="shared" ref="C12:E12" si="2">C$4</f>
        <v>56860000</v>
      </c>
      <c r="D12" s="136">
        <f t="shared" si="2"/>
        <v>60710000</v>
      </c>
      <c r="E12" s="136">
        <f t="shared" si="2"/>
        <v>49930000</v>
      </c>
      <c r="F12" s="158"/>
      <c r="G12" s="158"/>
    </row>
    <row r="13" spans="1:14" ht="15.65" x14ac:dyDescent="0.3">
      <c r="A13" s="153" t="s">
        <v>211</v>
      </c>
      <c r="B13" s="140">
        <f t="array" ref="B13:E13">TRANSPOSE($H$2:$H$5*$K$7)</f>
        <v>19220000</v>
      </c>
      <c r="C13" s="140">
        <v>21080000</v>
      </c>
      <c r="D13" s="140">
        <v>22630000</v>
      </c>
      <c r="E13" s="140">
        <v>18290000</v>
      </c>
      <c r="F13" s="158"/>
      <c r="G13" s="158"/>
    </row>
    <row r="14" spans="1:14" ht="15.65" x14ac:dyDescent="0.3">
      <c r="A14" s="153" t="s">
        <v>212</v>
      </c>
      <c r="B14" s="140">
        <f>$K$8</f>
        <v>4100000</v>
      </c>
      <c r="C14" s="140">
        <f t="shared" ref="C14:E14" si="3">$K$8</f>
        <v>4100000</v>
      </c>
      <c r="D14" s="140">
        <f t="shared" si="3"/>
        <v>4100000</v>
      </c>
      <c r="E14" s="140">
        <f t="shared" si="3"/>
        <v>4100000</v>
      </c>
      <c r="F14" s="161">
        <f>$K$9</f>
        <v>2700000</v>
      </c>
      <c r="G14" s="158"/>
    </row>
    <row r="15" spans="1:14" ht="15.65" x14ac:dyDescent="0.3">
      <c r="A15" s="153" t="s">
        <v>213</v>
      </c>
      <c r="B15" s="140">
        <f>-$B$6*K$15</f>
        <v>13575500</v>
      </c>
      <c r="C15" s="140">
        <f>-$B$6*L$15</f>
        <v>23265500</v>
      </c>
      <c r="D15" s="140">
        <f>-$B$6*M$15</f>
        <v>16615500</v>
      </c>
      <c r="E15" s="140">
        <f>-$B$6*N$15</f>
        <v>11865500</v>
      </c>
      <c r="F15" s="158"/>
      <c r="G15" s="158"/>
      <c r="K15" s="28">
        <v>0.1429</v>
      </c>
      <c r="L15" s="28">
        <v>0.24490000000000001</v>
      </c>
      <c r="M15" s="28">
        <v>0.1749</v>
      </c>
      <c r="N15" s="28">
        <v>0.1249</v>
      </c>
    </row>
    <row r="16" spans="1:14" ht="15.65" x14ac:dyDescent="0.3">
      <c r="A16" s="164" t="s">
        <v>84</v>
      </c>
      <c r="B16" s="136">
        <f>B$12-B$13-B$14-B$15</f>
        <v>15344500</v>
      </c>
      <c r="C16" s="136">
        <f t="shared" ref="C16:F16" si="4">C$12-C$13-C$14-C$15</f>
        <v>8414500</v>
      </c>
      <c r="D16" s="136">
        <f t="shared" si="4"/>
        <v>17364500</v>
      </c>
      <c r="E16" s="136">
        <f t="shared" si="4"/>
        <v>15674500</v>
      </c>
      <c r="F16" s="136">
        <f t="shared" si="4"/>
        <v>-2700000</v>
      </c>
      <c r="G16" s="158"/>
    </row>
    <row r="17" spans="1:8" x14ac:dyDescent="0.3">
      <c r="A17" s="153" t="s">
        <v>23</v>
      </c>
      <c r="B17" s="140">
        <f>B$16*$K$2</f>
        <v>3836125</v>
      </c>
      <c r="C17" s="140">
        <f t="shared" ref="C17:E17" si="5">C$16*$K$2</f>
        <v>2103625</v>
      </c>
      <c r="D17" s="140">
        <f t="shared" si="5"/>
        <v>4341125</v>
      </c>
      <c r="E17" s="140">
        <f t="shared" si="5"/>
        <v>3918625</v>
      </c>
      <c r="F17" s="140">
        <f>F$16*$K$2</f>
        <v>-675000</v>
      </c>
      <c r="G17" s="163">
        <f>-($K$10)*$K$2</f>
        <v>-1500000</v>
      </c>
    </row>
    <row r="18" spans="1:8" ht="15.65" x14ac:dyDescent="0.3">
      <c r="A18" s="164" t="s">
        <v>48</v>
      </c>
      <c r="B18" s="136">
        <f>B$16-B$17</f>
        <v>11508375</v>
      </c>
      <c r="C18" s="136">
        <f t="shared" ref="C18:G18" si="6">C$16-C$17</f>
        <v>6310875</v>
      </c>
      <c r="D18" s="136">
        <f t="shared" si="6"/>
        <v>13023375</v>
      </c>
      <c r="E18" s="136">
        <f t="shared" si="6"/>
        <v>11755875</v>
      </c>
      <c r="F18" s="136">
        <f t="shared" si="6"/>
        <v>-2025000</v>
      </c>
      <c r="G18" s="136">
        <f t="shared" si="6"/>
        <v>1500000</v>
      </c>
      <c r="H18" s="338" t="s">
        <v>341</v>
      </c>
    </row>
    <row r="19" spans="1:8" x14ac:dyDescent="0.3">
      <c r="A19" s="153" t="s">
        <v>214</v>
      </c>
      <c r="B19" s="140">
        <f>B$15</f>
        <v>13575500</v>
      </c>
      <c r="C19" s="140">
        <f t="shared" ref="C19:E19" si="7">C$15</f>
        <v>23265500</v>
      </c>
      <c r="D19" s="140">
        <f t="shared" si="7"/>
        <v>16615500</v>
      </c>
      <c r="E19" s="140">
        <f t="shared" si="7"/>
        <v>11865500</v>
      </c>
      <c r="F19" s="159"/>
      <c r="G19" s="160"/>
    </row>
    <row r="20" spans="1:8" x14ac:dyDescent="0.3">
      <c r="A20" s="164" t="s">
        <v>20</v>
      </c>
      <c r="B20" s="136">
        <f>B$16+B$15-B$17</f>
        <v>25083875</v>
      </c>
      <c r="C20" s="136">
        <f t="shared" ref="C20:E20" si="8">C$16+C$15-C$17</f>
        <v>29576375</v>
      </c>
      <c r="D20" s="136">
        <f t="shared" si="8"/>
        <v>29638875</v>
      </c>
      <c r="E20" s="136">
        <f t="shared" si="8"/>
        <v>23621375</v>
      </c>
      <c r="F20" s="162">
        <f>F18</f>
        <v>-2025000</v>
      </c>
      <c r="G20" s="136">
        <f>G18</f>
        <v>1500000</v>
      </c>
    </row>
    <row r="22" spans="1:8" ht="15.65" x14ac:dyDescent="0.3">
      <c r="A22" s="32"/>
      <c r="B22" s="332" t="s">
        <v>72</v>
      </c>
      <c r="C22" s="334" t="s">
        <v>97</v>
      </c>
      <c r="D22" s="334" t="s">
        <v>98</v>
      </c>
      <c r="E22" s="334" t="s">
        <v>99</v>
      </c>
    </row>
    <row r="23" spans="1:8" x14ac:dyDescent="0.3">
      <c r="A23" s="153" t="s">
        <v>215</v>
      </c>
      <c r="B23" s="136">
        <f t="shared" ref="B23:E23" si="9">B$12*$K$6</f>
        <v>2612000</v>
      </c>
      <c r="C23" s="136">
        <f t="shared" si="9"/>
        <v>2843000</v>
      </c>
      <c r="D23" s="136">
        <f t="shared" si="9"/>
        <v>3035500</v>
      </c>
      <c r="E23" s="136">
        <f t="shared" si="9"/>
        <v>2496500</v>
      </c>
    </row>
    <row r="24" spans="1:8" ht="15.05" customHeight="1" x14ac:dyDescent="0.3">
      <c r="A24" s="153" t="s">
        <v>216</v>
      </c>
      <c r="B24" s="140">
        <f>C23</f>
        <v>2843000</v>
      </c>
      <c r="C24" s="140">
        <f t="shared" ref="C24:D24" si="10">D23</f>
        <v>3035500</v>
      </c>
      <c r="D24" s="140">
        <f t="shared" si="10"/>
        <v>2496500</v>
      </c>
      <c r="E24" s="140"/>
    </row>
    <row r="25" spans="1:8" ht="15.05" customHeight="1" x14ac:dyDescent="0.3">
      <c r="A25" s="153" t="s">
        <v>342</v>
      </c>
      <c r="B25" s="140">
        <f>B23-B24</f>
        <v>-231000</v>
      </c>
      <c r="C25" s="140">
        <f t="shared" ref="C25:D25" si="11">C23-C24</f>
        <v>-192500</v>
      </c>
      <c r="D25" s="140">
        <f t="shared" si="11"/>
        <v>539000</v>
      </c>
      <c r="E25" s="140">
        <f>E23</f>
        <v>2496500</v>
      </c>
    </row>
    <row r="27" spans="1:8" ht="15.65" x14ac:dyDescent="0.3">
      <c r="A27" s="111" t="s">
        <v>217</v>
      </c>
      <c r="B27" s="168">
        <f>-B6-SUM(B19:E19)</f>
        <v>29678000</v>
      </c>
    </row>
    <row r="28" spans="1:8" ht="15.65" x14ac:dyDescent="0.3">
      <c r="A28" s="111" t="s">
        <v>218</v>
      </c>
      <c r="B28" s="168">
        <f>($B$27-(-$B$6*$K$11))*($K$2)</f>
        <v>-6830500</v>
      </c>
    </row>
    <row r="29" spans="1:8" ht="15.65" x14ac:dyDescent="0.3">
      <c r="A29" s="111" t="s">
        <v>39</v>
      </c>
      <c r="B29" s="168">
        <f>57000000+B28</f>
        <v>50169500</v>
      </c>
    </row>
    <row r="31" spans="1:8" x14ac:dyDescent="0.3">
      <c r="A31" s="166" t="s">
        <v>219</v>
      </c>
      <c r="B31" s="166" t="s">
        <v>220</v>
      </c>
    </row>
    <row r="32" spans="1:8" ht="15.65" x14ac:dyDescent="0.3">
      <c r="A32" s="167">
        <v>0</v>
      </c>
      <c r="B32" s="168">
        <f>B9</f>
        <v>-104112000</v>
      </c>
    </row>
    <row r="33" spans="1:4" ht="15.65" x14ac:dyDescent="0.3">
      <c r="A33" s="167">
        <v>1</v>
      </c>
      <c r="B33" s="168">
        <f>B20+B25</f>
        <v>24852875</v>
      </c>
    </row>
    <row r="34" spans="1:4" ht="15.65" x14ac:dyDescent="0.3">
      <c r="A34" s="167">
        <v>2</v>
      </c>
      <c r="B34" s="168">
        <f>C20+C25</f>
        <v>29383875</v>
      </c>
    </row>
    <row r="35" spans="1:4" ht="15.65" x14ac:dyDescent="0.3">
      <c r="A35" s="167">
        <v>3</v>
      </c>
      <c r="B35" s="168">
        <f>D20+D25</f>
        <v>30177875</v>
      </c>
    </row>
    <row r="36" spans="1:4" ht="15.65" x14ac:dyDescent="0.3">
      <c r="A36" s="169">
        <v>4</v>
      </c>
      <c r="B36" s="168">
        <f>B29+E20+E25</f>
        <v>76287375</v>
      </c>
    </row>
    <row r="37" spans="1:4" ht="15.65" x14ac:dyDescent="0.3">
      <c r="A37" s="169">
        <v>5</v>
      </c>
      <c r="B37" s="170">
        <f>F20</f>
        <v>-2025000</v>
      </c>
    </row>
    <row r="38" spans="1:4" ht="15.65" x14ac:dyDescent="0.3">
      <c r="A38" s="169">
        <v>6</v>
      </c>
      <c r="B38" s="170">
        <f>G20</f>
        <v>1500000</v>
      </c>
    </row>
    <row r="40" spans="1:4" ht="15.65" x14ac:dyDescent="0.3">
      <c r="A40" s="111" t="s">
        <v>221</v>
      </c>
      <c r="B40" s="112">
        <f>3+(-B32-B33-B34-B35)/B36</f>
        <v>3.2581996693424045</v>
      </c>
      <c r="C40" s="338" t="s">
        <v>222</v>
      </c>
      <c r="D40" s="150"/>
    </row>
    <row r="41" spans="1:4" ht="15.65" x14ac:dyDescent="0.3">
      <c r="A41" s="111" t="s">
        <v>223</v>
      </c>
      <c r="B41" s="165">
        <f>NPV(K1,B33:B38)/-B32</f>
        <v>1.1063819811787008</v>
      </c>
    </row>
    <row r="42" spans="1:4" ht="15.65" x14ac:dyDescent="0.3">
      <c r="A42" s="111" t="s">
        <v>9</v>
      </c>
      <c r="B42" s="113">
        <f>NPV(K1,B33:B38)+B32</f>
        <v>11075640.824476898</v>
      </c>
    </row>
    <row r="43" spans="1:4" ht="15.65" x14ac:dyDescent="0.3">
      <c r="A43" s="111" t="s">
        <v>43</v>
      </c>
      <c r="B43" s="121">
        <f>IRR(B32:B38)</f>
        <v>0.16107208983178944</v>
      </c>
    </row>
  </sheetData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D652-64F1-4215-85AD-7699536D7637}">
  <dimension ref="A1:T54"/>
  <sheetViews>
    <sheetView showGridLines="0" tabSelected="1" zoomScale="160" zoomScaleNormal="160" workbookViewId="0"/>
  </sheetViews>
  <sheetFormatPr defaultRowHeight="15.05" x14ac:dyDescent="0.25"/>
  <cols>
    <col min="1" max="1" width="50.77734375" style="347" bestFit="1" customWidth="1"/>
    <col min="2" max="2" width="15.6640625" style="347" bestFit="1" customWidth="1"/>
    <col min="3" max="7" width="8.88671875" style="347"/>
    <col min="8" max="9" width="10" style="347" bestFit="1" customWidth="1"/>
    <col min="10" max="13" width="8.88671875" style="347"/>
    <col min="14" max="14" width="22.21875" style="347" bestFit="1" customWidth="1"/>
    <col min="15" max="15" width="15.33203125" style="347" bestFit="1" customWidth="1"/>
    <col min="16" max="17" width="14.88671875" style="347" bestFit="1" customWidth="1"/>
    <col min="18" max="18" width="15.33203125" style="347" bestFit="1" customWidth="1"/>
    <col min="19" max="16384" width="8.88671875" style="347"/>
  </cols>
  <sheetData>
    <row r="1" spans="1:20" x14ac:dyDescent="0.25">
      <c r="A1" s="345" t="s">
        <v>367</v>
      </c>
      <c r="B1" s="346">
        <v>-10000000</v>
      </c>
      <c r="C1" s="347" t="s">
        <v>344</v>
      </c>
      <c r="G1" s="361" t="s">
        <v>349</v>
      </c>
      <c r="H1" s="361" t="s">
        <v>228</v>
      </c>
      <c r="I1" s="361" t="s">
        <v>211</v>
      </c>
      <c r="O1" s="355" t="s">
        <v>373</v>
      </c>
      <c r="P1" s="368"/>
      <c r="Q1" s="368"/>
      <c r="R1" s="356"/>
      <c r="T1" s="349"/>
    </row>
    <row r="2" spans="1:20" x14ac:dyDescent="0.25">
      <c r="A2" s="350" t="s">
        <v>224</v>
      </c>
      <c r="B2" s="350">
        <v>4</v>
      </c>
      <c r="G2" s="350" t="s">
        <v>350</v>
      </c>
      <c r="H2" s="346">
        <v>41</v>
      </c>
      <c r="I2" s="346">
        <v>29</v>
      </c>
      <c r="J2" s="347" t="s">
        <v>352</v>
      </c>
      <c r="N2" s="32"/>
      <c r="O2" s="369" t="s">
        <v>72</v>
      </c>
      <c r="P2" s="369" t="s">
        <v>97</v>
      </c>
      <c r="Q2" s="369" t="s">
        <v>98</v>
      </c>
      <c r="R2" s="369" t="s">
        <v>99</v>
      </c>
    </row>
    <row r="3" spans="1:20" x14ac:dyDescent="0.25">
      <c r="A3" s="350" t="s">
        <v>345</v>
      </c>
      <c r="B3" s="346">
        <v>-5000000</v>
      </c>
      <c r="C3" s="347" t="s">
        <v>344</v>
      </c>
      <c r="G3" s="350" t="s">
        <v>351</v>
      </c>
      <c r="H3" s="346">
        <v>62</v>
      </c>
      <c r="I3" s="346">
        <v>29</v>
      </c>
      <c r="J3" s="347" t="s">
        <v>352</v>
      </c>
      <c r="N3" s="153" t="s">
        <v>370</v>
      </c>
      <c r="O3" s="374">
        <f>$B$11</f>
        <v>6200000</v>
      </c>
      <c r="P3" s="374">
        <f>O$3*(1+$B$12)</f>
        <v>6354999.9999999991</v>
      </c>
      <c r="Q3" s="374">
        <f>P$3*(1+$B$12)</f>
        <v>6513874.9999999981</v>
      </c>
      <c r="R3" s="374">
        <f>Q$3*(1+$B$12)</f>
        <v>6676721.8749999972</v>
      </c>
    </row>
    <row r="4" spans="1:20" x14ac:dyDescent="0.25">
      <c r="A4" s="350" t="s">
        <v>346</v>
      </c>
      <c r="B4" s="346">
        <v>-160000000</v>
      </c>
      <c r="C4" s="347" t="s">
        <v>347</v>
      </c>
      <c r="H4" s="352" t="s">
        <v>353</v>
      </c>
      <c r="I4" s="353"/>
      <c r="N4" s="153" t="s">
        <v>371</v>
      </c>
      <c r="O4" s="374">
        <f>O$3*4</f>
        <v>24800000</v>
      </c>
      <c r="P4" s="374">
        <f t="shared" ref="P4:R4" si="0">P$3*4</f>
        <v>25419999.999999996</v>
      </c>
      <c r="Q4" s="374">
        <f t="shared" si="0"/>
        <v>26055499.999999993</v>
      </c>
      <c r="R4" s="374">
        <f t="shared" si="0"/>
        <v>26706887.499999989</v>
      </c>
    </row>
    <row r="5" spans="1:20" x14ac:dyDescent="0.25">
      <c r="A5" s="350" t="s">
        <v>303</v>
      </c>
      <c r="B5" s="346">
        <v>65000000</v>
      </c>
      <c r="C5" s="347" t="s">
        <v>348</v>
      </c>
      <c r="H5" s="354">
        <v>0.01</v>
      </c>
      <c r="I5" s="354">
        <v>0.01</v>
      </c>
      <c r="J5" s="347" t="s">
        <v>369</v>
      </c>
      <c r="N5" s="153" t="s">
        <v>372</v>
      </c>
      <c r="O5" s="374">
        <f>O$4*$B$14</f>
        <v>2728000</v>
      </c>
      <c r="P5" s="374">
        <f>P$4*$B$14</f>
        <v>2796199.9999999995</v>
      </c>
      <c r="Q5" s="374">
        <f>Q$4*$B$14</f>
        <v>2866104.9999999991</v>
      </c>
      <c r="R5" s="374">
        <f>R$4*$B$14</f>
        <v>2937757.6249999986</v>
      </c>
    </row>
    <row r="6" spans="1:20" x14ac:dyDescent="0.25">
      <c r="A6" s="345" t="s">
        <v>354</v>
      </c>
      <c r="B6" s="346">
        <v>-43000000</v>
      </c>
      <c r="C6" s="347" t="s">
        <v>355</v>
      </c>
      <c r="H6" s="355" t="s">
        <v>368</v>
      </c>
      <c r="I6" s="356"/>
    </row>
    <row r="7" spans="1:20" x14ac:dyDescent="0.25">
      <c r="A7" s="350" t="s">
        <v>234</v>
      </c>
      <c r="B7" s="357">
        <v>0.23</v>
      </c>
      <c r="H7" s="358">
        <f>(1+H$5)*(1+$B$8)-1</f>
        <v>4.2824999999999891E-2</v>
      </c>
      <c r="I7" s="358">
        <f>(1+I$5)*(1+$B$8)-1</f>
        <v>4.2824999999999891E-2</v>
      </c>
    </row>
    <row r="8" spans="1:20" x14ac:dyDescent="0.25">
      <c r="A8" s="350" t="s">
        <v>356</v>
      </c>
      <c r="B8" s="358">
        <v>3.2500000000000001E-2</v>
      </c>
      <c r="O8" s="355" t="s">
        <v>374</v>
      </c>
      <c r="P8" s="368"/>
      <c r="Q8" s="368"/>
      <c r="R8" s="356"/>
    </row>
    <row r="9" spans="1:20" x14ac:dyDescent="0.25">
      <c r="A9" s="350" t="s">
        <v>6</v>
      </c>
      <c r="B9" s="359">
        <v>0.13400000000000001</v>
      </c>
      <c r="N9" s="32"/>
      <c r="O9" s="369" t="s">
        <v>72</v>
      </c>
      <c r="P9" s="369" t="s">
        <v>97</v>
      </c>
      <c r="Q9" s="369" t="s">
        <v>98</v>
      </c>
      <c r="R9" s="369" t="s">
        <v>99</v>
      </c>
    </row>
    <row r="10" spans="1:20" x14ac:dyDescent="0.25">
      <c r="A10" s="114" t="s">
        <v>376</v>
      </c>
      <c r="B10" s="367"/>
      <c r="N10" s="153" t="s">
        <v>375</v>
      </c>
      <c r="O10" s="374">
        <f>$B$16</f>
        <v>32000000</v>
      </c>
      <c r="P10" s="374">
        <f>O$10*(1+$B$17)</f>
        <v>32640000</v>
      </c>
      <c r="Q10" s="374">
        <f>P$10*(1+$B$17)</f>
        <v>33292800</v>
      </c>
      <c r="R10" s="374">
        <f>Q$10*(1+$B$17)</f>
        <v>33958656</v>
      </c>
    </row>
    <row r="11" spans="1:20" x14ac:dyDescent="0.25">
      <c r="A11" s="345" t="s">
        <v>357</v>
      </c>
      <c r="B11" s="350">
        <v>6200000</v>
      </c>
      <c r="C11" s="347" t="s">
        <v>366</v>
      </c>
      <c r="N11" s="153" t="s">
        <v>372</v>
      </c>
      <c r="O11" s="374">
        <f>O$10*$B$19</f>
        <v>2560000</v>
      </c>
      <c r="P11" s="374">
        <f>P$10*$B$19</f>
        <v>2611200</v>
      </c>
      <c r="Q11" s="374">
        <f>Q$10*$B$19</f>
        <v>2663424</v>
      </c>
      <c r="R11" s="374">
        <f>R$10*$B$19</f>
        <v>2716692.48</v>
      </c>
    </row>
    <row r="12" spans="1:20" x14ac:dyDescent="0.25">
      <c r="A12" s="350" t="s">
        <v>358</v>
      </c>
      <c r="B12" s="359">
        <v>2.5000000000000001E-2</v>
      </c>
      <c r="C12" s="347" t="s">
        <v>359</v>
      </c>
    </row>
    <row r="13" spans="1:20" x14ac:dyDescent="0.25">
      <c r="A13" s="114" t="s">
        <v>378</v>
      </c>
      <c r="B13" s="367"/>
      <c r="O13" s="355" t="s">
        <v>380</v>
      </c>
      <c r="P13" s="368"/>
      <c r="Q13" s="368"/>
      <c r="R13" s="356"/>
    </row>
    <row r="14" spans="1:20" x14ac:dyDescent="0.25">
      <c r="A14" s="345" t="s">
        <v>360</v>
      </c>
      <c r="B14" s="357">
        <v>0.11</v>
      </c>
      <c r="C14" s="347" t="s">
        <v>362</v>
      </c>
      <c r="N14" s="32"/>
      <c r="O14" s="369" t="s">
        <v>72</v>
      </c>
      <c r="P14" s="369" t="s">
        <v>97</v>
      </c>
      <c r="Q14" s="369" t="s">
        <v>98</v>
      </c>
      <c r="R14" s="369" t="s">
        <v>99</v>
      </c>
    </row>
    <row r="15" spans="1:20" x14ac:dyDescent="0.25">
      <c r="A15" s="114" t="s">
        <v>377</v>
      </c>
      <c r="B15" s="367"/>
      <c r="N15" s="153" t="s">
        <v>350</v>
      </c>
      <c r="O15" s="301">
        <f>$H$2</f>
        <v>41</v>
      </c>
      <c r="P15" s="301">
        <f>O$15*(1+$H$7)</f>
        <v>42.755824999999994</v>
      </c>
      <c r="Q15" s="301">
        <f>P$15*(1+$H$7)</f>
        <v>44.586843205624987</v>
      </c>
      <c r="R15" s="301">
        <f>Q$15*(1+$H$7)</f>
        <v>46.496274765905873</v>
      </c>
    </row>
    <row r="16" spans="1:20" x14ac:dyDescent="0.25">
      <c r="A16" s="345" t="s">
        <v>361</v>
      </c>
      <c r="B16" s="350">
        <v>32000000</v>
      </c>
      <c r="C16" s="347" t="s">
        <v>366</v>
      </c>
      <c r="N16" s="153" t="s">
        <v>381</v>
      </c>
      <c r="O16" s="301">
        <f>$H$3</f>
        <v>62</v>
      </c>
      <c r="P16" s="301">
        <f>O$16*(1+$H$7)</f>
        <v>64.655149999999992</v>
      </c>
      <c r="Q16" s="301">
        <f>P$16*(1+$H$7)</f>
        <v>67.424006798749986</v>
      </c>
      <c r="R16" s="301">
        <f>Q$16*(1+$H$7)</f>
        <v>70.311439889906453</v>
      </c>
    </row>
    <row r="17" spans="1:18" x14ac:dyDescent="0.25">
      <c r="A17" s="345" t="s">
        <v>358</v>
      </c>
      <c r="B17" s="357">
        <v>0.02</v>
      </c>
      <c r="C17" s="347" t="s">
        <v>359</v>
      </c>
    </row>
    <row r="18" spans="1:18" x14ac:dyDescent="0.25">
      <c r="A18" s="114" t="s">
        <v>379</v>
      </c>
      <c r="B18" s="367"/>
      <c r="O18" s="355" t="s">
        <v>384</v>
      </c>
      <c r="P18" s="368"/>
      <c r="Q18" s="368"/>
      <c r="R18" s="356"/>
    </row>
    <row r="19" spans="1:18" x14ac:dyDescent="0.25">
      <c r="A19" s="345" t="s">
        <v>360</v>
      </c>
      <c r="B19" s="357">
        <v>0.08</v>
      </c>
      <c r="C19" s="347" t="s">
        <v>362</v>
      </c>
      <c r="O19" s="370" t="s">
        <v>72</v>
      </c>
      <c r="P19" s="371" t="s">
        <v>97</v>
      </c>
      <c r="Q19" s="371" t="s">
        <v>98</v>
      </c>
      <c r="R19" s="371" t="s">
        <v>99</v>
      </c>
    </row>
    <row r="20" spans="1:18" x14ac:dyDescent="0.25">
      <c r="A20" s="114" t="s">
        <v>365</v>
      </c>
      <c r="B20" s="367"/>
      <c r="N20" s="372" t="s">
        <v>382</v>
      </c>
      <c r="O20" s="322">
        <f>O$5*O$15</f>
        <v>111848000</v>
      </c>
      <c r="P20" s="322">
        <f>P$5*P$15</f>
        <v>119553837.86499996</v>
      </c>
      <c r="Q20" s="322">
        <f>Q$5*Q$15</f>
        <v>127790574.24585776</v>
      </c>
      <c r="R20" s="322">
        <f>R$5*R$15</f>
        <v>136594785.727635</v>
      </c>
    </row>
    <row r="21" spans="1:18" x14ac:dyDescent="0.25">
      <c r="A21" s="345" t="s">
        <v>363</v>
      </c>
      <c r="B21" s="346">
        <v>-9000000</v>
      </c>
      <c r="N21" s="153" t="s">
        <v>383</v>
      </c>
      <c r="O21" s="374">
        <f t="shared" ref="O21:R21" si="1">O$11*O$16</f>
        <v>158720000</v>
      </c>
      <c r="P21" s="374">
        <f t="shared" si="1"/>
        <v>168827527.67999998</v>
      </c>
      <c r="Q21" s="374">
        <f t="shared" si="1"/>
        <v>179578717.88395387</v>
      </c>
      <c r="R21" s="374">
        <f t="shared" si="1"/>
        <v>191014560.00688088</v>
      </c>
    </row>
    <row r="22" spans="1:18" x14ac:dyDescent="0.25">
      <c r="A22" s="345" t="s">
        <v>26</v>
      </c>
      <c r="B22" s="357">
        <v>0.15</v>
      </c>
      <c r="C22" s="347" t="s">
        <v>364</v>
      </c>
      <c r="N22" s="153" t="s">
        <v>151</v>
      </c>
      <c r="O22" s="374">
        <f t="shared" ref="O22:R22" si="2">O$20+O$21</f>
        <v>270568000</v>
      </c>
      <c r="P22" s="374">
        <f t="shared" si="2"/>
        <v>288381365.54499996</v>
      </c>
      <c r="Q22" s="374">
        <f t="shared" si="2"/>
        <v>307369292.12981164</v>
      </c>
      <c r="R22" s="374">
        <f t="shared" si="2"/>
        <v>327609345.73451591</v>
      </c>
    </row>
    <row r="23" spans="1:18" x14ac:dyDescent="0.25">
      <c r="N23" s="246"/>
      <c r="O23" s="351"/>
      <c r="P23" s="351"/>
      <c r="Q23" s="351"/>
      <c r="R23" s="351"/>
    </row>
    <row r="24" spans="1:18" x14ac:dyDescent="0.25">
      <c r="A24" s="349"/>
      <c r="B24" s="317">
        <v>0.1429</v>
      </c>
      <c r="C24" s="349"/>
      <c r="D24" s="349"/>
      <c r="E24" s="349"/>
      <c r="F24" s="349"/>
      <c r="G24" s="349"/>
      <c r="O24" s="355" t="s">
        <v>386</v>
      </c>
      <c r="P24" s="368"/>
      <c r="Q24" s="368"/>
      <c r="R24" s="356"/>
    </row>
    <row r="25" spans="1:18" x14ac:dyDescent="0.25">
      <c r="B25" s="317">
        <v>0.24490000000000001</v>
      </c>
      <c r="N25" s="32"/>
      <c r="O25" s="369" t="s">
        <v>72</v>
      </c>
      <c r="P25" s="369" t="s">
        <v>97</v>
      </c>
      <c r="Q25" s="369" t="s">
        <v>98</v>
      </c>
      <c r="R25" s="369" t="s">
        <v>99</v>
      </c>
    </row>
    <row r="26" spans="1:18" x14ac:dyDescent="0.25">
      <c r="B26" s="317">
        <v>0.1749</v>
      </c>
      <c r="N26" s="153" t="s">
        <v>269</v>
      </c>
      <c r="O26" s="302">
        <f>O$22</f>
        <v>270568000</v>
      </c>
      <c r="P26" s="302">
        <f t="shared" ref="P26:R26" si="3">P$22</f>
        <v>288381365.54499996</v>
      </c>
      <c r="Q26" s="302">
        <f t="shared" si="3"/>
        <v>307369292.12981164</v>
      </c>
      <c r="R26" s="302">
        <f t="shared" si="3"/>
        <v>327609345.73451591</v>
      </c>
    </row>
    <row r="27" spans="1:18" x14ac:dyDescent="0.25">
      <c r="B27" s="317">
        <v>0.1249</v>
      </c>
      <c r="N27" s="153" t="s">
        <v>75</v>
      </c>
      <c r="O27" s="374">
        <f>(O$5*$I$2)+(O$11*$I$3)</f>
        <v>153352000</v>
      </c>
      <c r="P27" s="374">
        <f>((P$5*$I$2)+(P$11*$I$3))*(1+$I$7)</f>
        <v>163530185.24499997</v>
      </c>
      <c r="Q27" s="374">
        <f>((Q$5*$I$2)+(Q$11*$I$3))*(1+$I$7)</f>
        <v>167223601.30332494</v>
      </c>
      <c r="R27" s="374">
        <f>((R$5*$I$2)+(R$11*$I$3))*(1+$I$7)</f>
        <v>171001455.99165207</v>
      </c>
    </row>
    <row r="28" spans="1:18" x14ac:dyDescent="0.25">
      <c r="B28" s="317">
        <v>8.9300000000000004E-2</v>
      </c>
      <c r="N28" s="153" t="s">
        <v>385</v>
      </c>
      <c r="O28" s="374">
        <f>-$B$6</f>
        <v>43000000</v>
      </c>
      <c r="P28" s="374">
        <f>O$28*(1+$B$8)</f>
        <v>44397500</v>
      </c>
      <c r="Q28" s="374">
        <f>P$28*(1+$B$8)</f>
        <v>45840418.75</v>
      </c>
      <c r="R28" s="374">
        <f>Q$28*(1+$B$8)</f>
        <v>47330232.359375</v>
      </c>
    </row>
    <row r="29" spans="1:18" x14ac:dyDescent="0.25">
      <c r="B29" s="317">
        <v>8.9200000000000002E-2</v>
      </c>
      <c r="N29" s="153" t="s">
        <v>18</v>
      </c>
      <c r="O29" s="374">
        <f t="array" ref="O29:R29">TRANSPOSE($B$24:$B$27*-$B$4)</f>
        <v>22864000</v>
      </c>
      <c r="P29" s="374">
        <v>39184000</v>
      </c>
      <c r="Q29" s="374">
        <v>27984000</v>
      </c>
      <c r="R29" s="374">
        <v>19984000</v>
      </c>
    </row>
    <row r="30" spans="1:18" x14ac:dyDescent="0.25">
      <c r="B30" s="317">
        <v>8.9300000000000004E-2</v>
      </c>
      <c r="N30" s="153" t="s">
        <v>84</v>
      </c>
      <c r="O30" s="302">
        <f t="shared" ref="O30:R30" si="4">O$26-O$27-O$28-O$29</f>
        <v>51352000</v>
      </c>
      <c r="P30" s="302">
        <f t="shared" si="4"/>
        <v>41269680.299999982</v>
      </c>
      <c r="Q30" s="302">
        <f t="shared" si="4"/>
        <v>66321272.076486707</v>
      </c>
      <c r="R30" s="302">
        <f t="shared" si="4"/>
        <v>89293657.383488834</v>
      </c>
    </row>
    <row r="31" spans="1:18" x14ac:dyDescent="0.25">
      <c r="B31" s="317">
        <v>4.4600000000000001E-2</v>
      </c>
      <c r="N31" s="153" t="s">
        <v>23</v>
      </c>
      <c r="O31" s="374">
        <v>11810960</v>
      </c>
      <c r="P31" s="374">
        <v>9492026</v>
      </c>
      <c r="Q31" s="374">
        <v>16014680</v>
      </c>
      <c r="R31" s="374">
        <v>21313545</v>
      </c>
    </row>
    <row r="32" spans="1:18" x14ac:dyDescent="0.25">
      <c r="N32" s="153" t="s">
        <v>77</v>
      </c>
      <c r="O32" s="302">
        <v>39541040</v>
      </c>
      <c r="P32" s="302">
        <v>31777654</v>
      </c>
      <c r="Q32" s="302">
        <v>53614365</v>
      </c>
      <c r="R32" s="302">
        <v>71354041</v>
      </c>
    </row>
    <row r="33" spans="14:18" x14ac:dyDescent="0.25">
      <c r="N33" s="164" t="s">
        <v>20</v>
      </c>
      <c r="O33" s="375">
        <v>62405040</v>
      </c>
      <c r="P33" s="375">
        <v>70961654</v>
      </c>
      <c r="Q33" s="375">
        <v>81598365</v>
      </c>
      <c r="R33" s="375">
        <v>91338041</v>
      </c>
    </row>
    <row r="35" spans="14:18" x14ac:dyDescent="0.25">
      <c r="O35" s="355" t="s">
        <v>388</v>
      </c>
      <c r="P35" s="368"/>
      <c r="Q35" s="368"/>
      <c r="R35" s="356"/>
    </row>
    <row r="36" spans="14:18" x14ac:dyDescent="0.25">
      <c r="N36" s="32"/>
      <c r="O36" s="369" t="s">
        <v>72</v>
      </c>
      <c r="P36" s="369" t="s">
        <v>97</v>
      </c>
      <c r="Q36" s="369" t="s">
        <v>98</v>
      </c>
      <c r="R36" s="369" t="s">
        <v>99</v>
      </c>
    </row>
    <row r="37" spans="14:18" x14ac:dyDescent="0.25">
      <c r="N37" s="153" t="s">
        <v>328</v>
      </c>
      <c r="O37" s="374">
        <f>-$B$21</f>
        <v>9000000</v>
      </c>
      <c r="P37" s="374">
        <f>O$26*$B$22</f>
        <v>40585200</v>
      </c>
      <c r="Q37" s="374">
        <f>P$26*$B$22</f>
        <v>43257204.831749991</v>
      </c>
      <c r="R37" s="374">
        <f>Q$26*$B$22</f>
        <v>46105393.819471747</v>
      </c>
    </row>
    <row r="38" spans="14:18" x14ac:dyDescent="0.25">
      <c r="N38" s="153" t="s">
        <v>329</v>
      </c>
      <c r="O38" s="374">
        <f>P$37</f>
        <v>40585200</v>
      </c>
      <c r="P38" s="374">
        <f t="shared" ref="P38:R38" si="5">Q$37</f>
        <v>43257204.831749991</v>
      </c>
      <c r="Q38" s="374">
        <f t="shared" si="5"/>
        <v>46105393.819471747</v>
      </c>
      <c r="R38" s="374">
        <f t="shared" si="5"/>
        <v>0</v>
      </c>
    </row>
    <row r="39" spans="14:18" x14ac:dyDescent="0.25">
      <c r="N39" s="153" t="s">
        <v>387</v>
      </c>
      <c r="O39" s="374">
        <f t="shared" ref="O39:R39" si="6">O$37-O$38</f>
        <v>-31585200</v>
      </c>
      <c r="P39" s="374">
        <f t="shared" si="6"/>
        <v>-2672004.8317499906</v>
      </c>
      <c r="Q39" s="374">
        <f t="shared" si="6"/>
        <v>-2848188.9877217561</v>
      </c>
      <c r="R39" s="374">
        <f t="shared" si="6"/>
        <v>46105393.819471747</v>
      </c>
    </row>
    <row r="41" spans="14:18" x14ac:dyDescent="0.25">
      <c r="N41" s="350" t="s">
        <v>217</v>
      </c>
      <c r="O41" s="373">
        <f>-$B$4-SUM($O$29:$R$29)</f>
        <v>49984000</v>
      </c>
    </row>
    <row r="42" spans="14:18" x14ac:dyDescent="0.25">
      <c r="N42" s="350" t="s">
        <v>39</v>
      </c>
      <c r="O42" s="373">
        <f>$B$5+($O$41-$B$5)*($B$7)</f>
        <v>61546320</v>
      </c>
    </row>
    <row r="44" spans="14:18" x14ac:dyDescent="0.25">
      <c r="N44" s="360" t="s">
        <v>219</v>
      </c>
      <c r="O44" s="361" t="s">
        <v>220</v>
      </c>
      <c r="P44" s="361" t="s">
        <v>390</v>
      </c>
      <c r="R44" s="362"/>
    </row>
    <row r="45" spans="14:18" x14ac:dyDescent="0.25">
      <c r="N45" s="348">
        <v>0</v>
      </c>
      <c r="O45" s="346">
        <f>$B$4+$B$21</f>
        <v>-169000000</v>
      </c>
      <c r="P45" s="346">
        <f>O45</f>
        <v>-169000000</v>
      </c>
    </row>
    <row r="46" spans="14:18" x14ac:dyDescent="0.25">
      <c r="N46" s="348">
        <v>1</v>
      </c>
      <c r="O46" s="346">
        <f t="array" ref="O46:O48">TRANSPOSE($O$33:$Q$33+$O$39:$Q$39)</f>
        <v>30819840</v>
      </c>
      <c r="P46" s="346">
        <f>PV($B$9,$N46,,-$O46)</f>
        <v>27177989.417989422</v>
      </c>
    </row>
    <row r="47" spans="14:18" x14ac:dyDescent="0.25">
      <c r="N47" s="348">
        <v>2</v>
      </c>
      <c r="O47" s="346">
        <v>68289649.168250009</v>
      </c>
      <c r="P47" s="346">
        <f>PV($B$9,$N47,,-$O47)</f>
        <v>53104187.987963833</v>
      </c>
    </row>
    <row r="48" spans="14:18" x14ac:dyDescent="0.25">
      <c r="N48" s="348">
        <v>3</v>
      </c>
      <c r="O48" s="346">
        <v>78750176.012278244</v>
      </c>
      <c r="P48" s="346">
        <f>PV($B$9,$N48,,-$O48)</f>
        <v>54002313.965713993</v>
      </c>
    </row>
    <row r="49" spans="14:16" x14ac:dyDescent="0.25">
      <c r="N49" s="348">
        <v>4</v>
      </c>
      <c r="O49" s="363">
        <f>$R$33+$O$42+$R$39</f>
        <v>198989754.81947175</v>
      </c>
      <c r="P49" s="363">
        <f>PV($B$9,$N49,,-$O49)</f>
        <v>120331269.5372473</v>
      </c>
    </row>
    <row r="50" spans="14:16" x14ac:dyDescent="0.25">
      <c r="N50" s="350" t="s">
        <v>221</v>
      </c>
      <c r="O50" s="364">
        <f>$N$47+(-$O$45-$O$46-$O$47)/$O$48</f>
        <v>2.8874965666216807</v>
      </c>
      <c r="P50" s="347" t="s">
        <v>222</v>
      </c>
    </row>
    <row r="51" spans="14:16" x14ac:dyDescent="0.25">
      <c r="N51" s="350" t="s">
        <v>389</v>
      </c>
      <c r="O51" s="364">
        <f>$N$48+(-$P$45-$P$46-$P$47-$P$48)/$P$49</f>
        <v>3.2884994794938729</v>
      </c>
      <c r="P51" s="347" t="s">
        <v>222</v>
      </c>
    </row>
    <row r="52" spans="14:16" x14ac:dyDescent="0.25">
      <c r="N52" s="350" t="s">
        <v>223</v>
      </c>
      <c r="O52" s="365">
        <f>SUM($P$46:$P$49)/-$P$45</f>
        <v>1.5066021355557075</v>
      </c>
    </row>
    <row r="53" spans="14:16" x14ac:dyDescent="0.25">
      <c r="N53" s="350" t="s">
        <v>43</v>
      </c>
      <c r="O53" s="358">
        <f>IRR($O$45:$O$49)</f>
        <v>0.30167859162167399</v>
      </c>
    </row>
    <row r="54" spans="14:16" x14ac:dyDescent="0.25">
      <c r="N54" s="350" t="s">
        <v>9</v>
      </c>
      <c r="O54" s="366">
        <f>NPV($B$9,$O$46:$O$49)+$O$45</f>
        <v>85615760.908914536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9</vt:i4>
      </vt:variant>
    </vt:vector>
  </HeadingPairs>
  <TitlesOfParts>
    <vt:vector size="46" baseType="lpstr">
      <vt:lpstr>1.</vt:lpstr>
      <vt:lpstr>2.</vt:lpstr>
      <vt:lpstr>3. &amp; 4. &amp; 5. &amp; 6.</vt:lpstr>
      <vt:lpstr>MACRS</vt:lpstr>
      <vt:lpstr>7.</vt:lpstr>
      <vt:lpstr>8. &amp; 9.</vt:lpstr>
      <vt:lpstr>10.</vt:lpstr>
      <vt:lpstr>11.</vt:lpstr>
      <vt:lpstr>12.</vt:lpstr>
      <vt:lpstr>13. &amp; 14.</vt:lpstr>
      <vt:lpstr>15. &amp; 16.</vt:lpstr>
      <vt:lpstr>17.</vt:lpstr>
      <vt:lpstr>18.</vt:lpstr>
      <vt:lpstr>19.</vt:lpstr>
      <vt:lpstr>20.</vt:lpstr>
      <vt:lpstr>21.</vt:lpstr>
      <vt:lpstr>22.</vt:lpstr>
      <vt:lpstr>23.</vt:lpstr>
      <vt:lpstr>24.</vt:lpstr>
      <vt:lpstr>25.</vt:lpstr>
      <vt:lpstr>26.</vt:lpstr>
      <vt:lpstr>27.</vt:lpstr>
      <vt:lpstr>28. &amp; 29.</vt:lpstr>
      <vt:lpstr>30.</vt:lpstr>
      <vt:lpstr>31.</vt:lpstr>
      <vt:lpstr>32.</vt:lpstr>
      <vt:lpstr>33.</vt:lpstr>
      <vt:lpstr>34. &amp; 35.</vt:lpstr>
      <vt:lpstr>36.</vt:lpstr>
      <vt:lpstr>37.</vt:lpstr>
      <vt:lpstr>38.</vt:lpstr>
      <vt:lpstr>39.</vt:lpstr>
      <vt:lpstr>40.</vt:lpstr>
      <vt:lpstr>41.</vt:lpstr>
      <vt:lpstr>42.</vt:lpstr>
      <vt:lpstr>BETHESDA MINING</vt:lpstr>
      <vt:lpstr>GOODWEEK TIRES, INC.</vt:lpstr>
      <vt:lpstr>'2.'!Depreciation</vt:lpstr>
      <vt:lpstr>'2.'!EBIT</vt:lpstr>
      <vt:lpstr>'2.'!Incremental_CFO</vt:lpstr>
      <vt:lpstr>'2.'!Net_Income</vt:lpstr>
      <vt:lpstr>'2.'!NWC</vt:lpstr>
      <vt:lpstr>'2.'!OCF</vt:lpstr>
      <vt:lpstr>'2.'!Operating_Costs</vt:lpstr>
      <vt:lpstr>'2.'!Sales_Revenue</vt:lpstr>
      <vt:lpstr>'2.'!Tax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PC-5985614</dc:creator>
  <cp:lastModifiedBy>BusinessLearn365</cp:lastModifiedBy>
  <cp:lastPrinted>2022-01-08T16:29:33Z</cp:lastPrinted>
  <dcterms:created xsi:type="dcterms:W3CDTF">2022-01-04T07:41:42Z</dcterms:created>
  <dcterms:modified xsi:type="dcterms:W3CDTF">2023-01-19T09:44:01Z</dcterms:modified>
</cp:coreProperties>
</file>