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ECC177E3-840D-4346-9F8A-0F9053FCD70F}" xr6:coauthVersionLast="47" xr6:coauthVersionMax="47" xr10:uidLastSave="{00000000-0000-0000-0000-000000000000}"/>
  <bookViews>
    <workbookView xWindow="-113" yWindow="-113" windowWidth="17330" windowHeight="9842" firstSheet="11" activeTab="18" xr2:uid="{06E09712-ADDE-427A-83D6-FE36B2F6370E}"/>
  </bookViews>
  <sheets>
    <sheet name="1. &amp; 2." sheetId="1" r:id="rId1"/>
    <sheet name="3." sheetId="6" r:id="rId2"/>
    <sheet name="4." sheetId="7" r:id="rId3"/>
    <sheet name="5." sheetId="8" r:id="rId4"/>
    <sheet name="9." sheetId="9" r:id="rId5"/>
    <sheet name="10." sheetId="10" r:id="rId6"/>
    <sheet name="12." sheetId="11" r:id="rId7"/>
    <sheet name="13." sheetId="12" r:id="rId8"/>
    <sheet name="14. &amp; 15. &amp; 16." sheetId="28" r:id="rId9"/>
    <sheet name="17. &amp; 18. &amp; 19. " sheetId="29" r:id="rId10"/>
    <sheet name="20." sheetId="30" r:id="rId11"/>
    <sheet name="22." sheetId="31" r:id="rId12"/>
    <sheet name="23." sheetId="19" r:id="rId13"/>
    <sheet name="24." sheetId="27" r:id="rId14"/>
    <sheet name="25." sheetId="20" r:id="rId15"/>
    <sheet name="26. &amp; 27." sheetId="32" r:id="rId16"/>
    <sheet name="28." sheetId="24" r:id="rId17"/>
    <sheet name="29." sheetId="25" r:id="rId18"/>
    <sheet name="30." sheetId="26" r:id="rId19"/>
  </sheets>
  <definedNames>
    <definedName name="Factor" localSheetId="8">'14. &amp; 15. &amp; 16.'!$A$29:$B$34</definedName>
    <definedName name="Fixed_Cost" localSheetId="7">'13.'!$A$4:$B$4</definedName>
    <definedName name="Fixed_costs" localSheetId="8">'14. &amp; 15. &amp; 16.'!$A$32:$B$32</definedName>
    <definedName name="Price__new" localSheetId="8">'14. &amp; 15. &amp; 16.'!$A$30:$B$30</definedName>
    <definedName name="Price_per_unit" localSheetId="7">'13.'!$A$5:$B$5</definedName>
    <definedName name="Sales_are_projected" localSheetId="7">'13.'!$A$6:$B$6</definedName>
    <definedName name="Sales_gained__cheap" localSheetId="8">'14. &amp; 15. &amp; 16.'!$A$34:$B$34</definedName>
    <definedName name="Sales_lost__expensive" localSheetId="8">'14. &amp; 15. &amp; 16.'!$A$33:$B$33</definedName>
    <definedName name="Unit_sales__new" localSheetId="8">'14. &amp; 15. &amp; 16.'!$A$29:$B$29</definedName>
    <definedName name="Variable_Cost" localSheetId="7">'13.'!$A$3:$B$3</definedName>
    <definedName name="VC__new" localSheetId="8">'14. &amp; 15. &amp; 16.'!$A$31:$B$31</definedName>
  </definedNames>
  <calcPr calcId="191029" iterateCount="3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6" l="1"/>
  <c r="C3" i="26"/>
  <c r="B4" i="26" s="1"/>
  <c r="B6" i="26" s="1"/>
  <c r="B3" i="26"/>
  <c r="B12" i="25"/>
  <c r="B11" i="25"/>
  <c r="B10" i="25"/>
  <c r="B5" i="25"/>
  <c r="E3" i="24"/>
  <c r="E4" i="24"/>
  <c r="E2" i="24"/>
  <c r="I10" i="24"/>
  <c r="I9" i="24"/>
  <c r="D5" i="32"/>
  <c r="F5" i="32" s="1"/>
  <c r="F8" i="32"/>
  <c r="F7" i="32"/>
  <c r="F6" i="32"/>
  <c r="F4" i="32"/>
  <c r="F3" i="32"/>
  <c r="D7" i="32"/>
  <c r="D4" i="32"/>
  <c r="D3" i="32"/>
  <c r="D2" i="32"/>
  <c r="F2" i="32" s="1"/>
  <c r="O23" i="32"/>
  <c r="N23" i="32"/>
  <c r="O22" i="32"/>
  <c r="N22" i="32"/>
  <c r="O21" i="32"/>
  <c r="N21" i="32"/>
  <c r="O20" i="32"/>
  <c r="N20" i="32"/>
  <c r="O19" i="32"/>
  <c r="N19" i="32"/>
  <c r="O18" i="32"/>
  <c r="N18" i="32"/>
  <c r="O17" i="32"/>
  <c r="N17" i="32"/>
  <c r="O16" i="32"/>
  <c r="N16" i="32"/>
  <c r="O15" i="32"/>
  <c r="N15" i="32"/>
  <c r="O14" i="32"/>
  <c r="N14" i="32"/>
  <c r="O13" i="32"/>
  <c r="N13" i="32"/>
  <c r="O12" i="32"/>
  <c r="N12" i="32"/>
  <c r="O11" i="32"/>
  <c r="N11" i="32"/>
  <c r="O10" i="32"/>
  <c r="N10" i="32"/>
  <c r="O9" i="32"/>
  <c r="N9" i="32"/>
  <c r="D9" i="32"/>
  <c r="B9" i="32"/>
  <c r="F9" i="32" s="1"/>
  <c r="O8" i="32"/>
  <c r="N8" i="32"/>
  <c r="D8" i="32"/>
  <c r="O7" i="32"/>
  <c r="N7" i="32"/>
  <c r="B7" i="32"/>
  <c r="O6" i="32"/>
  <c r="N6" i="32"/>
  <c r="I6" i="32"/>
  <c r="D6" i="32"/>
  <c r="O5" i="32"/>
  <c r="N5" i="32"/>
  <c r="O4" i="32"/>
  <c r="P4" i="32" s="1"/>
  <c r="N4" i="32"/>
  <c r="M1" i="32"/>
  <c r="L1" i="32"/>
  <c r="C11" i="20"/>
  <c r="D11" i="20"/>
  <c r="B11" i="20"/>
  <c r="C8" i="20"/>
  <c r="D8" i="20"/>
  <c r="B8" i="20"/>
  <c r="B3" i="27"/>
  <c r="B1" i="27"/>
  <c r="B4" i="27" s="1"/>
  <c r="C2" i="19"/>
  <c r="C1" i="19"/>
  <c r="D10" i="32" l="1"/>
  <c r="D11" i="32" s="1"/>
  <c r="F10" i="32"/>
  <c r="F11" i="32" s="1"/>
  <c r="B10" i="32"/>
  <c r="B2" i="27"/>
  <c r="B11" i="32" l="1"/>
  <c r="M2" i="32" s="1"/>
  <c r="L2" i="32"/>
  <c r="B1" i="31" l="1"/>
  <c r="B5" i="31"/>
  <c r="B4" i="31"/>
  <c r="B2" i="31"/>
  <c r="B6" i="31"/>
  <c r="G8" i="30"/>
  <c r="C2" i="30"/>
  <c r="C1" i="30"/>
  <c r="B31" i="29"/>
  <c r="B32" i="29" s="1"/>
  <c r="B28" i="29"/>
  <c r="B29" i="29" s="1"/>
  <c r="B30" i="29" s="1"/>
  <c r="B23" i="29"/>
  <c r="B24" i="29" s="1"/>
  <c r="B25" i="29" s="1"/>
  <c r="B18" i="29"/>
  <c r="B19" i="29" s="1"/>
  <c r="B20" i="29" s="1"/>
  <c r="B11" i="29"/>
  <c r="B12" i="29" s="1"/>
  <c r="B13" i="29" s="1"/>
  <c r="B9" i="29"/>
  <c r="D35" i="28"/>
  <c r="C35" i="28"/>
  <c r="B63" i="28"/>
  <c r="B62" i="28"/>
  <c r="B49" i="28"/>
  <c r="B48" i="28"/>
  <c r="B56" i="28"/>
  <c r="B55" i="28"/>
  <c r="B42" i="28"/>
  <c r="B41" i="28"/>
  <c r="H12" i="28"/>
  <c r="I5" i="28"/>
  <c r="C63" i="28"/>
  <c r="C47" i="28"/>
  <c r="R42" i="28"/>
  <c r="Q42" i="28"/>
  <c r="L42" i="28"/>
  <c r="K42" i="28"/>
  <c r="R41" i="28"/>
  <c r="Q41" i="28"/>
  <c r="L41" i="28"/>
  <c r="K41" i="28"/>
  <c r="R40" i="28"/>
  <c r="Q40" i="28"/>
  <c r="L40" i="28"/>
  <c r="K40" i="28"/>
  <c r="R39" i="28"/>
  <c r="Q39" i="28"/>
  <c r="L39" i="28"/>
  <c r="K39" i="28"/>
  <c r="R38" i="28"/>
  <c r="Q38" i="28"/>
  <c r="L38" i="28"/>
  <c r="K38" i="28"/>
  <c r="R37" i="28"/>
  <c r="Q37" i="28"/>
  <c r="L37" i="28"/>
  <c r="K37" i="28"/>
  <c r="R36" i="28"/>
  <c r="Q36" i="28"/>
  <c r="L36" i="28"/>
  <c r="K36" i="28"/>
  <c r="R35" i="28"/>
  <c r="Q35" i="28"/>
  <c r="L35" i="28"/>
  <c r="K35" i="28"/>
  <c r="R34" i="28"/>
  <c r="Q34" i="28"/>
  <c r="L34" i="28"/>
  <c r="K34" i="28"/>
  <c r="D34" i="28"/>
  <c r="C56" i="28" s="1"/>
  <c r="C34" i="28"/>
  <c r="C42" i="28" s="1"/>
  <c r="R33" i="28"/>
  <c r="Q33" i="28"/>
  <c r="L33" i="28"/>
  <c r="K33" i="28"/>
  <c r="D33" i="28"/>
  <c r="C62" i="28" s="1"/>
  <c r="C33" i="28"/>
  <c r="C48" i="28" s="1"/>
  <c r="R32" i="28"/>
  <c r="Q32" i="28"/>
  <c r="L32" i="28"/>
  <c r="K32" i="28"/>
  <c r="C32" i="28"/>
  <c r="B32" i="28"/>
  <c r="D32" i="28" s="1"/>
  <c r="R31" i="28"/>
  <c r="Q31" i="28"/>
  <c r="L31" i="28"/>
  <c r="K31" i="28"/>
  <c r="D31" i="28"/>
  <c r="B61" i="28" s="1"/>
  <c r="C31" i="28"/>
  <c r="B47" i="28" s="1"/>
  <c r="R30" i="28"/>
  <c r="Q30" i="28"/>
  <c r="L30" i="28"/>
  <c r="K30" i="28"/>
  <c r="D30" i="28"/>
  <c r="B54" i="28" s="1"/>
  <c r="C30" i="28"/>
  <c r="B40" i="28" s="1"/>
  <c r="R29" i="28"/>
  <c r="Q29" i="28"/>
  <c r="L29" i="28"/>
  <c r="K29" i="28"/>
  <c r="D29" i="28"/>
  <c r="C54" i="28" s="1"/>
  <c r="C29" i="28"/>
  <c r="C40" i="28" s="1"/>
  <c r="R28" i="28"/>
  <c r="Q28" i="28"/>
  <c r="L28" i="28"/>
  <c r="K28" i="28"/>
  <c r="R27" i="28"/>
  <c r="Q27" i="28"/>
  <c r="L27" i="28"/>
  <c r="K27" i="28"/>
  <c r="R26" i="28"/>
  <c r="Q26" i="28"/>
  <c r="L26" i="28"/>
  <c r="K26" i="28"/>
  <c r="R25" i="28"/>
  <c r="Q25" i="28"/>
  <c r="L25" i="28"/>
  <c r="K25" i="28"/>
  <c r="R24" i="28"/>
  <c r="Q24" i="28"/>
  <c r="L24" i="28"/>
  <c r="K24" i="28"/>
  <c r="R23" i="28"/>
  <c r="Q23" i="28"/>
  <c r="L23" i="28"/>
  <c r="K23" i="28"/>
  <c r="R22" i="28"/>
  <c r="Q22" i="28"/>
  <c r="L22" i="28"/>
  <c r="K22" i="28"/>
  <c r="R21" i="28"/>
  <c r="Q21" i="28"/>
  <c r="L21" i="28"/>
  <c r="K21" i="28"/>
  <c r="R20" i="28"/>
  <c r="Q20" i="28"/>
  <c r="L20" i="28"/>
  <c r="K20" i="28"/>
  <c r="R19" i="28"/>
  <c r="Q19" i="28"/>
  <c r="L19" i="28"/>
  <c r="K19" i="28"/>
  <c r="R18" i="28"/>
  <c r="Q18" i="28"/>
  <c r="L18" i="28"/>
  <c r="K18" i="28"/>
  <c r="R17" i="28"/>
  <c r="Q17" i="28"/>
  <c r="L17" i="28"/>
  <c r="K17" i="28"/>
  <c r="B17" i="28"/>
  <c r="R16" i="28"/>
  <c r="Q16" i="28"/>
  <c r="L16" i="28"/>
  <c r="K16" i="28"/>
  <c r="B16" i="28"/>
  <c r="R15" i="28"/>
  <c r="Q15" i="28"/>
  <c r="L15" i="28"/>
  <c r="K15" i="28"/>
  <c r="R14" i="28"/>
  <c r="Q14" i="28"/>
  <c r="L14" i="28"/>
  <c r="K14" i="28"/>
  <c r="N12" i="28"/>
  <c r="Q13" i="28" s="1"/>
  <c r="K13" i="28"/>
  <c r="C12" i="28"/>
  <c r="B15" i="28" s="1"/>
  <c r="C5" i="28"/>
  <c r="B14" i="28" s="1"/>
  <c r="B18" i="28" s="1"/>
  <c r="M1" i="28"/>
  <c r="B12" i="12"/>
  <c r="B9" i="12"/>
  <c r="B10" i="12" s="1"/>
  <c r="B8" i="11"/>
  <c r="H1" i="10"/>
  <c r="B9" i="10"/>
  <c r="B4" i="10"/>
  <c r="H2" i="9"/>
  <c r="H1" i="9"/>
  <c r="B9" i="9"/>
  <c r="A5" i="8"/>
  <c r="F3" i="8"/>
  <c r="G3" i="8"/>
  <c r="E3" i="8"/>
  <c r="B3" i="8"/>
  <c r="C3" i="8" s="1"/>
  <c r="A3" i="8"/>
  <c r="A2" i="8"/>
  <c r="B10" i="7"/>
  <c r="B9" i="7"/>
  <c r="B11" i="7" s="1"/>
  <c r="D11" i="7" s="1"/>
  <c r="E11" i="7" s="1"/>
  <c r="B15" i="1"/>
  <c r="B9" i="1"/>
  <c r="B10" i="1" s="1"/>
  <c r="B6" i="1"/>
  <c r="B7" i="1" s="1"/>
  <c r="B2" i="1"/>
  <c r="B3" i="1" s="1"/>
  <c r="C6" i="1" s="1"/>
  <c r="C7" i="1" s="1"/>
  <c r="D2" i="24"/>
  <c r="B3" i="31" l="1"/>
  <c r="B7" i="31"/>
  <c r="B8" i="31" s="1"/>
  <c r="B9" i="31" s="1"/>
  <c r="B35" i="28"/>
  <c r="B36" i="28" s="1"/>
  <c r="D36" i="28"/>
  <c r="C36" i="28"/>
  <c r="C55" i="28"/>
  <c r="C57" i="28" s="1"/>
  <c r="L13" i="28"/>
  <c r="B19" i="28"/>
  <c r="B20" i="28" s="1"/>
  <c r="R13" i="28"/>
  <c r="C41" i="28"/>
  <c r="C43" i="28" s="1"/>
  <c r="C49" i="28"/>
  <c r="C50" i="28" s="1"/>
  <c r="C61" i="28"/>
  <c r="C64" i="28" s="1"/>
  <c r="D3" i="8"/>
  <c r="C2" i="8"/>
  <c r="B2" i="8"/>
  <c r="C9" i="7"/>
  <c r="B16" i="1"/>
  <c r="B11" i="1"/>
  <c r="B12" i="1" s="1"/>
  <c r="B10" i="31" l="1"/>
  <c r="B21" i="28"/>
  <c r="B23" i="28" s="1"/>
  <c r="D2" i="8"/>
  <c r="L4" i="1"/>
  <c r="M8" i="28" l="1"/>
  <c r="M5" i="28"/>
  <c r="C24" i="28"/>
  <c r="I11" i="28"/>
  <c r="O11" i="28" s="1"/>
  <c r="M2" i="28"/>
  <c r="M3" i="28"/>
  <c r="M7" i="28"/>
  <c r="B24" i="28"/>
  <c r="J11" i="28" s="1"/>
  <c r="P11" i="28" s="1"/>
  <c r="M4" i="28"/>
  <c r="M6" i="28"/>
  <c r="E2" i="8"/>
  <c r="D4" i="24"/>
  <c r="D3" i="24"/>
  <c r="C9" i="20"/>
  <c r="D9" i="20"/>
  <c r="B9" i="20"/>
  <c r="B25" i="28" l="1"/>
  <c r="G2" i="8"/>
  <c r="F2" i="8"/>
  <c r="D10" i="20"/>
  <c r="B10" i="20"/>
  <c r="C10" i="20"/>
  <c r="C2" i="24"/>
  <c r="F2" i="24" s="1"/>
  <c r="C4" i="24"/>
  <c r="F4" i="24" s="1"/>
  <c r="C3" i="24"/>
  <c r="F3" i="24" s="1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F3" i="12"/>
  <c r="H2" i="12"/>
  <c r="H5" i="11"/>
  <c r="H6" i="11"/>
  <c r="H7" i="11"/>
  <c r="H8" i="11"/>
  <c r="H9" i="11"/>
  <c r="H10" i="11"/>
  <c r="H11" i="11"/>
  <c r="H12" i="11"/>
  <c r="H13" i="11"/>
  <c r="F3" i="11"/>
  <c r="G2" i="11"/>
  <c r="E2" i="9"/>
  <c r="G2" i="9" s="1"/>
  <c r="E1" i="9"/>
  <c r="G1" i="9" s="1"/>
  <c r="A4" i="6"/>
  <c r="A2" i="6"/>
  <c r="J19" i="1"/>
  <c r="K22" i="1"/>
  <c r="K23" i="1"/>
  <c r="K24" i="1"/>
  <c r="K25" i="1"/>
  <c r="K26" i="1"/>
  <c r="K27" i="1"/>
  <c r="K28" i="1"/>
  <c r="K29" i="1"/>
  <c r="K30" i="1"/>
  <c r="K31" i="1"/>
  <c r="K32" i="1"/>
  <c r="K33" i="1"/>
  <c r="K21" i="1"/>
  <c r="L10" i="1"/>
  <c r="L12" i="1"/>
  <c r="L13" i="1"/>
  <c r="L14" i="1"/>
  <c r="L15" i="1"/>
  <c r="L5" i="1"/>
  <c r="L6" i="1"/>
  <c r="L7" i="1"/>
  <c r="L8" i="1"/>
  <c r="L9" i="1"/>
  <c r="L11" i="1"/>
  <c r="E1" i="10" l="1"/>
  <c r="I4" i="12"/>
  <c r="H4" i="11"/>
  <c r="G1" i="10"/>
  <c r="J4" i="12"/>
  <c r="G2" i="12"/>
  <c r="J2" i="1"/>
  <c r="K2" i="1" l="1"/>
</calcChain>
</file>

<file path=xl/sharedStrings.xml><?xml version="1.0" encoding="utf-8"?>
<sst xmlns="http://schemas.openxmlformats.org/spreadsheetml/2006/main" count="402" uniqueCount="177">
  <si>
    <t>a.</t>
  </si>
  <si>
    <t>Depreciation</t>
  </si>
  <si>
    <t>The accounting break-even is:</t>
  </si>
  <si>
    <t>units</t>
  </si>
  <si>
    <t>b.</t>
  </si>
  <si>
    <t>OCF</t>
  </si>
  <si>
    <t>Tax rate</t>
  </si>
  <si>
    <t>Require return</t>
  </si>
  <si>
    <t>NPV</t>
  </si>
  <si>
    <t>Sales are projected</t>
  </si>
  <si>
    <t>The quantity sold</t>
  </si>
  <si>
    <t>∆NPV/∆S</t>
  </si>
  <si>
    <t>Sales drop (-500) units</t>
  </si>
  <si>
    <t>c.</t>
  </si>
  <si>
    <t>per unit</t>
  </si>
  <si>
    <t>∆OCF/∆var</t>
  </si>
  <si>
    <t>Variable Cost</t>
  </si>
  <si>
    <t>If variable costs decrease by $1 then OCF would increase by $43,450</t>
  </si>
  <si>
    <t>per unit (Sales)</t>
  </si>
  <si>
    <t>Fixed Cost</t>
  </si>
  <si>
    <t>Price per unit</t>
  </si>
  <si>
    <t>per year units</t>
  </si>
  <si>
    <t>Accounting Break­Even</t>
  </si>
  <si>
    <t>Unit Price</t>
  </si>
  <si>
    <t>Unit Variable Cost</t>
  </si>
  <si>
    <t>Fixed Costs</t>
  </si>
  <si>
    <t>Discount rate</t>
  </si>
  <si>
    <t>Machine Cost</t>
  </si>
  <si>
    <t>EAC</t>
  </si>
  <si>
    <t>The financial break-even point is :</t>
  </si>
  <si>
    <t>Year 0</t>
  </si>
  <si>
    <t>Year 1</t>
  </si>
  <si>
    <t>Year 2</t>
  </si>
  <si>
    <t>Year 3</t>
  </si>
  <si>
    <t>Year 4</t>
  </si>
  <si>
    <t>Year 5</t>
  </si>
  <si>
    <t>Year 6</t>
  </si>
  <si>
    <t>Increased cash flows</t>
  </si>
  <si>
    <t xml:space="preserve">Sales price per abalone          </t>
  </si>
  <si>
    <t xml:space="preserve">Variable costs per abalone     </t>
  </si>
  <si>
    <t xml:space="preserve">Fixed costs per year               </t>
  </si>
  <si>
    <t xml:space="preserve">Depreciation per year             </t>
  </si>
  <si>
    <t xml:space="preserve">Tax rate                                   </t>
  </si>
  <si>
    <t>Investment in equipment is</t>
  </si>
  <si>
    <t>The accounting break-even point is:</t>
  </si>
  <si>
    <t>Sales price per shoes</t>
  </si>
  <si>
    <t>Variable costs per shoes</t>
  </si>
  <si>
    <t>Quantity sold</t>
  </si>
  <si>
    <t>Initial fixed asset investment</t>
  </si>
  <si>
    <t>∆OCF/∆qua</t>
  </si>
  <si>
    <t>Initial investment</t>
  </si>
  <si>
    <t>The Best-Case</t>
  </si>
  <si>
    <t>The Worst-Case</t>
  </si>
  <si>
    <t>∆NPV/∆Cfix</t>
  </si>
  <si>
    <t>∆OCF/∆Cfix</t>
  </si>
  <si>
    <t>Sales</t>
  </si>
  <si>
    <t>New clubs</t>
  </si>
  <si>
    <t>Exp. clubs</t>
  </si>
  <si>
    <t>Cheap clubs</t>
  </si>
  <si>
    <t>Var. costs</t>
  </si>
  <si>
    <t>Variable costs</t>
  </si>
  <si>
    <t>Fixed costs</t>
  </si>
  <si>
    <t>EBT</t>
  </si>
  <si>
    <t>Taxes</t>
  </si>
  <si>
    <t>Net income</t>
  </si>
  <si>
    <t>Cost of capital</t>
  </si>
  <si>
    <t>Payback period</t>
  </si>
  <si>
    <t>Initial investment NWC</t>
  </si>
  <si>
    <t>years</t>
  </si>
  <si>
    <t>IRR</t>
  </si>
  <si>
    <t>Base Case</t>
  </si>
  <si>
    <t>Unit sales (new)</t>
  </si>
  <si>
    <t>Price (new)</t>
  </si>
  <si>
    <t>VC (new)</t>
  </si>
  <si>
    <t>Sales lost (expensive)</t>
  </si>
  <si>
    <t>Sales gained (cheap)</t>
  </si>
  <si>
    <t>Best Case</t>
  </si>
  <si>
    <t>Worst Case</t>
  </si>
  <si>
    <t>∆NPV/∆qua</t>
  </si>
  <si>
    <t>∆NPV/∆pric</t>
  </si>
  <si>
    <t>Units sold (new)</t>
  </si>
  <si>
    <t>∆OCF/∆pric</t>
  </si>
  <si>
    <t>Total cost</t>
  </si>
  <si>
    <t>Q</t>
  </si>
  <si>
    <t>PV future CFs</t>
  </si>
  <si>
    <t>Expected value of project at Year 1</t>
  </si>
  <si>
    <t>Gain from option to abandon</t>
  </si>
  <si>
    <t>Option value</t>
  </si>
  <si>
    <t>Gain from option to expand</t>
  </si>
  <si>
    <t>The initial investment is :</t>
  </si>
  <si>
    <t>in licensing fees</t>
  </si>
  <si>
    <t>The remaining life of the mine is:</t>
  </si>
  <si>
    <t>CFO</t>
  </si>
  <si>
    <t>The NPV is one year will be:</t>
  </si>
  <si>
    <t>NPV today</t>
  </si>
  <si>
    <t>Pessimistic</t>
  </si>
  <si>
    <t>Expected</t>
  </si>
  <si>
    <t>Optimistic</t>
  </si>
  <si>
    <t>Market size</t>
  </si>
  <si>
    <t>Market share</t>
  </si>
  <si>
    <t>Selling price</t>
  </si>
  <si>
    <t>Variable costs per unit</t>
  </si>
  <si>
    <t>Fixed costs per year</t>
  </si>
  <si>
    <t>Sales (units per year)</t>
  </si>
  <si>
    <t>Variable costs per ton</t>
  </si>
  <si>
    <t>Selling price per ton</t>
  </si>
  <si>
    <t>NWC</t>
  </si>
  <si>
    <t>Project to supply (tons)</t>
  </si>
  <si>
    <t>Aftertax Salvage value</t>
  </si>
  <si>
    <t>Quantity supplied</t>
  </si>
  <si>
    <r>
      <t>∆NPV</t>
    </r>
    <r>
      <rPr>
        <sz val="12"/>
        <color theme="1"/>
        <rFont val="Arial Narrow"/>
        <family val="2"/>
      </rPr>
      <t>/</t>
    </r>
    <r>
      <rPr>
        <sz val="12"/>
        <color theme="1"/>
        <rFont val="Calibri"/>
        <family val="2"/>
      </rPr>
      <t>∆</t>
    </r>
    <r>
      <rPr>
        <sz val="12"/>
        <color theme="1"/>
        <rFont val="Arial Narrow"/>
        <family val="2"/>
      </rPr>
      <t>qua</t>
    </r>
  </si>
  <si>
    <t>Q_min</t>
  </si>
  <si>
    <t>∆Q</t>
  </si>
  <si>
    <t>Year</t>
  </si>
  <si>
    <t>Market Value ($ millions)</t>
  </si>
  <si>
    <t>Revenue annualy</t>
  </si>
  <si>
    <t>Operating costs</t>
  </si>
  <si>
    <t>if we abandon the CFO after period:</t>
  </si>
  <si>
    <t>Book Value</t>
  </si>
  <si>
    <t>After- tax Salvage value</t>
  </si>
  <si>
    <t>PV of downward revision</t>
  </si>
  <si>
    <t>PV of upward revision</t>
  </si>
  <si>
    <t>Save Pretax operating expenses annualy</t>
  </si>
  <si>
    <t>1-10 Years</t>
  </si>
  <si>
    <t>The annual depreciation for the old harvester is:</t>
  </si>
  <si>
    <t>The aftertax salvage value of the old harvester will be:</t>
  </si>
  <si>
    <t>The aftertax present value of the cash flows savings as:</t>
  </si>
  <si>
    <t>The break-even 
purchase price 
of the new harvester is :</t>
  </si>
  <si>
    <t>Base-case NPV</t>
  </si>
  <si>
    <t>New annual cash flow</t>
  </si>
  <si>
    <t>NPER</t>
  </si>
  <si>
    <t>CostOfProject</t>
  </si>
  <si>
    <t>∆Quantity</t>
  </si>
  <si>
    <t>∆VC</t>
  </si>
  <si>
    <t>Negative</t>
  </si>
  <si>
    <t>The machine will decline by</t>
  </si>
  <si>
    <t>per year until it reaches $2.155 million</t>
  </si>
  <si>
    <t xml:space="preserve">Wait until Year 2 and buy machine or Year 1 </t>
  </si>
  <si>
    <t>Price</t>
  </si>
  <si>
    <t>FC</t>
  </si>
  <si>
    <t>Abandonment Value</t>
  </si>
  <si>
    <t>After the first year</t>
  </si>
  <si>
    <t>Financial Break-Even</t>
  </si>
  <si>
    <t>Q (Expansion)</t>
  </si>
  <si>
    <t>Expected sales will be revised upward to units if the first year is a success</t>
  </si>
  <si>
    <t xml:space="preserve">Q (Abandonment) </t>
  </si>
  <si>
    <t>Projected sales</t>
  </si>
  <si>
    <t xml:space="preserve">Will be after expansion </t>
  </si>
  <si>
    <t>Depreciation Bonus</t>
  </si>
  <si>
    <t>VC</t>
  </si>
  <si>
    <t>S0</t>
  </si>
  <si>
    <t>SpotPrice</t>
  </si>
  <si>
    <t>S1</t>
  </si>
  <si>
    <t>FuturePrice</t>
  </si>
  <si>
    <t>OCF_Up</t>
  </si>
  <si>
    <t>There is a 60 percent probability</t>
  </si>
  <si>
    <t>OCF_Down</t>
  </si>
  <si>
    <t>There is a 40 percent probability</t>
  </si>
  <si>
    <t>PVA_Up OCF</t>
  </si>
  <si>
    <t>PVA_Down OCF</t>
  </si>
  <si>
    <t>Abandonment value</t>
  </si>
  <si>
    <t>OCF_Break-Even</t>
  </si>
  <si>
    <t>Q0</t>
  </si>
  <si>
    <t>units per year</t>
  </si>
  <si>
    <t>Aftertax salvage value</t>
  </si>
  <si>
    <t>after the first year</t>
  </si>
  <si>
    <t>Q1</t>
  </si>
  <si>
    <t>Also, after the first year with equal probability</t>
  </si>
  <si>
    <t>The Base-Case</t>
  </si>
  <si>
    <r>
      <rPr>
        <sz val="12"/>
        <color theme="1"/>
        <rFont val="Arial Narrow"/>
        <family val="2"/>
      </rPr>
      <t>∆</t>
    </r>
    <r>
      <rPr>
        <b/>
        <sz val="12"/>
        <color theme="1"/>
        <rFont val="Arial Narrow"/>
        <family val="2"/>
      </rPr>
      <t>OCF</t>
    </r>
    <r>
      <rPr>
        <sz val="12"/>
        <color theme="1"/>
        <rFont val="Arial Narrow"/>
        <family val="2"/>
      </rPr>
      <t>/</t>
    </r>
    <r>
      <rPr>
        <sz val="12"/>
        <color theme="1"/>
        <rFont val="Calibri"/>
        <family val="2"/>
      </rPr>
      <t>∆</t>
    </r>
    <r>
      <rPr>
        <sz val="12"/>
        <color theme="1"/>
        <rFont val="Arial Narrow"/>
        <family val="2"/>
      </rPr>
      <t>qua</t>
    </r>
  </si>
  <si>
    <t>Salvage value</t>
  </si>
  <si>
    <t>OCF_1</t>
  </si>
  <si>
    <t>#Case 1 After one year</t>
  </si>
  <si>
    <t>#Case 2 After one year</t>
  </si>
  <si>
    <t>Each revision has an equal probability of occurring</t>
  </si>
  <si>
    <t>Market Value of old harvester</t>
  </si>
  <si>
    <t xml:space="preserve">NPER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</si>
</sst>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&quot;$&quot;#,##0.000_);[Red]\(&quot;$&quot;#,##0.000\)"/>
    <numFmt numFmtId="167" formatCode="0.000"/>
    <numFmt numFmtId="168" formatCode="#,##0.000"/>
    <numFmt numFmtId="169" formatCode="&quot;$&quot;\ 0"/>
    <numFmt numFmtId="170" formatCode="&quot;$&quot;\ #,##0"/>
    <numFmt numFmtId="171" formatCode="#,##0.0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sz val="10"/>
      <name val="Times New Roman"/>
      <family val="1"/>
      <charset val="204"/>
    </font>
    <font>
      <b/>
      <sz val="12"/>
      <color indexed="8"/>
      <name val="Arial Narrow"/>
      <family val="2"/>
    </font>
    <font>
      <b/>
      <sz val="12"/>
      <color indexed="63"/>
      <name val="Arial Narrow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2"/>
      <color indexed="63"/>
      <name val="Arial Narrow"/>
      <family val="2"/>
      <charset val="204"/>
    </font>
    <font>
      <sz val="11"/>
      <color theme="1"/>
      <name val="Calibri"/>
      <family val="2"/>
      <scheme val="minor"/>
    </font>
    <font>
      <b/>
      <sz val="12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6" fillId="0" borderId="0"/>
    <xf numFmtId="0" fontId="4" fillId="0" borderId="0"/>
  </cellStyleXfs>
  <cellXfs count="190">
    <xf numFmtId="0" fontId="0" fillId="0" borderId="0" xfId="0"/>
    <xf numFmtId="0" fontId="8" fillId="0" borderId="0" xfId="0" applyFont="1"/>
    <xf numFmtId="8" fontId="0" fillId="0" borderId="0" xfId="0" applyNumberFormat="1"/>
    <xf numFmtId="3" fontId="11" fillId="0" borderId="0" xfId="0" applyNumberFormat="1" applyFont="1"/>
    <xf numFmtId="6" fontId="11" fillId="0" borderId="0" xfId="0" applyNumberFormat="1" applyFont="1"/>
    <xf numFmtId="8" fontId="11" fillId="0" borderId="0" xfId="0" applyNumberFormat="1" applyFont="1"/>
    <xf numFmtId="0" fontId="11" fillId="0" borderId="0" xfId="0" applyFont="1" applyAlignment="1">
      <alignment horizontal="center"/>
    </xf>
    <xf numFmtId="164" fontId="11" fillId="0" borderId="0" xfId="0" applyNumberFormat="1" applyFont="1"/>
    <xf numFmtId="166" fontId="11" fillId="2" borderId="0" xfId="0" applyNumberFormat="1" applyFont="1" applyFill="1"/>
    <xf numFmtId="165" fontId="11" fillId="0" borderId="0" xfId="0" applyNumberFormat="1" applyFont="1"/>
    <xf numFmtId="6" fontId="11" fillId="0" borderId="0" xfId="0" applyNumberFormat="1" applyFont="1" applyAlignment="1">
      <alignment horizontal="center"/>
    </xf>
    <xf numFmtId="4" fontId="11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9" fillId="0" borderId="0" xfId="0" applyNumberFormat="1" applyFont="1" applyAlignment="1">
      <alignment horizontal="center"/>
    </xf>
    <xf numFmtId="164" fontId="11" fillId="2" borderId="0" xfId="0" applyNumberFormat="1" applyFont="1" applyFill="1"/>
    <xf numFmtId="0" fontId="10" fillId="0" borderId="1" xfId="0" applyFont="1" applyBorder="1" applyAlignment="1">
      <alignment horizontal="center"/>
    </xf>
    <xf numFmtId="0" fontId="9" fillId="0" borderId="0" xfId="0" applyFont="1"/>
    <xf numFmtId="6" fontId="14" fillId="6" borderId="0" xfId="0" applyNumberFormat="1" applyFont="1" applyFill="1" applyAlignment="1">
      <alignment horizontal="center" vertical="top" shrinkToFit="1"/>
    </xf>
    <xf numFmtId="6" fontId="0" fillId="0" borderId="0" xfId="0" applyNumberFormat="1"/>
    <xf numFmtId="8" fontId="14" fillId="6" borderId="0" xfId="0" applyNumberFormat="1" applyFont="1" applyFill="1" applyAlignment="1">
      <alignment horizontal="center" vertical="top" wrapText="1"/>
    </xf>
    <xf numFmtId="0" fontId="13" fillId="5" borderId="0" xfId="0" applyFont="1" applyFill="1" applyAlignment="1">
      <alignment horizontal="center" vertical="top" wrapText="1"/>
    </xf>
    <xf numFmtId="0" fontId="13" fillId="5" borderId="0" xfId="0" applyFont="1" applyFill="1" applyAlignment="1">
      <alignment horizontal="center" vertical="center" wrapText="1"/>
    </xf>
    <xf numFmtId="6" fontId="11" fillId="3" borderId="0" xfId="0" applyNumberFormat="1" applyFont="1" applyFill="1"/>
    <xf numFmtId="6" fontId="11" fillId="4" borderId="0" xfId="0" applyNumberFormat="1" applyFont="1" applyFill="1"/>
    <xf numFmtId="8" fontId="11" fillId="3" borderId="0" xfId="0" applyNumberFormat="1" applyFont="1" applyFill="1"/>
    <xf numFmtId="8" fontId="11" fillId="2" borderId="0" xfId="0" applyNumberFormat="1" applyFont="1" applyFill="1"/>
    <xf numFmtId="3" fontId="11" fillId="0" borderId="0" xfId="0" applyNumberFormat="1" applyFont="1" applyAlignment="1">
      <alignment horizontal="center"/>
    </xf>
    <xf numFmtId="167" fontId="11" fillId="2" borderId="0" xfId="0" applyNumberFormat="1" applyFont="1" applyFill="1"/>
    <xf numFmtId="2" fontId="11" fillId="2" borderId="0" xfId="0" applyNumberFormat="1" applyFont="1" applyFill="1"/>
    <xf numFmtId="168" fontId="11" fillId="0" borderId="0" xfId="0" applyNumberFormat="1" applyFont="1"/>
    <xf numFmtId="164" fontId="11" fillId="0" borderId="0" xfId="0" applyNumberFormat="1" applyFont="1" applyAlignment="1">
      <alignment horizontal="center"/>
    </xf>
    <xf numFmtId="0" fontId="14" fillId="6" borderId="0" xfId="0" applyFont="1" applyFill="1" applyAlignment="1">
      <alignment horizontal="left" vertical="top" wrapText="1"/>
    </xf>
    <xf numFmtId="0" fontId="19" fillId="6" borderId="0" xfId="0" applyFont="1" applyFill="1" applyAlignment="1">
      <alignment horizontal="left" vertical="top" wrapText="1"/>
    </xf>
    <xf numFmtId="3" fontId="14" fillId="6" borderId="0" xfId="0" applyNumberFormat="1" applyFont="1" applyFill="1" applyAlignment="1">
      <alignment horizontal="right" vertical="top" shrinkToFit="1"/>
    </xf>
    <xf numFmtId="1" fontId="14" fillId="6" borderId="0" xfId="0" applyNumberFormat="1" applyFont="1" applyFill="1" applyAlignment="1">
      <alignment horizontal="center" vertical="top" shrinkToFit="1"/>
    </xf>
    <xf numFmtId="4" fontId="14" fillId="6" borderId="0" xfId="0" applyNumberFormat="1" applyFont="1" applyFill="1" applyAlignment="1">
      <alignment horizontal="right" vertical="top" shrinkToFit="1"/>
    </xf>
    <xf numFmtId="171" fontId="14" fillId="6" borderId="0" xfId="0" applyNumberFormat="1" applyFont="1" applyFill="1" applyAlignment="1">
      <alignment horizontal="right" vertical="top" shrinkToFit="1"/>
    </xf>
    <xf numFmtId="3" fontId="14" fillId="6" borderId="0" xfId="0" applyNumberFormat="1" applyFont="1" applyFill="1" applyAlignment="1">
      <alignment horizontal="left" shrinkToFit="1"/>
    </xf>
    <xf numFmtId="171" fontId="14" fillId="6" borderId="0" xfId="0" applyNumberFormat="1" applyFont="1" applyFill="1" applyAlignment="1">
      <alignment horizontal="left" shrinkToFit="1"/>
    </xf>
    <xf numFmtId="0" fontId="11" fillId="0" borderId="4" xfId="0" applyFont="1" applyBorder="1"/>
    <xf numFmtId="9" fontId="11" fillId="0" borderId="4" xfId="0" applyNumberFormat="1" applyFont="1" applyBorder="1"/>
    <xf numFmtId="6" fontId="11" fillId="0" borderId="4" xfId="0" applyNumberFormat="1" applyFont="1" applyBorder="1"/>
    <xf numFmtId="3" fontId="11" fillId="0" borderId="4" xfId="0" applyNumberFormat="1" applyFont="1" applyBorder="1"/>
    <xf numFmtId="0" fontId="22" fillId="0" borderId="4" xfId="0" applyFont="1" applyBorder="1" applyAlignment="1">
      <alignment horizontal="left"/>
    </xf>
    <xf numFmtId="0" fontId="22" fillId="0" borderId="4" xfId="0" applyFont="1" applyBorder="1"/>
    <xf numFmtId="8" fontId="11" fillId="0" borderId="4" xfId="0" applyNumberFormat="1" applyFont="1" applyBorder="1"/>
    <xf numFmtId="0" fontId="10" fillId="0" borderId="4" xfId="0" applyFont="1" applyBorder="1"/>
    <xf numFmtId="0" fontId="11" fillId="0" borderId="4" xfId="0" applyFont="1" applyBorder="1" applyAlignment="1">
      <alignment horizontal="left"/>
    </xf>
    <xf numFmtId="166" fontId="11" fillId="0" borderId="0" xfId="0" applyNumberFormat="1" applyFont="1"/>
    <xf numFmtId="4" fontId="11" fillId="0" borderId="4" xfId="0" applyNumberFormat="1" applyFont="1" applyBorder="1"/>
    <xf numFmtId="4" fontId="0" fillId="0" borderId="0" xfId="0" applyNumberFormat="1"/>
    <xf numFmtId="0" fontId="23" fillId="0" borderId="4" xfId="0" applyFont="1" applyBorder="1"/>
    <xf numFmtId="0" fontId="14" fillId="7" borderId="4" xfId="0" applyFont="1" applyFill="1" applyBorder="1" applyAlignment="1">
      <alignment horizontal="left" vertical="top"/>
    </xf>
    <xf numFmtId="10" fontId="0" fillId="0" borderId="0" xfId="0" applyNumberFormat="1"/>
    <xf numFmtId="6" fontId="22" fillId="0" borderId="4" xfId="0" applyNumberFormat="1" applyFont="1" applyBorder="1"/>
    <xf numFmtId="8" fontId="22" fillId="0" borderId="4" xfId="0" applyNumberFormat="1" applyFont="1" applyBorder="1"/>
    <xf numFmtId="3" fontId="14" fillId="6" borderId="0" xfId="0" applyNumberFormat="1" applyFont="1" applyFill="1" applyAlignment="1">
      <alignment vertical="top" shrinkToFit="1"/>
    </xf>
    <xf numFmtId="9" fontId="14" fillId="6" borderId="0" xfId="0" applyNumberFormat="1" applyFont="1" applyFill="1" applyAlignment="1">
      <alignment vertical="top" shrinkToFit="1"/>
    </xf>
    <xf numFmtId="169" fontId="14" fillId="6" borderId="0" xfId="0" applyNumberFormat="1" applyFont="1" applyFill="1" applyAlignment="1">
      <alignment vertical="top" shrinkToFit="1"/>
    </xf>
    <xf numFmtId="170" fontId="14" fillId="6" borderId="0" xfId="0" applyNumberFormat="1" applyFont="1" applyFill="1" applyAlignment="1">
      <alignment vertical="top" shrinkToFit="1"/>
    </xf>
    <xf numFmtId="164" fontId="14" fillId="6" borderId="0" xfId="0" applyNumberFormat="1" applyFont="1" applyFill="1" applyAlignment="1">
      <alignment vertical="top" shrinkToFit="1"/>
    </xf>
    <xf numFmtId="6" fontId="25" fillId="6" borderId="0" xfId="0" applyNumberFormat="1" applyFont="1" applyFill="1" applyAlignment="1">
      <alignment vertical="top" shrinkToFit="1"/>
    </xf>
    <xf numFmtId="8" fontId="25" fillId="6" borderId="0" xfId="0" applyNumberFormat="1" applyFont="1" applyFill="1" applyAlignment="1">
      <alignment vertical="top" shrinkToFit="1"/>
    </xf>
    <xf numFmtId="6" fontId="23" fillId="0" borderId="4" xfId="0" applyNumberFormat="1" applyFont="1" applyBorder="1"/>
    <xf numFmtId="0" fontId="23" fillId="0" borderId="0" xfId="0" applyFont="1"/>
    <xf numFmtId="9" fontId="23" fillId="0" borderId="4" xfId="0" applyNumberFormat="1" applyFont="1" applyBorder="1"/>
    <xf numFmtId="4" fontId="25" fillId="6" borderId="0" xfId="0" applyNumberFormat="1" applyFont="1" applyFill="1" applyAlignment="1">
      <alignment horizontal="right" vertical="top" shrinkToFit="1"/>
    </xf>
    <xf numFmtId="0" fontId="10" fillId="0" borderId="4" xfId="0" applyFont="1" applyBorder="1" applyAlignment="1">
      <alignment horizontal="center" wrapText="1"/>
    </xf>
    <xf numFmtId="0" fontId="7" fillId="0" borderId="4" xfId="1" applyFont="1" applyBorder="1"/>
    <xf numFmtId="6" fontId="7" fillId="0" borderId="4" xfId="1" applyNumberFormat="1" applyFont="1" applyBorder="1"/>
    <xf numFmtId="3" fontId="7" fillId="3" borderId="4" xfId="1" applyNumberFormat="1" applyFont="1" applyFill="1" applyBorder="1"/>
    <xf numFmtId="3" fontId="7" fillId="3" borderId="0" xfId="1" applyNumberFormat="1" applyFont="1" applyFill="1"/>
    <xf numFmtId="8" fontId="7" fillId="0" borderId="4" xfId="1" applyNumberFormat="1" applyFont="1" applyBorder="1"/>
    <xf numFmtId="6" fontId="7" fillId="3" borderId="0" xfId="1" applyNumberFormat="1" applyFont="1" applyFill="1"/>
    <xf numFmtId="166" fontId="7" fillId="4" borderId="4" xfId="1" applyNumberFormat="1" applyFont="1" applyFill="1" applyBorder="1"/>
    <xf numFmtId="165" fontId="7" fillId="4" borderId="4" xfId="1" applyNumberFormat="1" applyFont="1" applyFill="1" applyBorder="1"/>
    <xf numFmtId="6" fontId="14" fillId="6" borderId="0" xfId="0" applyNumberFormat="1" applyFont="1" applyFill="1" applyAlignment="1">
      <alignment horizontal="center" vertical="top" wrapText="1"/>
    </xf>
    <xf numFmtId="0" fontId="22" fillId="0" borderId="4" xfId="1" applyFont="1" applyBorder="1"/>
    <xf numFmtId="0" fontId="6" fillId="0" borderId="4" xfId="1" applyFont="1" applyBorder="1"/>
    <xf numFmtId="0" fontId="10" fillId="0" borderId="4" xfId="1" applyFont="1" applyBorder="1"/>
    <xf numFmtId="8" fontId="6" fillId="0" borderId="4" xfId="1" applyNumberFormat="1" applyFont="1" applyBorder="1"/>
    <xf numFmtId="6" fontId="6" fillId="0" borderId="0" xfId="1" applyNumberFormat="1" applyFont="1"/>
    <xf numFmtId="0" fontId="26" fillId="0" borderId="0" xfId="1"/>
    <xf numFmtId="6" fontId="6" fillId="0" borderId="4" xfId="1" applyNumberFormat="1" applyFont="1" applyBorder="1"/>
    <xf numFmtId="4" fontId="6" fillId="0" borderId="4" xfId="1" applyNumberFormat="1" applyFont="1" applyBorder="1"/>
    <xf numFmtId="0" fontId="22" fillId="0" borderId="0" xfId="1" applyFont="1"/>
    <xf numFmtId="8" fontId="6" fillId="3" borderId="0" xfId="1" applyNumberFormat="1" applyFont="1" applyFill="1"/>
    <xf numFmtId="6" fontId="6" fillId="3" borderId="0" xfId="1" applyNumberFormat="1" applyFont="1" applyFill="1"/>
    <xf numFmtId="0" fontId="6" fillId="0" borderId="0" xfId="1" applyFont="1"/>
    <xf numFmtId="8" fontId="14" fillId="6" borderId="0" xfId="1" applyNumberFormat="1" applyFont="1" applyFill="1" applyAlignment="1">
      <alignment horizontal="right" vertical="top" indent="2" shrinkToFit="1"/>
    </xf>
    <xf numFmtId="6" fontId="14" fillId="6" borderId="0" xfId="1" applyNumberFormat="1" applyFont="1" applyFill="1" applyAlignment="1">
      <alignment horizontal="right" vertical="top" indent="2" shrinkToFit="1"/>
    </xf>
    <xf numFmtId="0" fontId="6" fillId="0" borderId="0" xfId="1" applyFont="1" applyBorder="1"/>
    <xf numFmtId="8" fontId="10" fillId="0" borderId="4" xfId="1" applyNumberFormat="1" applyFont="1" applyBorder="1"/>
    <xf numFmtId="0" fontId="5" fillId="0" borderId="4" xfId="0" applyFont="1" applyBorder="1"/>
    <xf numFmtId="0" fontId="11" fillId="0" borderId="4" xfId="0" applyNumberFormat="1" applyFont="1" applyBorder="1"/>
    <xf numFmtId="0" fontId="10" fillId="0" borderId="2" xfId="0" applyFont="1" applyBorder="1" applyAlignment="1">
      <alignment horizontal="center"/>
    </xf>
    <xf numFmtId="0" fontId="24" fillId="0" borderId="4" xfId="1" applyFont="1" applyBorder="1" applyAlignment="1">
      <alignment horizontal="left" vertical="top" wrapText="1" indent="1"/>
    </xf>
    <xf numFmtId="0" fontId="27" fillId="0" borderId="4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/>
    </xf>
    <xf numFmtId="0" fontId="4" fillId="0" borderId="4" xfId="1" applyFont="1" applyBorder="1"/>
    <xf numFmtId="9" fontId="4" fillId="0" borderId="4" xfId="1" applyNumberFormat="1" applyFont="1" applyBorder="1"/>
    <xf numFmtId="9" fontId="4" fillId="0" borderId="0" xfId="1" applyNumberFormat="1" applyFont="1"/>
    <xf numFmtId="6" fontId="4" fillId="0" borderId="4" xfId="1" applyNumberFormat="1" applyFont="1" applyBorder="1"/>
    <xf numFmtId="0" fontId="16" fillId="0" borderId="4" xfId="1" applyFont="1" applyBorder="1" applyAlignment="1">
      <alignment horizontal="left" vertical="top" wrapText="1" indent="1"/>
    </xf>
    <xf numFmtId="6" fontId="16" fillId="0" borderId="4" xfId="1" applyNumberFormat="1" applyFont="1" applyBorder="1" applyAlignment="1">
      <alignment horizontal="right" vertical="top" wrapText="1"/>
    </xf>
    <xf numFmtId="6" fontId="4" fillId="0" borderId="0" xfId="1" applyNumberFormat="1" applyFont="1"/>
    <xf numFmtId="0" fontId="15" fillId="0" borderId="0" xfId="1" applyFont="1" applyAlignment="1">
      <alignment horizontal="left" vertical="center" wrapText="1"/>
    </xf>
    <xf numFmtId="164" fontId="16" fillId="0" borderId="0" xfId="1" applyNumberFormat="1" applyFont="1" applyAlignment="1">
      <alignment horizontal="right" vertical="top" shrinkToFit="1"/>
    </xf>
    <xf numFmtId="6" fontId="22" fillId="0" borderId="4" xfId="1" applyNumberFormat="1" applyFont="1" applyBorder="1"/>
    <xf numFmtId="0" fontId="24" fillId="0" borderId="5" xfId="1" applyFont="1" applyBorder="1" applyAlignment="1">
      <alignment horizontal="left" vertical="top" wrapText="1" indent="1"/>
    </xf>
    <xf numFmtId="0" fontId="10" fillId="0" borderId="2" xfId="1" applyFont="1" applyBorder="1" applyAlignment="1">
      <alignment horizontal="center"/>
    </xf>
    <xf numFmtId="0" fontId="4" fillId="0" borderId="0" xfId="1" applyFont="1"/>
    <xf numFmtId="164" fontId="4" fillId="0" borderId="3" xfId="1" applyNumberFormat="1" applyFont="1" applyBorder="1" applyAlignment="1">
      <alignment horizontal="center"/>
    </xf>
    <xf numFmtId="8" fontId="4" fillId="0" borderId="3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8" fontId="4" fillId="0" borderId="0" xfId="1" applyNumberFormat="1" applyFont="1"/>
    <xf numFmtId="8" fontId="4" fillId="0" borderId="0" xfId="1" applyNumberFormat="1" applyFont="1" applyAlignment="1">
      <alignment horizontal="right"/>
    </xf>
    <xf numFmtId="6" fontId="4" fillId="0" borderId="0" xfId="1" applyNumberFormat="1" applyFont="1" applyAlignment="1">
      <alignment horizontal="right"/>
    </xf>
    <xf numFmtId="164" fontId="16" fillId="0" borderId="4" xfId="1" applyNumberFormat="1" applyFont="1" applyBorder="1" applyAlignment="1">
      <alignment horizontal="right" vertical="top" shrinkToFit="1"/>
    </xf>
    <xf numFmtId="164" fontId="26" fillId="0" borderId="0" xfId="1" applyNumberFormat="1"/>
    <xf numFmtId="0" fontId="18" fillId="0" borderId="4" xfId="1" applyFont="1" applyBorder="1" applyAlignment="1">
      <alignment horizontal="left" vertical="top" wrapText="1" indent="1"/>
    </xf>
    <xf numFmtId="164" fontId="24" fillId="0" borderId="4" xfId="1" applyNumberFormat="1" applyFont="1" applyBorder="1" applyAlignment="1">
      <alignment horizontal="right" vertical="top" shrinkToFit="1"/>
    </xf>
    <xf numFmtId="168" fontId="4" fillId="0" borderId="4" xfId="1" applyNumberFormat="1" applyFont="1" applyBorder="1"/>
    <xf numFmtId="166" fontId="26" fillId="0" borderId="0" xfId="1" applyNumberFormat="1"/>
    <xf numFmtId="8" fontId="23" fillId="0" borderId="4" xfId="1" applyNumberFormat="1" applyFont="1" applyBorder="1"/>
    <xf numFmtId="10" fontId="4" fillId="0" borderId="4" xfId="1" applyNumberFormat="1" applyFont="1" applyBorder="1"/>
    <xf numFmtId="0" fontId="17" fillId="0" borderId="0" xfId="1" applyFont="1" applyAlignment="1">
      <alignment horizontal="left" vertical="center" wrapText="1"/>
    </xf>
    <xf numFmtId="0" fontId="24" fillId="0" borderId="4" xfId="1" applyFont="1" applyBorder="1" applyAlignment="1">
      <alignment horizontal="center" vertical="top" wrapText="1"/>
    </xf>
    <xf numFmtId="0" fontId="16" fillId="0" borderId="4" xfId="1" applyFont="1" applyBorder="1" applyAlignment="1">
      <alignment horizontal="right" vertical="top" shrinkToFit="1"/>
    </xf>
    <xf numFmtId="6" fontId="16" fillId="0" borderId="4" xfId="1" applyNumberFormat="1" applyFont="1" applyBorder="1" applyAlignment="1">
      <alignment horizontal="right" vertical="top" shrinkToFit="1"/>
    </xf>
    <xf numFmtId="3" fontId="16" fillId="0" borderId="4" xfId="1" applyNumberFormat="1" applyFont="1" applyBorder="1" applyAlignment="1">
      <alignment horizontal="right" vertical="top" shrinkToFit="1"/>
    </xf>
    <xf numFmtId="6" fontId="26" fillId="0" borderId="0" xfId="1" applyNumberFormat="1"/>
    <xf numFmtId="0" fontId="10" fillId="0" borderId="6" xfId="1" applyFont="1" applyBorder="1" applyAlignment="1">
      <alignment horizontal="centerContinuous"/>
    </xf>
    <xf numFmtId="0" fontId="10" fillId="0" borderId="3" xfId="1" applyFont="1" applyBorder="1" applyAlignment="1">
      <alignment horizontal="centerContinuous"/>
    </xf>
    <xf numFmtId="0" fontId="10" fillId="0" borderId="7" xfId="1" applyFont="1" applyBorder="1" applyAlignment="1">
      <alignment horizontal="centerContinuous"/>
    </xf>
    <xf numFmtId="3" fontId="4" fillId="0" borderId="4" xfId="1" applyNumberFormat="1" applyFont="1" applyBorder="1"/>
    <xf numFmtId="0" fontId="3" fillId="0" borderId="4" xfId="1" applyFont="1" applyBorder="1"/>
    <xf numFmtId="9" fontId="3" fillId="0" borderId="4" xfId="1" applyNumberFormat="1" applyFont="1" applyBorder="1"/>
    <xf numFmtId="6" fontId="3" fillId="0" borderId="4" xfId="1" applyNumberFormat="1" applyFont="1" applyBorder="1"/>
    <xf numFmtId="0" fontId="3" fillId="0" borderId="0" xfId="1" applyFont="1"/>
    <xf numFmtId="0" fontId="10" fillId="0" borderId="0" xfId="1" applyFont="1"/>
    <xf numFmtId="8" fontId="22" fillId="0" borderId="4" xfId="1" applyNumberFormat="1" applyFont="1" applyBorder="1"/>
    <xf numFmtId="8" fontId="3" fillId="0" borderId="0" xfId="1" applyNumberFormat="1" applyFont="1"/>
    <xf numFmtId="4" fontId="3" fillId="0" borderId="4" xfId="1" applyNumberFormat="1" applyFont="1" applyBorder="1"/>
    <xf numFmtId="6" fontId="22" fillId="0" borderId="0" xfId="1" applyNumberFormat="1" applyFont="1"/>
    <xf numFmtId="8" fontId="3" fillId="0" borderId="4" xfId="1" applyNumberFormat="1" applyFont="1" applyBorder="1"/>
    <xf numFmtId="8" fontId="22" fillId="0" borderId="0" xfId="1" applyNumberFormat="1" applyFont="1"/>
    <xf numFmtId="8" fontId="26" fillId="0" borderId="0" xfId="1" applyNumberFormat="1"/>
    <xf numFmtId="8" fontId="3" fillId="0" borderId="5" xfId="1" applyNumberFormat="1" applyFont="1" applyBorder="1"/>
    <xf numFmtId="0" fontId="22" fillId="0" borderId="6" xfId="1" applyFont="1" applyBorder="1"/>
    <xf numFmtId="0" fontId="2" fillId="0" borderId="4" xfId="1" applyFont="1" applyBorder="1"/>
    <xf numFmtId="3" fontId="2" fillId="0" borderId="4" xfId="1" applyNumberFormat="1" applyFont="1" applyBorder="1"/>
    <xf numFmtId="6" fontId="2" fillId="0" borderId="4" xfId="1" applyNumberFormat="1" applyFont="1" applyBorder="1"/>
    <xf numFmtId="0" fontId="2" fillId="0" borderId="0" xfId="1" applyFont="1"/>
    <xf numFmtId="8" fontId="2" fillId="0" borderId="4" xfId="1" applyNumberFormat="1" applyFont="1" applyBorder="1"/>
    <xf numFmtId="0" fontId="23" fillId="0" borderId="4" xfId="1" applyFont="1" applyBorder="1"/>
    <xf numFmtId="3" fontId="23" fillId="0" borderId="4" xfId="1" applyNumberFormat="1" applyFont="1" applyBorder="1"/>
    <xf numFmtId="6" fontId="23" fillId="0" borderId="4" xfId="1" applyNumberFormat="1" applyFont="1" applyBorder="1"/>
    <xf numFmtId="0" fontId="13" fillId="5" borderId="0" xfId="0" applyFont="1" applyFill="1" applyAlignment="1">
      <alignment vertical="top" wrapText="1"/>
    </xf>
    <xf numFmtId="0" fontId="13" fillId="5" borderId="0" xfId="1" applyFont="1" applyFill="1" applyAlignment="1">
      <alignment horizontal="centerContinuous" vertical="top" wrapText="1"/>
    </xf>
    <xf numFmtId="9" fontId="2" fillId="0" borderId="4" xfId="1" applyNumberFormat="1" applyFont="1" applyBorder="1"/>
    <xf numFmtId="0" fontId="20" fillId="0" borderId="0" xfId="1" applyFont="1"/>
    <xf numFmtId="0" fontId="14" fillId="6" borderId="0" xfId="1" applyFont="1" applyFill="1" applyAlignment="1">
      <alignment horizontal="left" vertical="top" wrapText="1"/>
    </xf>
    <xf numFmtId="3" fontId="14" fillId="6" borderId="0" xfId="1" applyNumberFormat="1" applyFont="1" applyFill="1" applyAlignment="1">
      <alignment horizontal="right" vertical="top" shrinkToFit="1"/>
    </xf>
    <xf numFmtId="6" fontId="2" fillId="0" borderId="0" xfId="1" applyNumberFormat="1" applyFont="1"/>
    <xf numFmtId="8" fontId="2" fillId="0" borderId="0" xfId="1" applyNumberFormat="1" applyFont="1"/>
    <xf numFmtId="169" fontId="14" fillId="6" borderId="0" xfId="1" applyNumberFormat="1" applyFont="1" applyFill="1" applyAlignment="1">
      <alignment horizontal="right" vertical="top" shrinkToFit="1"/>
    </xf>
    <xf numFmtId="0" fontId="2" fillId="0" borderId="0" xfId="1" applyFont="1" applyAlignment="1">
      <alignment horizontal="center"/>
    </xf>
    <xf numFmtId="8" fontId="2" fillId="4" borderId="0" xfId="1" applyNumberFormat="1" applyFont="1" applyFill="1"/>
    <xf numFmtId="8" fontId="2" fillId="3" borderId="0" xfId="1" applyNumberFormat="1" applyFont="1" applyFill="1"/>
    <xf numFmtId="170" fontId="14" fillId="6" borderId="0" xfId="1" applyNumberFormat="1" applyFont="1" applyFill="1" applyAlignment="1">
      <alignment horizontal="right" vertical="top" shrinkToFit="1"/>
    </xf>
    <xf numFmtId="0" fontId="9" fillId="0" borderId="4" xfId="1" applyFont="1" applyBorder="1"/>
    <xf numFmtId="168" fontId="26" fillId="0" borderId="0" xfId="1" applyNumberFormat="1"/>
    <xf numFmtId="164" fontId="14" fillId="6" borderId="0" xfId="1" applyNumberFormat="1" applyFont="1" applyFill="1" applyAlignment="1">
      <alignment horizontal="right" vertical="top" shrinkToFit="1"/>
    </xf>
    <xf numFmtId="3" fontId="2" fillId="3" borderId="4" xfId="1" applyNumberFormat="1" applyFont="1" applyFill="1" applyBorder="1"/>
    <xf numFmtId="0" fontId="19" fillId="6" borderId="0" xfId="1" applyFont="1" applyFill="1" applyAlignment="1">
      <alignment horizontal="left" vertical="top" wrapText="1"/>
    </xf>
    <xf numFmtId="6" fontId="25" fillId="6" borderId="1" xfId="1" applyNumberFormat="1" applyFont="1" applyFill="1" applyBorder="1" applyAlignment="1">
      <alignment horizontal="right" vertical="top" shrinkToFit="1"/>
    </xf>
    <xf numFmtId="8" fontId="25" fillId="6" borderId="1" xfId="1" applyNumberFormat="1" applyFont="1" applyFill="1" applyBorder="1" applyAlignment="1">
      <alignment horizontal="right" vertical="top" shrinkToFit="1"/>
    </xf>
    <xf numFmtId="168" fontId="2" fillId="3" borderId="4" xfId="1" applyNumberFormat="1" applyFont="1" applyFill="1" applyBorder="1"/>
    <xf numFmtId="0" fontId="1" fillId="0" borderId="4" xfId="1" applyFont="1" applyBorder="1"/>
    <xf numFmtId="0" fontId="10" fillId="0" borderId="0" xfId="0" applyFont="1" applyBorder="1"/>
    <xf numFmtId="8" fontId="22" fillId="0" borderId="0" xfId="0" applyNumberFormat="1" applyFont="1" applyBorder="1"/>
    <xf numFmtId="6" fontId="1" fillId="0" borderId="4" xfId="1" applyNumberFormat="1" applyFont="1" applyBorder="1"/>
    <xf numFmtId="0" fontId="1" fillId="0" borderId="0" xfId="1" applyFont="1"/>
    <xf numFmtId="8" fontId="1" fillId="0" borderId="4" xfId="1" applyNumberFormat="1" applyFont="1" applyBorder="1"/>
    <xf numFmtId="6" fontId="14" fillId="6" borderId="0" xfId="1" applyNumberFormat="1" applyFont="1" applyFill="1" applyAlignment="1">
      <alignment horizontal="right" vertical="top" shrinkToFit="1"/>
    </xf>
    <xf numFmtId="4" fontId="14" fillId="6" borderId="0" xfId="1" applyNumberFormat="1" applyFont="1" applyFill="1" applyAlignment="1">
      <alignment horizontal="right" vertical="top" shrinkToFit="1"/>
    </xf>
    <xf numFmtId="171" fontId="14" fillId="6" borderId="0" xfId="1" applyNumberFormat="1" applyFont="1" applyFill="1" applyAlignment="1">
      <alignment horizontal="right" vertical="top" shrinkToFit="1"/>
    </xf>
  </cellXfs>
  <cellStyles count="3">
    <cellStyle name="Normal" xfId="0" builtinId="0"/>
    <cellStyle name="Normal 2" xfId="1" xr:uid="{66319E7A-045A-4409-8845-890CADA40202}"/>
    <cellStyle name="Normal 3" xfId="2" xr:uid="{428C9570-EE24-4B1F-A900-3498657BE80D}"/>
  </cellStyles>
  <dxfs count="0"/>
  <tableStyles count="0" defaultTableStyle="TableStyleMedium2" defaultPivotStyle="PivotStyleLight16"/>
  <colors>
    <mruColors>
      <color rgb="FF00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EF2A-C979-4B1A-8C7F-3B69B2DA455F}">
  <dimension ref="A1:S33"/>
  <sheetViews>
    <sheetView showGridLines="0" zoomScale="145" zoomScaleNormal="145" workbookViewId="0"/>
  </sheetViews>
  <sheetFormatPr defaultRowHeight="15.05" x14ac:dyDescent="0.3"/>
  <cols>
    <col min="1" max="1" width="27" bestFit="1" customWidth="1"/>
    <col min="2" max="2" width="11.44140625" bestFit="1" customWidth="1"/>
    <col min="3" max="3" width="13.6640625" bestFit="1" customWidth="1"/>
    <col min="5" max="5" width="17.33203125" bestFit="1" customWidth="1"/>
    <col min="6" max="6" width="9.5546875" bestFit="1" customWidth="1"/>
    <col min="9" max="9" width="18.44140625" bestFit="1" customWidth="1"/>
    <col min="10" max="10" width="12.6640625" bestFit="1" customWidth="1"/>
    <col min="11" max="11" width="14.44140625" customWidth="1"/>
    <col min="12" max="12" width="9.5546875" bestFit="1" customWidth="1"/>
  </cols>
  <sheetData>
    <row r="1" spans="1:13" ht="16.3" thickBot="1" x14ac:dyDescent="0.35">
      <c r="A1" s="12" t="s">
        <v>0</v>
      </c>
      <c r="B1" s="13"/>
      <c r="C1" s="13"/>
      <c r="D1" s="13"/>
      <c r="E1" s="41" t="s">
        <v>6</v>
      </c>
      <c r="F1" s="42">
        <v>0.21</v>
      </c>
      <c r="I1" s="17" t="s">
        <v>10</v>
      </c>
      <c r="J1" s="17" t="s">
        <v>5</v>
      </c>
      <c r="K1" s="17" t="s">
        <v>8</v>
      </c>
      <c r="L1" s="17" t="s">
        <v>11</v>
      </c>
    </row>
    <row r="2" spans="1:13" ht="15.65" x14ac:dyDescent="0.3">
      <c r="A2" s="41" t="s">
        <v>1</v>
      </c>
      <c r="B2" s="71">
        <f>SLN(-$F$8,,$F$7)</f>
        <v>75500</v>
      </c>
      <c r="C2" s="13"/>
      <c r="D2" s="13"/>
      <c r="E2" s="41" t="s">
        <v>7</v>
      </c>
      <c r="F2" s="42">
        <v>0.15</v>
      </c>
      <c r="I2" s="3"/>
      <c r="J2" s="4">
        <f>B6</f>
        <v>300255</v>
      </c>
      <c r="K2" s="5">
        <f>B7</f>
        <v>743340.71929212636</v>
      </c>
    </row>
    <row r="3" spans="1:13" ht="15.65" x14ac:dyDescent="0.3">
      <c r="A3" s="46" t="s">
        <v>2</v>
      </c>
      <c r="B3" s="72">
        <f>($F$4+$B$2)/($F$5-$F$3)</f>
        <v>40026.315789473687</v>
      </c>
      <c r="C3" s="12" t="s">
        <v>3</v>
      </c>
      <c r="D3" s="13"/>
      <c r="E3" s="45" t="s">
        <v>16</v>
      </c>
      <c r="F3" s="43">
        <v>17</v>
      </c>
      <c r="I3" s="6">
        <v>40000</v>
      </c>
      <c r="J3" s="4">
        <f t="dataTable" ref="J3:K15" dt2D="0" dtr="0" r1="F6" ca="1"/>
        <v>75105</v>
      </c>
      <c r="K3" s="9">
        <v>-266979.7181647761</v>
      </c>
    </row>
    <row r="4" spans="1:13" ht="15.65" x14ac:dyDescent="0.3">
      <c r="D4" s="13"/>
      <c r="E4" s="45" t="s">
        <v>19</v>
      </c>
      <c r="F4" s="43">
        <v>685000</v>
      </c>
      <c r="I4" s="6">
        <v>45000</v>
      </c>
      <c r="J4" s="4">
        <v>150155</v>
      </c>
      <c r="K4" s="9">
        <v>69793.760987524758</v>
      </c>
      <c r="L4" s="8">
        <f>(K3-K4)/(I3-I4)</f>
        <v>67.354695830460173</v>
      </c>
      <c r="M4" s="1" t="s">
        <v>14</v>
      </c>
    </row>
    <row r="5" spans="1:13" ht="15.65" x14ac:dyDescent="0.3">
      <c r="A5" s="12" t="s">
        <v>4</v>
      </c>
      <c r="B5" s="4"/>
      <c r="C5" s="13"/>
      <c r="D5" s="13"/>
      <c r="E5" s="46" t="s">
        <v>20</v>
      </c>
      <c r="F5" s="43">
        <v>36</v>
      </c>
      <c r="I5" s="6">
        <v>50000</v>
      </c>
      <c r="J5" s="4">
        <v>225205</v>
      </c>
      <c r="K5" s="9">
        <v>406567.2401398255</v>
      </c>
      <c r="L5" s="8">
        <f t="shared" ref="L5:L15" si="0">(K4-K5)/(I4-I5)</f>
        <v>67.354695830460145</v>
      </c>
    </row>
    <row r="6" spans="1:13" ht="15.65" x14ac:dyDescent="0.3">
      <c r="A6" s="41" t="s">
        <v>5</v>
      </c>
      <c r="B6" s="71">
        <f>((F6*F5)-(F6*F3)-F4)*(1-F1)+F1*(B2)</f>
        <v>300255</v>
      </c>
      <c r="C6" s="73">
        <f>((B3*F5)-(B3*F3)-F4)*(1-F1)+F1*(B2)</f>
        <v>75500.000000000087</v>
      </c>
      <c r="D6" s="13"/>
      <c r="E6" s="46" t="s">
        <v>9</v>
      </c>
      <c r="F6" s="44">
        <v>55000</v>
      </c>
      <c r="G6" s="12" t="s">
        <v>21</v>
      </c>
      <c r="I6" s="6">
        <v>55000</v>
      </c>
      <c r="J6" s="4">
        <v>300255</v>
      </c>
      <c r="K6" s="9">
        <v>743340.71929212636</v>
      </c>
      <c r="L6" s="8">
        <f t="shared" si="0"/>
        <v>67.354695830460173</v>
      </c>
    </row>
    <row r="7" spans="1:13" ht="15.65" x14ac:dyDescent="0.3">
      <c r="A7" s="48" t="s">
        <v>8</v>
      </c>
      <c r="B7" s="74">
        <f>F8+PV(F2,F7,-B6)</f>
        <v>743340.71929212636</v>
      </c>
      <c r="C7" s="75">
        <f>F8+PV(0,F7,-C6)</f>
        <v>0</v>
      </c>
      <c r="D7" s="13"/>
      <c r="E7" s="70" t="s">
        <v>130</v>
      </c>
      <c r="F7" s="70">
        <v>8</v>
      </c>
      <c r="I7" s="6">
        <v>60000</v>
      </c>
      <c r="J7" s="4">
        <v>375305</v>
      </c>
      <c r="K7" s="9">
        <v>1080114.1984444272</v>
      </c>
      <c r="L7" s="8">
        <f t="shared" si="0"/>
        <v>67.354695830460173</v>
      </c>
    </row>
    <row r="8" spans="1:13" ht="15.65" x14ac:dyDescent="0.3">
      <c r="A8" s="13"/>
      <c r="B8" s="13"/>
      <c r="C8" s="13"/>
      <c r="D8" s="13"/>
      <c r="E8" s="70" t="s">
        <v>131</v>
      </c>
      <c r="F8" s="71">
        <v>-604000</v>
      </c>
      <c r="I8" s="6">
        <v>65000</v>
      </c>
      <c r="J8" s="4">
        <v>450355</v>
      </c>
      <c r="K8" s="9">
        <v>1416887.6775967281</v>
      </c>
      <c r="L8" s="8">
        <f t="shared" si="0"/>
        <v>67.354695830460173</v>
      </c>
    </row>
    <row r="9" spans="1:13" ht="15.65" x14ac:dyDescent="0.3">
      <c r="A9" s="48" t="s">
        <v>5</v>
      </c>
      <c r="B9" s="71">
        <f>((F9*F5)-(F9*F3)-F4)*(1-F1)+F1*(B2)</f>
        <v>315265</v>
      </c>
      <c r="C9" s="13"/>
      <c r="D9" s="13"/>
      <c r="E9" s="70" t="s">
        <v>132</v>
      </c>
      <c r="F9" s="70">
        <v>56000</v>
      </c>
      <c r="I9" s="6">
        <v>70000</v>
      </c>
      <c r="J9" s="4">
        <v>525405</v>
      </c>
      <c r="K9" s="9">
        <v>1753661.1567490292</v>
      </c>
      <c r="L9" s="8">
        <f t="shared" si="0"/>
        <v>67.354695830460216</v>
      </c>
    </row>
    <row r="10" spans="1:13" ht="15.65" x14ac:dyDescent="0.3">
      <c r="A10" s="48" t="s">
        <v>8</v>
      </c>
      <c r="B10" s="74">
        <f>F8+PV(F2,F7,-B9)</f>
        <v>810695.41512258654</v>
      </c>
      <c r="C10" s="13"/>
      <c r="D10" s="13"/>
      <c r="E10" s="70" t="s">
        <v>133</v>
      </c>
      <c r="F10" s="71">
        <v>18</v>
      </c>
      <c r="I10" s="6">
        <v>75000</v>
      </c>
      <c r="J10" s="4">
        <v>600455</v>
      </c>
      <c r="K10" s="9">
        <v>2090434.6359013296</v>
      </c>
      <c r="L10" s="8">
        <f t="shared" si="0"/>
        <v>67.354695830460074</v>
      </c>
    </row>
    <row r="11" spans="1:13" ht="15.65" x14ac:dyDescent="0.3">
      <c r="A11" s="49" t="s">
        <v>11</v>
      </c>
      <c r="B11" s="76">
        <f>(B7-B10)/(F6-F9)</f>
        <v>67.354695830460173</v>
      </c>
      <c r="C11" s="12" t="s">
        <v>18</v>
      </c>
      <c r="D11" s="50"/>
      <c r="E11" s="13"/>
      <c r="F11" s="13"/>
      <c r="I11" s="6">
        <v>80000</v>
      </c>
      <c r="J11" s="4">
        <v>675505</v>
      </c>
      <c r="K11" s="9">
        <v>2427208.1150536304</v>
      </c>
      <c r="L11" s="8">
        <f t="shared" si="0"/>
        <v>67.354695830460173</v>
      </c>
    </row>
    <row r="12" spans="1:13" ht="15.65" x14ac:dyDescent="0.3">
      <c r="A12" s="41" t="s">
        <v>12</v>
      </c>
      <c r="B12" s="77">
        <f>B11*500</f>
        <v>33677.347915230086</v>
      </c>
      <c r="C12" s="5"/>
      <c r="D12" s="13"/>
      <c r="E12" s="13"/>
      <c r="F12" s="13"/>
      <c r="I12" s="6">
        <v>85000</v>
      </c>
      <c r="J12" s="4">
        <v>750555</v>
      </c>
      <c r="K12" s="9">
        <v>2763981.5942059313</v>
      </c>
      <c r="L12" s="8">
        <f t="shared" si="0"/>
        <v>67.354695830460173</v>
      </c>
    </row>
    <row r="13" spans="1:13" ht="15.65" x14ac:dyDescent="0.3">
      <c r="A13" s="13"/>
      <c r="B13" s="13"/>
      <c r="C13" s="13"/>
      <c r="D13" s="13"/>
      <c r="E13" s="13"/>
      <c r="F13" s="13"/>
      <c r="I13" s="6">
        <v>90000</v>
      </c>
      <c r="J13" s="4">
        <v>825605</v>
      </c>
      <c r="K13" s="9">
        <v>3100755.0733582322</v>
      </c>
      <c r="L13" s="8">
        <f t="shared" si="0"/>
        <v>67.354695830460173</v>
      </c>
    </row>
    <row r="14" spans="1:13" ht="15.65" x14ac:dyDescent="0.3">
      <c r="A14" s="12" t="s">
        <v>13</v>
      </c>
      <c r="B14" s="13"/>
      <c r="C14" s="13"/>
      <c r="D14" s="13"/>
      <c r="E14" s="13"/>
      <c r="F14" s="13"/>
      <c r="I14" s="6">
        <v>95000</v>
      </c>
      <c r="J14" s="4">
        <v>900655</v>
      </c>
      <c r="K14" s="9">
        <v>3437528.552510533</v>
      </c>
      <c r="L14" s="8">
        <f t="shared" si="0"/>
        <v>67.354695830460173</v>
      </c>
    </row>
    <row r="15" spans="1:13" ht="15.65" x14ac:dyDescent="0.3">
      <c r="A15" s="48" t="s">
        <v>5</v>
      </c>
      <c r="B15" s="71">
        <f>((F6*F5)-(F6*F10)-F4)*(1-F1)+F1*(B2)</f>
        <v>256805</v>
      </c>
      <c r="C15" s="13"/>
      <c r="D15" s="13"/>
      <c r="E15" s="13"/>
      <c r="F15" s="13"/>
      <c r="I15" s="6">
        <v>100000</v>
      </c>
      <c r="J15" s="4">
        <v>975705</v>
      </c>
      <c r="K15" s="9">
        <v>3774302.0316628339</v>
      </c>
      <c r="L15" s="8">
        <f t="shared" si="0"/>
        <v>67.354695830460173</v>
      </c>
    </row>
    <row r="16" spans="1:13" ht="15.65" x14ac:dyDescent="0.3">
      <c r="A16" s="49" t="s">
        <v>15</v>
      </c>
      <c r="B16" s="71">
        <f>(B6-B15)/(F3-F10)</f>
        <v>-43450</v>
      </c>
      <c r="C16" s="13"/>
      <c r="D16" s="13"/>
      <c r="E16" s="13"/>
      <c r="F16" s="13"/>
      <c r="J16" s="2"/>
      <c r="K16" s="2"/>
    </row>
    <row r="17" spans="1:19" ht="15.65" x14ac:dyDescent="0.3">
      <c r="A17" s="13"/>
      <c r="B17" s="13"/>
      <c r="C17" s="13"/>
      <c r="D17" s="13"/>
      <c r="E17" s="13"/>
      <c r="F17" s="13"/>
    </row>
    <row r="18" spans="1:19" ht="16.3" thickBot="1" x14ac:dyDescent="0.35">
      <c r="C18" s="13"/>
      <c r="D18" s="13"/>
      <c r="E18" s="13"/>
      <c r="F18" s="13"/>
      <c r="I18" s="17" t="s">
        <v>16</v>
      </c>
      <c r="J18" s="17" t="s">
        <v>5</v>
      </c>
      <c r="K18" s="17" t="s">
        <v>15</v>
      </c>
    </row>
    <row r="19" spans="1:19" ht="15.65" x14ac:dyDescent="0.3">
      <c r="J19" s="4">
        <f>B6</f>
        <v>300255</v>
      </c>
    </row>
    <row r="20" spans="1:19" ht="15.65" x14ac:dyDescent="0.3">
      <c r="I20" s="10">
        <v>17</v>
      </c>
      <c r="J20" s="7">
        <f t="dataTable" ref="J20:J33" dt2D="0" dtr="0" r1="F3"/>
        <v>300255</v>
      </c>
      <c r="K20" s="11"/>
    </row>
    <row r="21" spans="1:19" ht="17.55" x14ac:dyDescent="0.3">
      <c r="I21" s="10">
        <v>18</v>
      </c>
      <c r="J21" s="7">
        <v>256805</v>
      </c>
      <c r="K21" s="16">
        <f>(J20-J21)/(I20-I21)</f>
        <v>-43450</v>
      </c>
      <c r="L21" s="15"/>
      <c r="M21" s="14" t="s">
        <v>17</v>
      </c>
      <c r="N21" s="14"/>
      <c r="O21" s="14"/>
      <c r="P21" s="14"/>
      <c r="Q21" s="14"/>
      <c r="R21" s="14"/>
      <c r="S21" s="14"/>
    </row>
    <row r="22" spans="1:19" ht="15.65" x14ac:dyDescent="0.3">
      <c r="I22" s="10">
        <v>19</v>
      </c>
      <c r="J22" s="7">
        <v>213355</v>
      </c>
      <c r="K22" s="16">
        <f t="shared" ref="K22:K33" si="1">(J21-J22)/(I21-I22)</f>
        <v>-43450</v>
      </c>
    </row>
    <row r="23" spans="1:19" ht="15.65" x14ac:dyDescent="0.3">
      <c r="I23" s="10">
        <v>20</v>
      </c>
      <c r="J23" s="7">
        <v>169905</v>
      </c>
      <c r="K23" s="16">
        <f t="shared" si="1"/>
        <v>-43450</v>
      </c>
    </row>
    <row r="24" spans="1:19" ht="15.65" x14ac:dyDescent="0.3">
      <c r="I24" s="10">
        <v>21</v>
      </c>
      <c r="J24" s="7">
        <v>126455</v>
      </c>
      <c r="K24" s="16">
        <f t="shared" si="1"/>
        <v>-43450</v>
      </c>
    </row>
    <row r="25" spans="1:19" ht="15.65" x14ac:dyDescent="0.3">
      <c r="I25" s="10">
        <v>22</v>
      </c>
      <c r="J25" s="7">
        <v>83005</v>
      </c>
      <c r="K25" s="16">
        <f t="shared" si="1"/>
        <v>-43450</v>
      </c>
    </row>
    <row r="26" spans="1:19" ht="15.65" x14ac:dyDescent="0.3">
      <c r="I26" s="10">
        <v>23</v>
      </c>
      <c r="J26" s="7">
        <v>39555</v>
      </c>
      <c r="K26" s="16">
        <f t="shared" si="1"/>
        <v>-43450</v>
      </c>
    </row>
    <row r="27" spans="1:19" ht="15.65" x14ac:dyDescent="0.3">
      <c r="I27" s="10">
        <v>24</v>
      </c>
      <c r="J27" s="7">
        <v>-3895</v>
      </c>
      <c r="K27" s="16">
        <f t="shared" si="1"/>
        <v>-43450</v>
      </c>
    </row>
    <row r="28" spans="1:19" ht="15.65" x14ac:dyDescent="0.3">
      <c r="I28" s="10">
        <v>25</v>
      </c>
      <c r="J28" s="7">
        <v>-47345</v>
      </c>
      <c r="K28" s="16">
        <f t="shared" si="1"/>
        <v>-43450</v>
      </c>
    </row>
    <row r="29" spans="1:19" ht="15.65" x14ac:dyDescent="0.3">
      <c r="I29" s="10">
        <v>26</v>
      </c>
      <c r="J29" s="7">
        <v>-90795</v>
      </c>
      <c r="K29" s="16">
        <f t="shared" si="1"/>
        <v>-43450</v>
      </c>
    </row>
    <row r="30" spans="1:19" ht="15.65" x14ac:dyDescent="0.3">
      <c r="I30" s="10">
        <v>27</v>
      </c>
      <c r="J30" s="7">
        <v>-134245</v>
      </c>
      <c r="K30" s="16">
        <f t="shared" si="1"/>
        <v>-43450</v>
      </c>
    </row>
    <row r="31" spans="1:19" ht="15.65" x14ac:dyDescent="0.3">
      <c r="I31" s="10">
        <v>28</v>
      </c>
      <c r="J31" s="7">
        <v>-177695</v>
      </c>
      <c r="K31" s="16">
        <f t="shared" si="1"/>
        <v>-43450</v>
      </c>
    </row>
    <row r="32" spans="1:19" ht="15.65" x14ac:dyDescent="0.3">
      <c r="I32" s="10">
        <v>29</v>
      </c>
      <c r="J32" s="7">
        <v>-221145</v>
      </c>
      <c r="K32" s="16">
        <f t="shared" si="1"/>
        <v>-43450</v>
      </c>
    </row>
    <row r="33" spans="9:11" ht="15.65" x14ac:dyDescent="0.3">
      <c r="I33" s="10">
        <v>30</v>
      </c>
      <c r="J33" s="7">
        <v>-264595</v>
      </c>
      <c r="K33" s="16">
        <f t="shared" si="1"/>
        <v>-43450</v>
      </c>
    </row>
  </sheetData>
  <scenarios current="2" show="2" sqref="A6:B7">
    <scenario name="For the Best-case scenario" locked="1" count="4" user="PC-5985614" comment="Created by PC-5985614 on 1/14/2022">
      <inputCells r="F3" val="15.3" numFmtId="6"/>
      <inputCells r="F4" val="616500" numFmtId="6"/>
      <inputCells r="F5" val="39.6" numFmtId="6"/>
      <inputCells r="F6" val="60500" numFmtId="3"/>
    </scenario>
    <scenario name="For the Worst-case scenario" locked="1" count="4" user="PC-5985614" comment="Created by PC-5985614 on 1/14/2022">
      <inputCells r="F3" val="18.7" numFmtId="6"/>
      <inputCells r="F4" val="753500" numFmtId="6"/>
      <inputCells r="F5" val="32.4" numFmtId="6"/>
      <inputCells r="F6" val="49500" numFmtId="3"/>
    </scenario>
    <scenario name="Current" locked="1" count="4" user="PC-5985614" comment="Created by PC-5985614 on 1/14/2022">
      <inputCells r="F3" val="17" numFmtId="6"/>
      <inputCells r="F4" val="685000" numFmtId="6"/>
      <inputCells r="F5" val="36" numFmtId="6"/>
      <inputCells r="F6" val="55000" numFmtId="3"/>
    </scenario>
  </scenarios>
  <conditionalFormatting sqref="J3:J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EB0D-FBDE-4457-A23D-C12DBB779BF4}">
  <dimension ref="A1:G4"/>
  <sheetViews>
    <sheetView showGridLines="0" zoomScale="145" zoomScaleNormal="145" workbookViewId="0">
      <selection activeCell="E4" sqref="E4"/>
    </sheetView>
  </sheetViews>
  <sheetFormatPr defaultRowHeight="15.05" x14ac:dyDescent="0.3"/>
  <cols>
    <col min="1" max="1" width="21.109375" bestFit="1" customWidth="1"/>
    <col min="2" max="2" width="9.109375" bestFit="1" customWidth="1"/>
    <col min="3" max="3" width="16.109375" bestFit="1" customWidth="1"/>
    <col min="4" max="4" width="11" bestFit="1" customWidth="1"/>
    <col min="5" max="5" width="11.77734375" bestFit="1" customWidth="1"/>
    <col min="6" max="6" width="12.6640625" bestFit="1" customWidth="1"/>
  </cols>
  <sheetData>
    <row r="1" spans="1:7" x14ac:dyDescent="0.3">
      <c r="A1" s="22" t="s">
        <v>22</v>
      </c>
      <c r="B1" s="23" t="s">
        <v>23</v>
      </c>
      <c r="C1" s="22" t="s">
        <v>24</v>
      </c>
      <c r="D1" s="23" t="s">
        <v>25</v>
      </c>
      <c r="E1" s="23" t="s">
        <v>1</v>
      </c>
    </row>
    <row r="2" spans="1:7" ht="15.65" x14ac:dyDescent="0.3">
      <c r="A2" s="19">
        <f>($D2+$E2)/($B2-$C2)</f>
        <v>95800</v>
      </c>
      <c r="B2" s="19">
        <v>42</v>
      </c>
      <c r="C2" s="19">
        <v>30</v>
      </c>
      <c r="D2" s="19">
        <v>820000</v>
      </c>
      <c r="E2" s="78">
        <v>329600</v>
      </c>
      <c r="F2" s="4"/>
    </row>
    <row r="3" spans="1:7" x14ac:dyDescent="0.3">
      <c r="A3" s="19">
        <v>143806</v>
      </c>
      <c r="B3" s="21" t="s">
        <v>134</v>
      </c>
      <c r="C3" s="19">
        <v>64</v>
      </c>
      <c r="D3" s="19">
        <v>2750000</v>
      </c>
      <c r="E3" s="19">
        <v>1150000</v>
      </c>
      <c r="F3" s="20"/>
      <c r="G3" s="2"/>
    </row>
    <row r="4" spans="1:7" x14ac:dyDescent="0.3">
      <c r="A4" s="19">
        <f>($D4+$E4)/($B4-$C4)</f>
        <v>7835.0000256164367</v>
      </c>
      <c r="B4" s="19">
        <v>97</v>
      </c>
      <c r="C4" s="21">
        <v>52.32865362403583</v>
      </c>
      <c r="D4" s="19">
        <v>245000</v>
      </c>
      <c r="E4" s="19">
        <v>105000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0460-A6E0-4028-A1A7-85E6E076223F}">
  <dimension ref="A1:E12"/>
  <sheetViews>
    <sheetView showGridLines="0" zoomScale="145" zoomScaleNormal="145" workbookViewId="0">
      <selection activeCell="D11" sqref="D11"/>
    </sheetView>
  </sheetViews>
  <sheetFormatPr defaultRowHeight="15.05" x14ac:dyDescent="0.3"/>
  <cols>
    <col min="1" max="1" width="29.88671875" bestFit="1" customWidth="1"/>
    <col min="2" max="2" width="12.6640625" bestFit="1" customWidth="1"/>
    <col min="3" max="3" width="9" bestFit="1" customWidth="1"/>
    <col min="4" max="4" width="11.44140625" bestFit="1" customWidth="1"/>
    <col min="5" max="5" width="3.5546875" bestFit="1" customWidth="1"/>
  </cols>
  <sheetData>
    <row r="1" spans="1:5" ht="15.65" x14ac:dyDescent="0.3">
      <c r="A1" s="41" t="s">
        <v>6</v>
      </c>
      <c r="B1" s="42">
        <v>0.24</v>
      </c>
    </row>
    <row r="2" spans="1:5" ht="15.65" x14ac:dyDescent="0.3">
      <c r="A2" s="41" t="s">
        <v>26</v>
      </c>
      <c r="B2" s="42">
        <v>0.12</v>
      </c>
    </row>
    <row r="3" spans="1:5" ht="15.65" x14ac:dyDescent="0.3">
      <c r="A3" s="45" t="s">
        <v>16</v>
      </c>
      <c r="B3" s="43">
        <v>5</v>
      </c>
    </row>
    <row r="4" spans="1:5" ht="15.65" x14ac:dyDescent="0.3">
      <c r="A4" s="45" t="s">
        <v>19</v>
      </c>
      <c r="B4" s="43">
        <v>295000</v>
      </c>
    </row>
    <row r="5" spans="1:5" ht="15.65" x14ac:dyDescent="0.3">
      <c r="A5" s="46" t="s">
        <v>20</v>
      </c>
      <c r="B5" s="43">
        <v>16</v>
      </c>
    </row>
    <row r="6" spans="1:5" ht="15.65" x14ac:dyDescent="0.3">
      <c r="A6" s="46" t="s">
        <v>27</v>
      </c>
      <c r="B6" s="43">
        <v>435000</v>
      </c>
    </row>
    <row r="7" spans="1:5" ht="15.65" x14ac:dyDescent="0.3">
      <c r="A7" s="79" t="s">
        <v>130</v>
      </c>
      <c r="B7" s="80">
        <v>5</v>
      </c>
    </row>
    <row r="9" spans="1:5" ht="15.65" x14ac:dyDescent="0.3">
      <c r="A9" s="81" t="s">
        <v>28</v>
      </c>
      <c r="B9" s="82">
        <f>B6/PV(B2,B7,-1)</f>
        <v>120673.2333943562</v>
      </c>
      <c r="C9" s="83">
        <f>B9*(1-(1/(1+B2))^B7)/B2</f>
        <v>434999.99999999988</v>
      </c>
      <c r="D9" s="84"/>
      <c r="E9" s="84"/>
    </row>
    <row r="10" spans="1:5" ht="15.65" x14ac:dyDescent="0.3">
      <c r="A10" s="80" t="s">
        <v>1</v>
      </c>
      <c r="B10" s="85">
        <f>SLN(B6,,B7)</f>
        <v>87000</v>
      </c>
      <c r="C10" s="84"/>
      <c r="D10" s="84"/>
      <c r="E10" s="84"/>
    </row>
    <row r="11" spans="1:5" ht="15.65" x14ac:dyDescent="0.3">
      <c r="A11" s="79" t="s">
        <v>29</v>
      </c>
      <c r="B11" s="86">
        <f>(B9+B4*(1-B1)-B10*(B1))/((B5-B3)*(1-B1))</f>
        <v>38755.171458655052</v>
      </c>
      <c r="C11" s="87" t="s">
        <v>3</v>
      </c>
      <c r="D11" s="88">
        <f>((B11*(B5-B3))-B4)*(1-B1)+B1*(B10)</f>
        <v>120673.23339435624</v>
      </c>
      <c r="E11" s="89">
        <f>-B6+PV(B2,B7,-D11)</f>
        <v>0</v>
      </c>
    </row>
    <row r="12" spans="1:5" x14ac:dyDescent="0.3">
      <c r="B12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F12-7778-4A88-95F3-AF60266A9721}">
  <dimension ref="A1:L6"/>
  <sheetViews>
    <sheetView showGridLines="0" zoomScale="145" zoomScaleNormal="145" workbookViewId="0">
      <selection activeCell="A5" sqref="A5"/>
    </sheetView>
  </sheetViews>
  <sheetFormatPr defaultRowHeight="15.05" x14ac:dyDescent="0.3"/>
  <cols>
    <col min="1" max="4" width="13.77734375" bestFit="1" customWidth="1"/>
    <col min="5" max="7" width="14.77734375" bestFit="1" customWidth="1"/>
    <col min="9" max="9" width="24.44140625" bestFit="1" customWidth="1"/>
    <col min="10" max="10" width="10.44140625" bestFit="1" customWidth="1"/>
  </cols>
  <sheetData>
    <row r="1" spans="1:12" ht="15.65" x14ac:dyDescent="0.3">
      <c r="A1" s="22" t="s">
        <v>30</v>
      </c>
      <c r="B1" s="22" t="s">
        <v>31</v>
      </c>
      <c r="C1" s="22" t="s">
        <v>32</v>
      </c>
      <c r="D1" s="22" t="s">
        <v>33</v>
      </c>
      <c r="E1" s="22" t="s">
        <v>34</v>
      </c>
      <c r="F1" s="22" t="s">
        <v>35</v>
      </c>
      <c r="G1" s="22" t="s">
        <v>36</v>
      </c>
      <c r="I1" s="46" t="s">
        <v>27</v>
      </c>
      <c r="J1" s="43">
        <v>2800000</v>
      </c>
    </row>
    <row r="2" spans="1:12" ht="15.65" x14ac:dyDescent="0.3">
      <c r="A2" s="91">
        <f>A$3+PV($J$2,$J$4,-$J$3)</f>
        <v>-8318.8999958294444</v>
      </c>
      <c r="B2" s="91">
        <f>(B$3+PV($J$2,$J$4-1,-$J$3))*PV($J$2,1,,-1)</f>
        <v>21038.898169307824</v>
      </c>
      <c r="C2" s="91">
        <f>(C$3+PV($J$2,$J$4-2,-$J$3))*PV($J$2,2,,-1)</f>
        <v>31686.150084129582</v>
      </c>
      <c r="D2" s="91">
        <f>(D$3+PV($J$2,$J$4-3,-$J$3))*PV($J$2,3,,-1)</f>
        <v>26512.520767720067</v>
      </c>
      <c r="E2" s="91">
        <f>(E$3+PV($J$2,$J$4-4,-$J$3))*PV($J$2,4,,-1)</f>
        <v>-144253.37635954545</v>
      </c>
      <c r="F2" s="91">
        <f>(F$3+PV($J$2,$J$4-5,-$J$3))*PV($J$2,5,,-1)</f>
        <v>-300919.33702676161</v>
      </c>
      <c r="G2" s="91">
        <f>(G$3+PV($J$2,$J$4-6,-$J$3))*PV($J$2,6,,-1)</f>
        <v>-444649.57617099688</v>
      </c>
      <c r="I2" s="53" t="s">
        <v>7</v>
      </c>
      <c r="J2" s="42">
        <v>0.09</v>
      </c>
    </row>
    <row r="3" spans="1:12" ht="15.65" x14ac:dyDescent="0.3">
      <c r="A3" s="92">
        <f>-$J$1</f>
        <v>-2800000</v>
      </c>
      <c r="B3" s="92">
        <f>A$3-$J$5</f>
        <v>-2585000</v>
      </c>
      <c r="C3" s="92">
        <f t="shared" ref="C3:D3" si="0">B$3-$J$5</f>
        <v>-2370000</v>
      </c>
      <c r="D3" s="92">
        <f t="shared" si="0"/>
        <v>-2155000</v>
      </c>
      <c r="E3" s="92">
        <f>$D$3</f>
        <v>-2155000</v>
      </c>
      <c r="F3" s="92">
        <f t="shared" ref="F3:G3" si="1">$D$3</f>
        <v>-2155000</v>
      </c>
      <c r="G3" s="92">
        <f t="shared" si="1"/>
        <v>-2155000</v>
      </c>
      <c r="I3" s="46" t="s">
        <v>37</v>
      </c>
      <c r="J3" s="43">
        <v>435000</v>
      </c>
    </row>
    <row r="4" spans="1:12" ht="15.65" x14ac:dyDescent="0.3">
      <c r="I4" s="80" t="s">
        <v>130</v>
      </c>
      <c r="J4" s="80">
        <v>10</v>
      </c>
      <c r="K4" s="84"/>
      <c r="L4" s="84"/>
    </row>
    <row r="5" spans="1:12" ht="15.65" x14ac:dyDescent="0.3">
      <c r="A5" s="94">
        <f>MAX(A2:G2,0)</f>
        <v>31686.150084129582</v>
      </c>
      <c r="I5" s="81" t="s">
        <v>135</v>
      </c>
      <c r="J5" s="85">
        <v>-215000</v>
      </c>
      <c r="K5" s="90" t="s">
        <v>136</v>
      </c>
      <c r="L5" s="84"/>
    </row>
    <row r="6" spans="1:12" ht="15.65" x14ac:dyDescent="0.3">
      <c r="A6" s="93" t="s">
        <v>137</v>
      </c>
      <c r="B6" s="84"/>
      <c r="C6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960C-1A52-4210-B927-1CE44DEB079E}">
  <dimension ref="A1:H9"/>
  <sheetViews>
    <sheetView showGridLines="0" topLeftCell="B1" zoomScale="145" zoomScaleNormal="145" workbookViewId="0">
      <selection activeCell="D7" sqref="D7"/>
    </sheetView>
  </sheetViews>
  <sheetFormatPr defaultRowHeight="15.05" x14ac:dyDescent="0.3"/>
  <cols>
    <col min="1" max="1" width="24.21875" bestFit="1" customWidth="1"/>
    <col min="2" max="2" width="11.44140625" bestFit="1" customWidth="1"/>
    <col min="3" max="3" width="12.21875" bestFit="1" customWidth="1"/>
    <col min="4" max="4" width="31.88671875" bestFit="1" customWidth="1"/>
    <col min="5" max="5" width="8.88671875" bestFit="1" customWidth="1"/>
    <col min="6" max="6" width="4.5546875" bestFit="1" customWidth="1"/>
    <col min="7" max="7" width="11.44140625" bestFit="1" customWidth="1"/>
    <col min="8" max="8" width="3.5546875" bestFit="1" customWidth="1"/>
  </cols>
  <sheetData>
    <row r="1" spans="1:8" ht="15.65" x14ac:dyDescent="0.3">
      <c r="A1" s="41" t="s">
        <v>38</v>
      </c>
      <c r="B1" s="43">
        <v>43</v>
      </c>
      <c r="D1" s="46" t="s">
        <v>44</v>
      </c>
      <c r="E1" s="51">
        <f>(B3+B4)/(B1-B2)</f>
        <v>17357.910906298006</v>
      </c>
      <c r="F1" s="13" t="s">
        <v>3</v>
      </c>
      <c r="G1" s="25">
        <f>((E1*(B1-B2)-B3))*(1-B5)+B5*(B4)</f>
        <v>130000</v>
      </c>
      <c r="H1" s="25">
        <f>B8+PV(0,B6,-G1)</f>
        <v>0</v>
      </c>
    </row>
    <row r="2" spans="1:8" ht="15.65" x14ac:dyDescent="0.3">
      <c r="A2" s="41" t="s">
        <v>39</v>
      </c>
      <c r="B2" s="47">
        <v>10.45</v>
      </c>
      <c r="D2" s="46" t="s">
        <v>29</v>
      </c>
      <c r="E2" s="51">
        <f>(B9+B3*(1-B5)-B4*(B5))/((B1-B2)*(1-B5))</f>
        <v>20808.412797668887</v>
      </c>
      <c r="F2" s="13" t="s">
        <v>3</v>
      </c>
      <c r="G2" s="26">
        <f>((E2*(B1-B2)-B3))*(1-B5)+B5*(B4)</f>
        <v>218727.93088565656</v>
      </c>
      <c r="H2" s="24">
        <f>B8+PV(B7,B6,-G2)</f>
        <v>0</v>
      </c>
    </row>
    <row r="3" spans="1:8" ht="15.65" x14ac:dyDescent="0.3">
      <c r="A3" s="41" t="s">
        <v>40</v>
      </c>
      <c r="B3" s="43">
        <v>435000</v>
      </c>
      <c r="E3" s="52"/>
      <c r="G3" s="20"/>
      <c r="H3" s="2"/>
    </row>
    <row r="4" spans="1:8" ht="15.65" x14ac:dyDescent="0.3">
      <c r="A4" s="41" t="s">
        <v>41</v>
      </c>
      <c r="B4" s="43">
        <v>130000</v>
      </c>
      <c r="E4" s="2"/>
      <c r="G4" s="2"/>
      <c r="H4" s="2"/>
    </row>
    <row r="5" spans="1:8" ht="15.65" x14ac:dyDescent="0.3">
      <c r="A5" s="41" t="s">
        <v>42</v>
      </c>
      <c r="B5" s="42">
        <v>0.21</v>
      </c>
    </row>
    <row r="6" spans="1:8" ht="15.65" x14ac:dyDescent="0.3">
      <c r="A6" s="95" t="s">
        <v>130</v>
      </c>
      <c r="B6" s="96">
        <v>7</v>
      </c>
    </row>
    <row r="7" spans="1:8" ht="15.65" x14ac:dyDescent="0.3">
      <c r="A7" s="41" t="s">
        <v>26</v>
      </c>
      <c r="B7" s="42">
        <v>0.15</v>
      </c>
    </row>
    <row r="8" spans="1:8" ht="15.65" x14ac:dyDescent="0.3">
      <c r="A8" s="41" t="s">
        <v>43</v>
      </c>
      <c r="B8" s="43">
        <v>-910000</v>
      </c>
    </row>
    <row r="9" spans="1:8" ht="15.65" x14ac:dyDescent="0.3">
      <c r="A9" s="48" t="s">
        <v>28</v>
      </c>
      <c r="B9" s="47">
        <f>-B8/PV(B7,B6,-1)</f>
        <v>218727.9308856565</v>
      </c>
      <c r="C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123B-F5F4-429B-AB05-E52F759F5CBF}">
  <dimension ref="A1:H9"/>
  <sheetViews>
    <sheetView showGridLines="0" topLeftCell="B1" zoomScale="145" zoomScaleNormal="145" workbookViewId="0">
      <selection activeCell="G2" sqref="G2"/>
    </sheetView>
  </sheetViews>
  <sheetFormatPr defaultRowHeight="15.05" x14ac:dyDescent="0.3"/>
  <cols>
    <col min="1" max="1" width="23.6640625" bestFit="1" customWidth="1"/>
    <col min="2" max="2" width="11.44140625" bestFit="1" customWidth="1"/>
    <col min="3" max="3" width="12.21875" bestFit="1" customWidth="1"/>
    <col min="4" max="4" width="29.88671875" bestFit="1" customWidth="1"/>
    <col min="5" max="5" width="7.88671875" bestFit="1" customWidth="1"/>
    <col min="6" max="6" width="4.5546875" bestFit="1" customWidth="1"/>
    <col min="7" max="7" width="11.44140625" bestFit="1" customWidth="1"/>
    <col min="8" max="8" width="3.5546875" bestFit="1" customWidth="1"/>
  </cols>
  <sheetData>
    <row r="1" spans="1:8" ht="15.65" x14ac:dyDescent="0.3">
      <c r="A1" s="54" t="s">
        <v>45</v>
      </c>
      <c r="B1" s="43">
        <v>75</v>
      </c>
      <c r="D1" s="46" t="s">
        <v>29</v>
      </c>
      <c r="E1" s="51">
        <f>(B9+B3*(1-B5)-B4*(B5))/((B1-B2)*(1-B5))</f>
        <v>7809.3861002221347</v>
      </c>
      <c r="F1" s="13" t="s">
        <v>3</v>
      </c>
      <c r="G1" s="26">
        <f>B9</f>
        <v>132741.92092042332</v>
      </c>
      <c r="H1" s="24">
        <f>B8+PV(B7,B6,-G1)</f>
        <v>0</v>
      </c>
    </row>
    <row r="2" spans="1:8" ht="15.65" x14ac:dyDescent="0.3">
      <c r="A2" s="41" t="s">
        <v>46</v>
      </c>
      <c r="B2" s="43">
        <v>27</v>
      </c>
      <c r="E2" s="2"/>
      <c r="G2" s="2"/>
      <c r="H2" s="55"/>
    </row>
    <row r="3" spans="1:8" ht="15.65" x14ac:dyDescent="0.3">
      <c r="A3" s="41" t="s">
        <v>40</v>
      </c>
      <c r="B3" s="43">
        <v>235000</v>
      </c>
    </row>
    <row r="4" spans="1:8" ht="15.65" x14ac:dyDescent="0.3">
      <c r="A4" s="41" t="s">
        <v>41</v>
      </c>
      <c r="B4" s="43">
        <f>SLN(-B8,,B6)</f>
        <v>106000</v>
      </c>
    </row>
    <row r="5" spans="1:8" ht="15.65" x14ac:dyDescent="0.3">
      <c r="A5" s="41" t="s">
        <v>42</v>
      </c>
      <c r="B5" s="42">
        <v>0.21</v>
      </c>
    </row>
    <row r="6" spans="1:8" ht="15.65" x14ac:dyDescent="0.3">
      <c r="A6" s="95" t="s">
        <v>130</v>
      </c>
      <c r="B6" s="96">
        <v>5</v>
      </c>
    </row>
    <row r="7" spans="1:8" ht="15.65" x14ac:dyDescent="0.3">
      <c r="A7" s="41" t="s">
        <v>26</v>
      </c>
      <c r="B7" s="42">
        <v>0.08</v>
      </c>
    </row>
    <row r="8" spans="1:8" ht="15.65" x14ac:dyDescent="0.3">
      <c r="A8" s="41" t="s">
        <v>43</v>
      </c>
      <c r="B8" s="43">
        <v>-530000</v>
      </c>
    </row>
    <row r="9" spans="1:8" ht="15.65" x14ac:dyDescent="0.3">
      <c r="A9" s="48" t="s">
        <v>28</v>
      </c>
      <c r="B9" s="47">
        <f>-B8/PV(B7,B6,-1)</f>
        <v>132741.92092042332</v>
      </c>
      <c r="C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4AF1-B121-4F80-B470-D45DFF14B46E}">
  <dimension ref="A1:I13"/>
  <sheetViews>
    <sheetView showGridLines="0" topLeftCell="B1" zoomScale="145" zoomScaleNormal="145" workbookViewId="0">
      <selection activeCell="G3" sqref="G3"/>
    </sheetView>
  </sheetViews>
  <sheetFormatPr defaultRowHeight="15.05" x14ac:dyDescent="0.3"/>
  <cols>
    <col min="1" max="1" width="22.33203125" bestFit="1" customWidth="1"/>
    <col min="2" max="2" width="12.88671875" bestFit="1" customWidth="1"/>
    <col min="3" max="3" width="12.5546875" bestFit="1" customWidth="1"/>
    <col min="6" max="6" width="13" bestFit="1" customWidth="1"/>
    <col min="7" max="7" width="12.88671875" bestFit="1" customWidth="1"/>
    <col min="8" max="8" width="11.6640625" bestFit="1" customWidth="1"/>
  </cols>
  <sheetData>
    <row r="1" spans="1:9" ht="15.65" x14ac:dyDescent="0.3">
      <c r="A1" s="41" t="s">
        <v>130</v>
      </c>
      <c r="B1" s="96">
        <v>4</v>
      </c>
      <c r="F1" s="97" t="s">
        <v>47</v>
      </c>
      <c r="G1" s="97" t="s">
        <v>5</v>
      </c>
      <c r="H1" s="97" t="s">
        <v>49</v>
      </c>
    </row>
    <row r="2" spans="1:9" ht="15.65" x14ac:dyDescent="0.3">
      <c r="A2" s="41" t="s">
        <v>6</v>
      </c>
      <c r="B2" s="42">
        <v>0.23</v>
      </c>
      <c r="F2" s="13"/>
      <c r="G2" s="5">
        <f>B8</f>
        <v>1060457.5</v>
      </c>
      <c r="H2" s="13"/>
    </row>
    <row r="3" spans="1:9" ht="15.65" x14ac:dyDescent="0.3">
      <c r="A3" s="45" t="s">
        <v>16</v>
      </c>
      <c r="B3" s="43">
        <v>24</v>
      </c>
      <c r="F3" s="28">
        <f>B6</f>
        <v>90000</v>
      </c>
      <c r="G3" s="5">
        <f t="dataTable" ref="G3:G13" dt2D="0" dtr="0" r1="B6" ca="1"/>
        <v>1060457.5</v>
      </c>
      <c r="H3" s="13"/>
    </row>
    <row r="4" spans="1:9" ht="15.65" x14ac:dyDescent="0.3">
      <c r="A4" s="45" t="s">
        <v>19</v>
      </c>
      <c r="B4" s="43">
        <v>189000</v>
      </c>
      <c r="F4" s="28">
        <v>91000</v>
      </c>
      <c r="G4" s="5">
        <v>1073547.5</v>
      </c>
      <c r="H4" s="27">
        <f>(G3-G4)/(F3-F4)</f>
        <v>13.09</v>
      </c>
      <c r="I4" t="s">
        <v>14</v>
      </c>
    </row>
    <row r="5" spans="1:9" ht="15.65" x14ac:dyDescent="0.3">
      <c r="A5" s="46" t="s">
        <v>20</v>
      </c>
      <c r="B5" s="43">
        <v>41</v>
      </c>
      <c r="F5" s="28">
        <v>92000</v>
      </c>
      <c r="G5" s="5">
        <v>1086637.5</v>
      </c>
      <c r="H5" s="27">
        <f t="shared" ref="H5:H13" si="0">(G4-G5)/(F4-F5)</f>
        <v>13.09</v>
      </c>
      <c r="I5" s="2"/>
    </row>
    <row r="6" spans="1:9" ht="15.65" x14ac:dyDescent="0.3">
      <c r="A6" s="46" t="s">
        <v>47</v>
      </c>
      <c r="B6" s="44">
        <v>90000</v>
      </c>
      <c r="C6" s="12" t="s">
        <v>21</v>
      </c>
      <c r="F6" s="28">
        <v>93000</v>
      </c>
      <c r="G6" s="5">
        <v>1099727.5</v>
      </c>
      <c r="H6" s="27">
        <f t="shared" si="0"/>
        <v>13.09</v>
      </c>
    </row>
    <row r="7" spans="1:9" ht="15.65" x14ac:dyDescent="0.3">
      <c r="A7" s="41" t="s">
        <v>48</v>
      </c>
      <c r="B7" s="43">
        <v>-485000</v>
      </c>
      <c r="F7" s="28">
        <v>94000</v>
      </c>
      <c r="G7" s="5">
        <v>1112817.5</v>
      </c>
      <c r="H7" s="27">
        <f t="shared" si="0"/>
        <v>13.09</v>
      </c>
    </row>
    <row r="8" spans="1:9" ht="15.65" x14ac:dyDescent="0.3">
      <c r="A8" s="46" t="s">
        <v>5</v>
      </c>
      <c r="B8" s="47">
        <f>((B6*(B5-B3)-B4))*(1-B2)+B2*(SLN(-B7,,B1))</f>
        <v>1060457.5</v>
      </c>
      <c r="F8" s="28">
        <v>95000</v>
      </c>
      <c r="G8" s="5">
        <v>1125907.5</v>
      </c>
      <c r="H8" s="27">
        <f t="shared" si="0"/>
        <v>13.09</v>
      </c>
    </row>
    <row r="9" spans="1:9" ht="15.65" x14ac:dyDescent="0.3">
      <c r="A9" s="18"/>
      <c r="B9" s="2"/>
      <c r="F9" s="28">
        <v>96000</v>
      </c>
      <c r="G9" s="5">
        <v>1138997.5</v>
      </c>
      <c r="H9" s="27">
        <f t="shared" si="0"/>
        <v>13.09</v>
      </c>
    </row>
    <row r="10" spans="1:9" ht="15.65" x14ac:dyDescent="0.3">
      <c r="F10" s="28">
        <v>97000</v>
      </c>
      <c r="G10" s="5">
        <v>1152087.5</v>
      </c>
      <c r="H10" s="27">
        <f t="shared" si="0"/>
        <v>13.09</v>
      </c>
    </row>
    <row r="11" spans="1:9" ht="15.65" x14ac:dyDescent="0.3">
      <c r="F11" s="28">
        <v>98000</v>
      </c>
      <c r="G11" s="5">
        <v>1165177.5</v>
      </c>
      <c r="H11" s="27">
        <f t="shared" si="0"/>
        <v>13.09</v>
      </c>
    </row>
    <row r="12" spans="1:9" ht="15.65" x14ac:dyDescent="0.3">
      <c r="F12" s="28">
        <v>99000</v>
      </c>
      <c r="G12" s="5">
        <v>1178267.5</v>
      </c>
      <c r="H12" s="27">
        <f t="shared" si="0"/>
        <v>13.09</v>
      </c>
    </row>
    <row r="13" spans="1:9" ht="15.65" x14ac:dyDescent="0.3">
      <c r="F13" s="28">
        <v>100000</v>
      </c>
      <c r="G13" s="5">
        <v>1191357.5</v>
      </c>
      <c r="H13" s="27">
        <f t="shared" si="0"/>
        <v>13.09</v>
      </c>
    </row>
  </sheetData>
  <conditionalFormatting sqref="G3:G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C8C1-2997-4416-9DA1-AEC6120BA603}">
  <dimension ref="A1:J23"/>
  <sheetViews>
    <sheetView showGridLines="0" topLeftCell="B1" zoomScale="145" zoomScaleNormal="145" workbookViewId="0">
      <selection activeCell="F2" sqref="F2"/>
    </sheetView>
  </sheetViews>
  <sheetFormatPr defaultRowHeight="15.05" x14ac:dyDescent="0.3"/>
  <cols>
    <col min="1" max="1" width="31.88671875" bestFit="1" customWidth="1"/>
    <col min="2" max="2" width="11.44140625" bestFit="1" customWidth="1"/>
    <col min="3" max="3" width="12.5546875" bestFit="1" customWidth="1"/>
    <col min="4" max="4" width="8.88671875" customWidth="1"/>
    <col min="6" max="6" width="10.6640625" bestFit="1" customWidth="1"/>
    <col min="7" max="7" width="9" bestFit="1" customWidth="1"/>
    <col min="8" max="8" width="11.44140625" bestFit="1" customWidth="1"/>
    <col min="9" max="9" width="11.6640625" bestFit="1" customWidth="1"/>
    <col min="10" max="10" width="11.88671875" bestFit="1" customWidth="1"/>
  </cols>
  <sheetData>
    <row r="1" spans="1:10" ht="15.65" x14ac:dyDescent="0.3">
      <c r="A1" s="41" t="s">
        <v>6</v>
      </c>
      <c r="B1" s="42">
        <v>0.21</v>
      </c>
      <c r="F1" s="97" t="s">
        <v>19</v>
      </c>
      <c r="G1" s="97" t="s">
        <v>5</v>
      </c>
      <c r="H1" s="97" t="s">
        <v>8</v>
      </c>
      <c r="I1" s="97" t="s">
        <v>53</v>
      </c>
      <c r="J1" s="97" t="s">
        <v>54</v>
      </c>
    </row>
    <row r="2" spans="1:10" ht="15.65" x14ac:dyDescent="0.3">
      <c r="A2" s="41" t="s">
        <v>7</v>
      </c>
      <c r="B2" s="42">
        <v>0.15</v>
      </c>
      <c r="F2" s="13"/>
      <c r="G2" s="4">
        <f>B9</f>
        <v>491260</v>
      </c>
      <c r="H2" s="5">
        <f>B10</f>
        <v>682536.67046644306</v>
      </c>
      <c r="I2" s="13"/>
    </row>
    <row r="3" spans="1:10" ht="15.65" x14ac:dyDescent="0.3">
      <c r="A3" s="45" t="s">
        <v>16</v>
      </c>
      <c r="B3" s="43">
        <v>14100</v>
      </c>
      <c r="F3" s="10">
        <f>B4</f>
        <v>680000</v>
      </c>
      <c r="G3" s="4">
        <f t="dataTable" ref="G3:H23" dt2D="0" dtr="0" r1="B4" ca="1"/>
        <v>491260</v>
      </c>
      <c r="H3" s="4">
        <v>682536.67046644306</v>
      </c>
      <c r="I3" s="31"/>
    </row>
    <row r="4" spans="1:10" ht="15.65" x14ac:dyDescent="0.3">
      <c r="A4" s="45" t="s">
        <v>19</v>
      </c>
      <c r="B4" s="43">
        <v>680000</v>
      </c>
      <c r="F4" s="10">
        <v>681000</v>
      </c>
      <c r="G4" s="4">
        <v>490470</v>
      </c>
      <c r="H4" s="4">
        <v>680281.23755989969</v>
      </c>
      <c r="I4" s="29">
        <f>(H4-H3)/(F4-F3)</f>
        <v>-2.2554329065433705</v>
      </c>
      <c r="J4" s="30">
        <f>(G4-G3)/(F4-F3)</f>
        <v>-0.79</v>
      </c>
    </row>
    <row r="5" spans="1:10" ht="15.65" x14ac:dyDescent="0.3">
      <c r="A5" s="46" t="s">
        <v>20</v>
      </c>
      <c r="B5" s="43">
        <v>17400</v>
      </c>
      <c r="F5" s="10">
        <v>682000</v>
      </c>
      <c r="G5" s="4">
        <v>489680</v>
      </c>
      <c r="H5" s="4">
        <v>678025.80465335608</v>
      </c>
      <c r="I5" s="29">
        <f t="shared" ref="I5:I23" si="0">(H5-H4)/(F5-F4)</f>
        <v>-2.2554329065436032</v>
      </c>
      <c r="J5" s="30">
        <f t="shared" ref="J5:J23" si="1">(G5-G4)/(F5-F4)</f>
        <v>-0.79</v>
      </c>
    </row>
    <row r="6" spans="1:10" ht="15.65" x14ac:dyDescent="0.3">
      <c r="A6" s="46" t="s">
        <v>9</v>
      </c>
      <c r="B6" s="44">
        <v>380</v>
      </c>
      <c r="C6" s="12" t="s">
        <v>21</v>
      </c>
      <c r="F6" s="10">
        <v>683000</v>
      </c>
      <c r="G6" s="4">
        <v>488890</v>
      </c>
      <c r="H6" s="4">
        <v>675770.37174681295</v>
      </c>
      <c r="I6" s="29">
        <f t="shared" si="0"/>
        <v>-2.2554329065431373</v>
      </c>
      <c r="J6" s="30">
        <f t="shared" si="1"/>
        <v>-0.79</v>
      </c>
    </row>
    <row r="7" spans="1:10" ht="15.65" x14ac:dyDescent="0.3">
      <c r="A7" s="41" t="s">
        <v>50</v>
      </c>
      <c r="B7" s="43">
        <v>-720000</v>
      </c>
      <c r="F7" s="10">
        <v>684000</v>
      </c>
      <c r="G7" s="4">
        <v>488100</v>
      </c>
      <c r="H7" s="4">
        <v>673514.93884026958</v>
      </c>
      <c r="I7" s="29">
        <f t="shared" si="0"/>
        <v>-2.2554329065433705</v>
      </c>
      <c r="J7" s="30">
        <f t="shared" si="1"/>
        <v>-0.79</v>
      </c>
    </row>
    <row r="8" spans="1:10" ht="15.65" x14ac:dyDescent="0.3">
      <c r="A8" s="45" t="s">
        <v>130</v>
      </c>
      <c r="B8" s="96">
        <v>4</v>
      </c>
      <c r="F8" s="10">
        <v>685000</v>
      </c>
      <c r="G8" s="4">
        <v>487310</v>
      </c>
      <c r="H8" s="4">
        <v>671259.50593372644</v>
      </c>
      <c r="I8" s="29">
        <f t="shared" si="0"/>
        <v>-2.2554329065431373</v>
      </c>
      <c r="J8" s="30">
        <f t="shared" si="1"/>
        <v>-0.79</v>
      </c>
    </row>
    <row r="9" spans="1:10" ht="15.65" x14ac:dyDescent="0.3">
      <c r="A9" s="45" t="s">
        <v>5</v>
      </c>
      <c r="B9" s="43">
        <f>((B6*(B5-B3)-B4))*(1-B1)+B1*(SLN(-B7,,B8))</f>
        <v>491260</v>
      </c>
      <c r="C9" s="2"/>
      <c r="F9" s="10">
        <v>686000</v>
      </c>
      <c r="G9" s="4">
        <v>486520</v>
      </c>
      <c r="H9" s="4">
        <v>669004.07302718284</v>
      </c>
      <c r="I9" s="29">
        <f t="shared" si="0"/>
        <v>-2.2554329065436032</v>
      </c>
      <c r="J9" s="30">
        <f t="shared" si="1"/>
        <v>-0.79</v>
      </c>
    </row>
    <row r="10" spans="1:10" ht="15.65" x14ac:dyDescent="0.3">
      <c r="A10" s="45" t="s">
        <v>8</v>
      </c>
      <c r="B10" s="47">
        <f>B7+PV(B2,B8,-B9)</f>
        <v>682536.67046644306</v>
      </c>
      <c r="C10" s="2"/>
      <c r="F10" s="10">
        <v>687000</v>
      </c>
      <c r="G10" s="4">
        <v>485730</v>
      </c>
      <c r="H10" s="4">
        <v>666748.64012063947</v>
      </c>
      <c r="I10" s="29">
        <f t="shared" si="0"/>
        <v>-2.2554329065433705</v>
      </c>
      <c r="J10" s="30">
        <f t="shared" si="1"/>
        <v>-0.79</v>
      </c>
    </row>
    <row r="11" spans="1:10" ht="15.65" x14ac:dyDescent="0.3">
      <c r="F11" s="10">
        <v>688000</v>
      </c>
      <c r="G11" s="4">
        <v>484940</v>
      </c>
      <c r="H11" s="4">
        <v>664493.2072140961</v>
      </c>
      <c r="I11" s="29">
        <f t="shared" si="0"/>
        <v>-2.2554329065433705</v>
      </c>
      <c r="J11" s="30">
        <f t="shared" si="1"/>
        <v>-0.79</v>
      </c>
    </row>
    <row r="12" spans="1:10" ht="15.65" x14ac:dyDescent="0.3">
      <c r="A12" s="46" t="s">
        <v>44</v>
      </c>
      <c r="B12" s="51">
        <f>(B4+SLN(-B7,,B8))/(B5-B3)</f>
        <v>260.60606060606062</v>
      </c>
      <c r="C12" s="13" t="s">
        <v>3</v>
      </c>
      <c r="D12" s="2"/>
      <c r="F12" s="10">
        <v>689000</v>
      </c>
      <c r="G12" s="4">
        <v>484150</v>
      </c>
      <c r="H12" s="4">
        <v>662237.77430755273</v>
      </c>
      <c r="I12" s="29">
        <f t="shared" si="0"/>
        <v>-2.2554329065433705</v>
      </c>
      <c r="J12" s="30">
        <f t="shared" si="1"/>
        <v>-0.79</v>
      </c>
    </row>
    <row r="13" spans="1:10" ht="15.65" x14ac:dyDescent="0.3">
      <c r="C13" s="52"/>
      <c r="F13" s="10">
        <v>690000</v>
      </c>
      <c r="G13" s="4">
        <v>483360</v>
      </c>
      <c r="H13" s="4">
        <v>659982.34140100935</v>
      </c>
      <c r="I13" s="29">
        <f t="shared" si="0"/>
        <v>-2.2554329065433705</v>
      </c>
      <c r="J13" s="30">
        <f t="shared" si="1"/>
        <v>-0.79</v>
      </c>
    </row>
    <row r="14" spans="1:10" ht="15.65" x14ac:dyDescent="0.3">
      <c r="F14" s="10">
        <v>691000</v>
      </c>
      <c r="G14" s="4">
        <v>482570</v>
      </c>
      <c r="H14" s="4">
        <v>657726.90849446598</v>
      </c>
      <c r="I14" s="29">
        <f t="shared" si="0"/>
        <v>-2.2554329065433705</v>
      </c>
      <c r="J14" s="30">
        <f t="shared" si="1"/>
        <v>-0.79</v>
      </c>
    </row>
    <row r="15" spans="1:10" ht="15.65" x14ac:dyDescent="0.3">
      <c r="F15" s="10">
        <v>692000</v>
      </c>
      <c r="G15" s="4">
        <v>481780</v>
      </c>
      <c r="H15" s="4">
        <v>655471.47558792285</v>
      </c>
      <c r="I15" s="29">
        <f t="shared" si="0"/>
        <v>-2.2554329065431373</v>
      </c>
      <c r="J15" s="30">
        <f t="shared" si="1"/>
        <v>-0.79</v>
      </c>
    </row>
    <row r="16" spans="1:10" ht="15.65" x14ac:dyDescent="0.3">
      <c r="F16" s="10">
        <v>693000</v>
      </c>
      <c r="G16" s="4">
        <v>480990</v>
      </c>
      <c r="H16" s="4">
        <v>653216.04268137924</v>
      </c>
      <c r="I16" s="29">
        <f t="shared" si="0"/>
        <v>-2.2554329065436032</v>
      </c>
      <c r="J16" s="30">
        <f t="shared" si="1"/>
        <v>-0.79</v>
      </c>
    </row>
    <row r="17" spans="6:10" ht="15.65" x14ac:dyDescent="0.3">
      <c r="F17" s="10">
        <v>694000</v>
      </c>
      <c r="G17" s="4">
        <v>480200</v>
      </c>
      <c r="H17" s="4">
        <v>650960.60977483587</v>
      </c>
      <c r="I17" s="29">
        <f t="shared" si="0"/>
        <v>-2.2554329065433705</v>
      </c>
      <c r="J17" s="30">
        <f t="shared" si="1"/>
        <v>-0.79</v>
      </c>
    </row>
    <row r="18" spans="6:10" ht="15.65" x14ac:dyDescent="0.3">
      <c r="F18" s="10">
        <v>695000</v>
      </c>
      <c r="G18" s="4">
        <v>479410</v>
      </c>
      <c r="H18" s="4">
        <v>648705.17686829274</v>
      </c>
      <c r="I18" s="29">
        <f t="shared" si="0"/>
        <v>-2.2554329065431373</v>
      </c>
      <c r="J18" s="30">
        <f t="shared" si="1"/>
        <v>-0.79</v>
      </c>
    </row>
    <row r="19" spans="6:10" ht="15.65" x14ac:dyDescent="0.3">
      <c r="F19" s="10">
        <v>696000</v>
      </c>
      <c r="G19" s="4">
        <v>478620</v>
      </c>
      <c r="H19" s="4">
        <v>646449.74396174937</v>
      </c>
      <c r="I19" s="29">
        <f t="shared" si="0"/>
        <v>-2.2554329065433705</v>
      </c>
      <c r="J19" s="30">
        <f t="shared" si="1"/>
        <v>-0.79</v>
      </c>
    </row>
    <row r="20" spans="6:10" ht="15.65" x14ac:dyDescent="0.3">
      <c r="F20" s="10">
        <v>697000</v>
      </c>
      <c r="G20" s="4">
        <v>477830</v>
      </c>
      <c r="H20" s="4">
        <v>644194.31105520576</v>
      </c>
      <c r="I20" s="29">
        <f t="shared" si="0"/>
        <v>-2.2554329065436032</v>
      </c>
      <c r="J20" s="30">
        <f t="shared" si="1"/>
        <v>-0.79</v>
      </c>
    </row>
    <row r="21" spans="6:10" ht="15.65" x14ac:dyDescent="0.3">
      <c r="F21" s="10">
        <v>698000</v>
      </c>
      <c r="G21" s="4">
        <v>477040</v>
      </c>
      <c r="H21" s="4">
        <v>641938.87814866262</v>
      </c>
      <c r="I21" s="29">
        <f t="shared" si="0"/>
        <v>-2.2554329065431373</v>
      </c>
      <c r="J21" s="30">
        <f t="shared" si="1"/>
        <v>-0.79</v>
      </c>
    </row>
    <row r="22" spans="6:10" ht="15.65" x14ac:dyDescent="0.3">
      <c r="F22" s="10">
        <v>699000</v>
      </c>
      <c r="G22" s="4">
        <v>476250</v>
      </c>
      <c r="H22" s="4">
        <v>639683.44524211925</v>
      </c>
      <c r="I22" s="29">
        <f t="shared" si="0"/>
        <v>-2.2554329065433705</v>
      </c>
      <c r="J22" s="30">
        <f t="shared" si="1"/>
        <v>-0.79</v>
      </c>
    </row>
    <row r="23" spans="6:10" ht="15.65" x14ac:dyDescent="0.3">
      <c r="F23" s="10">
        <v>700000</v>
      </c>
      <c r="G23" s="4">
        <v>475460</v>
      </c>
      <c r="H23" s="4">
        <v>637428.01233557565</v>
      </c>
      <c r="I23" s="29">
        <f t="shared" si="0"/>
        <v>-2.2554329065436032</v>
      </c>
      <c r="J23" s="30">
        <f t="shared" si="1"/>
        <v>-0.79</v>
      </c>
    </row>
  </sheetData>
  <scenarios current="2" show="2" sqref="A9:B10">
    <scenario name="The Best-Case" locked="1" count="4" user="PC-5985614" comment="Created by PC-5985614 on 1/18/2022_x000a_Modified by PC-5985614 on 1/18/2022">
      <inputCells r="B3" val="12690" numFmtId="6"/>
      <inputCells r="B4" val="612000" numFmtId="6"/>
      <inputCells r="B5" val="17400" numFmtId="6"/>
      <inputCells r="B6" val="418" numFmtId="3"/>
    </scenario>
    <scenario name="The Worst-Case" locked="1" count="4" user="PC-5985614" comment="Created by PC-5985614 on 1/18/2022_x000a_Modified by PC-5985614 on 1/18/2022">
      <inputCells r="B3" val="15510" numFmtId="6"/>
      <inputCells r="B4" val="748000" numFmtId="6"/>
      <inputCells r="B5" val="17400" numFmtId="6"/>
      <inputCells r="B6" val="342" numFmtId="3"/>
    </scenario>
    <scenario name="Current" locked="1" count="4" user="PC-5985614" comment="Created by PC-5985614 on 1/18/2022">
      <inputCells r="B3" val="14100" numFmtId="6"/>
      <inputCells r="B4" val="680000" numFmtId="6"/>
      <inputCells r="B5" val="17400" numFmtId="6"/>
      <inputCells r="B6" val="380" numFmtId="3"/>
    </scenario>
  </scenarios>
  <conditionalFormatting sqref="G3:G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FB3E-A439-400C-AB16-D1852924FCC5}">
  <dimension ref="A1:R122"/>
  <sheetViews>
    <sheetView showGridLines="0" zoomScale="160" zoomScaleNormal="160" workbookViewId="0"/>
  </sheetViews>
  <sheetFormatPr defaultRowHeight="15.05" x14ac:dyDescent="0.3"/>
  <cols>
    <col min="1" max="1" width="19.5546875" style="84" bestFit="1" customWidth="1"/>
    <col min="2" max="2" width="15.88671875" style="84" bestFit="1" customWidth="1"/>
    <col min="3" max="3" width="14" style="84" bestFit="1" customWidth="1"/>
    <col min="4" max="4" width="14.5546875" style="84" bestFit="1" customWidth="1"/>
    <col min="5" max="5" width="12" style="84" bestFit="1" customWidth="1"/>
    <col min="6" max="7" width="12" style="84" customWidth="1"/>
    <col min="8" max="8" width="18.77734375" style="84" bestFit="1" customWidth="1"/>
    <col min="9" max="9" width="12.33203125" style="84" bestFit="1" customWidth="1"/>
    <col min="10" max="10" width="14" style="84" bestFit="1" customWidth="1"/>
    <col min="11" max="11" width="11.44140625" style="84" bestFit="1" customWidth="1"/>
    <col min="12" max="12" width="11.6640625" style="84" bestFit="1" customWidth="1"/>
    <col min="13" max="13" width="12" style="84" bestFit="1" customWidth="1"/>
    <col min="14" max="14" width="10.88671875" style="84" bestFit="1" customWidth="1"/>
    <col min="15" max="15" width="11.44140625" style="84" bestFit="1" customWidth="1"/>
    <col min="16" max="16" width="14" style="84" bestFit="1" customWidth="1"/>
    <col min="17" max="17" width="11.5546875" style="84" bestFit="1" customWidth="1"/>
    <col min="18" max="18" width="11.6640625" style="84" bestFit="1" customWidth="1"/>
    <col min="19" max="16384" width="8.88671875" style="84"/>
  </cols>
  <sheetData>
    <row r="1" spans="1:18" ht="15.65" x14ac:dyDescent="0.3">
      <c r="A1" s="98" t="s">
        <v>55</v>
      </c>
      <c r="B1" s="99" t="s">
        <v>138</v>
      </c>
      <c r="C1" s="100" t="s">
        <v>83</v>
      </c>
      <c r="H1" s="101" t="s">
        <v>6</v>
      </c>
      <c r="I1" s="102">
        <v>0.24</v>
      </c>
      <c r="J1" s="103"/>
      <c r="M1" s="104">
        <f>I5</f>
        <v>-31800000</v>
      </c>
    </row>
    <row r="2" spans="1:18" ht="15.65" x14ac:dyDescent="0.3">
      <c r="A2" s="105" t="s">
        <v>56</v>
      </c>
      <c r="B2" s="106">
        <v>950</v>
      </c>
      <c r="C2" s="101">
        <v>50000</v>
      </c>
      <c r="H2" s="101" t="s">
        <v>65</v>
      </c>
      <c r="I2" s="102">
        <v>0.14000000000000001</v>
      </c>
      <c r="J2" s="103"/>
      <c r="M2" s="104">
        <f t="shared" ref="M2:M7" si="0">$B$21</f>
        <v>10728400</v>
      </c>
    </row>
    <row r="3" spans="1:18" ht="15.65" x14ac:dyDescent="0.3">
      <c r="A3" s="105" t="s">
        <v>57</v>
      </c>
      <c r="B3" s="106">
        <v>1450</v>
      </c>
      <c r="C3" s="101">
        <v>-9000</v>
      </c>
      <c r="H3" s="101" t="s">
        <v>50</v>
      </c>
      <c r="I3" s="104">
        <v>-29400000</v>
      </c>
      <c r="J3" s="107"/>
      <c r="M3" s="104">
        <f t="shared" si="0"/>
        <v>10728400</v>
      </c>
    </row>
    <row r="4" spans="1:18" ht="15.65" x14ac:dyDescent="0.3">
      <c r="A4" s="105" t="s">
        <v>58</v>
      </c>
      <c r="B4" s="106">
        <v>475</v>
      </c>
      <c r="C4" s="101">
        <v>12000</v>
      </c>
      <c r="H4" s="101" t="s">
        <v>67</v>
      </c>
      <c r="I4" s="104">
        <v>-2400000</v>
      </c>
      <c r="J4" s="107"/>
      <c r="M4" s="104">
        <f t="shared" si="0"/>
        <v>10728400</v>
      </c>
    </row>
    <row r="5" spans="1:18" ht="15.65" x14ac:dyDescent="0.3">
      <c r="A5" s="108"/>
      <c r="B5" s="109"/>
      <c r="C5" s="110">
        <f>SUMPRODUCT($C$2:$C$4,$B$2:$B$4)</f>
        <v>40150000</v>
      </c>
      <c r="H5" s="81" t="s">
        <v>82</v>
      </c>
      <c r="I5" s="104">
        <f>I3+I4</f>
        <v>-31800000</v>
      </c>
      <c r="J5" s="107"/>
      <c r="M5" s="104">
        <f t="shared" si="0"/>
        <v>10728400</v>
      </c>
    </row>
    <row r="6" spans="1:18" ht="15.65" x14ac:dyDescent="0.3">
      <c r="H6" s="101" t="s">
        <v>130</v>
      </c>
      <c r="I6" s="101">
        <v>7</v>
      </c>
      <c r="M6" s="104">
        <f t="shared" si="0"/>
        <v>10728400</v>
      </c>
    </row>
    <row r="7" spans="1:18" ht="15.65" x14ac:dyDescent="0.3">
      <c r="H7" s="101" t="s">
        <v>139</v>
      </c>
      <c r="I7" s="104">
        <v>9400000</v>
      </c>
      <c r="M7" s="104">
        <f t="shared" si="0"/>
        <v>10728400</v>
      </c>
    </row>
    <row r="8" spans="1:18" ht="15.65" x14ac:dyDescent="0.3">
      <c r="A8" s="111" t="s">
        <v>59</v>
      </c>
      <c r="B8" s="99" t="s">
        <v>138</v>
      </c>
      <c r="C8" s="100" t="s">
        <v>83</v>
      </c>
      <c r="M8" s="104">
        <f>$B$21+-I4</f>
        <v>13128400</v>
      </c>
    </row>
    <row r="9" spans="1:18" ht="15.65" x14ac:dyDescent="0.3">
      <c r="A9" s="105" t="s">
        <v>56</v>
      </c>
      <c r="B9" s="106">
        <v>-415</v>
      </c>
      <c r="C9" s="101">
        <v>50000</v>
      </c>
    </row>
    <row r="10" spans="1:18" ht="15.65" x14ac:dyDescent="0.3">
      <c r="A10" s="105" t="s">
        <v>57</v>
      </c>
      <c r="B10" s="106">
        <v>-590</v>
      </c>
      <c r="C10" s="101">
        <v>-9000</v>
      </c>
      <c r="H10" s="112" t="s">
        <v>80</v>
      </c>
      <c r="I10" s="112" t="s">
        <v>5</v>
      </c>
      <c r="J10" s="112" t="s">
        <v>8</v>
      </c>
      <c r="K10" s="112" t="s">
        <v>78</v>
      </c>
      <c r="L10" s="112" t="s">
        <v>49</v>
      </c>
      <c r="N10" s="112" t="s">
        <v>72</v>
      </c>
      <c r="O10" s="112" t="s">
        <v>5</v>
      </c>
      <c r="P10" s="112" t="s">
        <v>8</v>
      </c>
      <c r="Q10" s="112" t="s">
        <v>79</v>
      </c>
      <c r="R10" s="112" t="s">
        <v>81</v>
      </c>
    </row>
    <row r="11" spans="1:18" ht="15.65" x14ac:dyDescent="0.3">
      <c r="A11" s="105" t="s">
        <v>58</v>
      </c>
      <c r="B11" s="106">
        <v>-210</v>
      </c>
      <c r="C11" s="101">
        <v>12000</v>
      </c>
      <c r="H11" s="113"/>
      <c r="I11" s="114">
        <f>$B$21</f>
        <v>10728400</v>
      </c>
      <c r="J11" s="115">
        <f>$B$24</f>
        <v>15165779.209575785</v>
      </c>
      <c r="K11" s="113"/>
      <c r="L11" s="113"/>
      <c r="M11" s="113"/>
      <c r="N11" s="113"/>
      <c r="O11" s="114">
        <f>I11</f>
        <v>10728400</v>
      </c>
      <c r="P11" s="115">
        <f>J11</f>
        <v>15165779.209575785</v>
      </c>
      <c r="Q11" s="113"/>
      <c r="R11" s="113"/>
    </row>
    <row r="12" spans="1:18" ht="15.65" x14ac:dyDescent="0.3">
      <c r="A12" s="108"/>
      <c r="B12" s="109"/>
      <c r="C12" s="110">
        <f>SUMPRODUCT($C$9:$C$11,$B$9:$B$11)</f>
        <v>-17960000</v>
      </c>
      <c r="H12" s="28">
        <f>B29</f>
        <v>50000</v>
      </c>
      <c r="I12" s="107">
        <f t="dataTable" ref="I12:J42" dt2D="0" dtr="0" r1="C2" ca="1"/>
        <v>10728400</v>
      </c>
      <c r="J12" s="107">
        <v>15165779.209575785</v>
      </c>
      <c r="K12" s="113"/>
      <c r="L12" s="113"/>
      <c r="M12" s="113"/>
      <c r="N12" s="116">
        <f>B30</f>
        <v>950</v>
      </c>
      <c r="O12" s="107">
        <f t="dataTable" ref="O12:P42" dt2D="0" dtr="0" r1="B2"/>
        <v>10728400</v>
      </c>
      <c r="P12" s="107">
        <v>15165779.209575785</v>
      </c>
      <c r="Q12" s="113"/>
      <c r="R12" s="113"/>
    </row>
    <row r="13" spans="1:18" ht="15.65" x14ac:dyDescent="0.3">
      <c r="H13" s="28">
        <v>51000</v>
      </c>
      <c r="I13" s="107">
        <v>11450400</v>
      </c>
      <c r="J13" s="107">
        <v>18261935.303386036</v>
      </c>
      <c r="K13" s="117">
        <f>(J13-J12)/(H13-H12)</f>
        <v>3096.1560938102511</v>
      </c>
      <c r="L13" s="117">
        <f>(I13-I12)/(H13-H12)</f>
        <v>722</v>
      </c>
      <c r="M13" s="113"/>
      <c r="N13" s="32">
        <v>955</v>
      </c>
      <c r="O13" s="107">
        <v>10918400</v>
      </c>
      <c r="P13" s="107">
        <v>15980557.128999529</v>
      </c>
      <c r="Q13" s="118">
        <f>(P13-P12)/(N13-N12)</f>
        <v>162955.5838847488</v>
      </c>
      <c r="R13" s="119">
        <f>(O13-O12)/(N13-N12)</f>
        <v>38000</v>
      </c>
    </row>
    <row r="14" spans="1:18" ht="15.65" x14ac:dyDescent="0.3">
      <c r="A14" s="105" t="s">
        <v>55</v>
      </c>
      <c r="B14" s="120">
        <f>C5</f>
        <v>40150000</v>
      </c>
      <c r="C14" s="121"/>
      <c r="H14" s="28">
        <v>52000</v>
      </c>
      <c r="I14" s="107">
        <v>12172400</v>
      </c>
      <c r="J14" s="107">
        <v>21358091.397196297</v>
      </c>
      <c r="K14" s="117">
        <f t="shared" ref="K14:K42" si="1">(J14-J13)/(H14-H13)</f>
        <v>3096.1560938102602</v>
      </c>
      <c r="L14" s="117">
        <f t="shared" ref="L14:L42" si="2">(I14-I13)/(H14-H13)</f>
        <v>722</v>
      </c>
      <c r="M14" s="113"/>
      <c r="N14" s="32">
        <v>960</v>
      </c>
      <c r="O14" s="107">
        <v>11108400</v>
      </c>
      <c r="P14" s="107">
        <v>16795335.048423287</v>
      </c>
      <c r="Q14" s="118">
        <f t="shared" ref="Q14:Q42" si="3">(P14-P13)/(N14-N13)</f>
        <v>162955.58388475142</v>
      </c>
      <c r="R14" s="119">
        <f t="shared" ref="R14:R42" si="4">(O14-O13)/(N14-N13)</f>
        <v>38000</v>
      </c>
    </row>
    <row r="15" spans="1:18" ht="15.65" x14ac:dyDescent="0.3">
      <c r="A15" s="105" t="s">
        <v>60</v>
      </c>
      <c r="B15" s="120">
        <f>-C12</f>
        <v>17960000</v>
      </c>
      <c r="H15" s="28">
        <v>53000</v>
      </c>
      <c r="I15" s="107">
        <v>12894400</v>
      </c>
      <c r="J15" s="107">
        <v>24454247.491006549</v>
      </c>
      <c r="K15" s="117">
        <f t="shared" si="1"/>
        <v>3096.156093810253</v>
      </c>
      <c r="L15" s="117">
        <f t="shared" si="2"/>
        <v>722</v>
      </c>
      <c r="M15" s="113"/>
      <c r="N15" s="32">
        <v>965</v>
      </c>
      <c r="O15" s="107">
        <v>11298400</v>
      </c>
      <c r="P15" s="107">
        <v>17610112.967847038</v>
      </c>
      <c r="Q15" s="118">
        <f t="shared" si="3"/>
        <v>162955.58388475032</v>
      </c>
      <c r="R15" s="119">
        <f t="shared" si="4"/>
        <v>38000</v>
      </c>
    </row>
    <row r="16" spans="1:18" ht="15.65" x14ac:dyDescent="0.3">
      <c r="A16" s="105" t="s">
        <v>61</v>
      </c>
      <c r="B16" s="120">
        <f>I7</f>
        <v>9400000</v>
      </c>
      <c r="H16" s="28">
        <v>54000</v>
      </c>
      <c r="I16" s="107">
        <v>13616400</v>
      </c>
      <c r="J16" s="107">
        <v>27550403.584816802</v>
      </c>
      <c r="K16" s="117">
        <f t="shared" si="1"/>
        <v>3096.156093810253</v>
      </c>
      <c r="L16" s="117">
        <f t="shared" si="2"/>
        <v>722</v>
      </c>
      <c r="M16" s="113"/>
      <c r="N16" s="32">
        <v>970</v>
      </c>
      <c r="O16" s="107">
        <v>11488400</v>
      </c>
      <c r="P16" s="107">
        <v>18424890.887270782</v>
      </c>
      <c r="Q16" s="118">
        <f t="shared" si="3"/>
        <v>162955.5838847488</v>
      </c>
      <c r="R16" s="119">
        <f t="shared" si="4"/>
        <v>38000</v>
      </c>
    </row>
    <row r="17" spans="1:18" ht="15.65" x14ac:dyDescent="0.3">
      <c r="A17" s="105" t="s">
        <v>1</v>
      </c>
      <c r="B17" s="120">
        <f>SLN(-I3,,I6)</f>
        <v>4200000</v>
      </c>
      <c r="H17" s="28">
        <v>55000</v>
      </c>
      <c r="I17" s="107">
        <v>14338400</v>
      </c>
      <c r="J17" s="107">
        <v>30646559.678627063</v>
      </c>
      <c r="K17" s="117">
        <f t="shared" si="1"/>
        <v>3096.1560938102602</v>
      </c>
      <c r="L17" s="117">
        <f t="shared" si="2"/>
        <v>722</v>
      </c>
      <c r="M17" s="113"/>
      <c r="N17" s="32">
        <v>975</v>
      </c>
      <c r="O17" s="107">
        <v>11678400</v>
      </c>
      <c r="P17" s="107">
        <v>19239668.806694541</v>
      </c>
      <c r="Q17" s="118">
        <f t="shared" si="3"/>
        <v>162955.5838847518</v>
      </c>
      <c r="R17" s="119">
        <f t="shared" si="4"/>
        <v>38000</v>
      </c>
    </row>
    <row r="18" spans="1:18" ht="15.65" x14ac:dyDescent="0.3">
      <c r="A18" s="122" t="s">
        <v>62</v>
      </c>
      <c r="B18" s="123">
        <f>B14-SUM(B15:B17)</f>
        <v>8590000</v>
      </c>
      <c r="H18" s="28">
        <v>56000</v>
      </c>
      <c r="I18" s="107">
        <v>15060400</v>
      </c>
      <c r="J18" s="107">
        <v>33742715.772437319</v>
      </c>
      <c r="K18" s="117">
        <f t="shared" si="1"/>
        <v>3096.1560938102566</v>
      </c>
      <c r="L18" s="117">
        <f t="shared" si="2"/>
        <v>722</v>
      </c>
      <c r="M18" s="113"/>
      <c r="N18" s="32">
        <v>980</v>
      </c>
      <c r="O18" s="107">
        <v>11868400</v>
      </c>
      <c r="P18" s="107">
        <v>20054446.726118293</v>
      </c>
      <c r="Q18" s="118">
        <f t="shared" si="3"/>
        <v>162955.58388475032</v>
      </c>
      <c r="R18" s="119">
        <f t="shared" si="4"/>
        <v>38000</v>
      </c>
    </row>
    <row r="19" spans="1:18" ht="15.65" x14ac:dyDescent="0.3">
      <c r="A19" s="105" t="s">
        <v>63</v>
      </c>
      <c r="B19" s="120">
        <f>B18*I1</f>
        <v>2061600</v>
      </c>
      <c r="H19" s="28">
        <v>57000</v>
      </c>
      <c r="I19" s="107">
        <v>15782400</v>
      </c>
      <c r="J19" s="107">
        <v>36838871.866247572</v>
      </c>
      <c r="K19" s="117">
        <f t="shared" si="1"/>
        <v>3096.156093810253</v>
      </c>
      <c r="L19" s="117">
        <f t="shared" si="2"/>
        <v>722</v>
      </c>
      <c r="M19" s="113"/>
      <c r="N19" s="32">
        <v>985</v>
      </c>
      <c r="O19" s="107">
        <v>12058400</v>
      </c>
      <c r="P19" s="107">
        <v>20869224.645542037</v>
      </c>
      <c r="Q19" s="118">
        <f t="shared" si="3"/>
        <v>162955.5838847488</v>
      </c>
      <c r="R19" s="119">
        <f t="shared" si="4"/>
        <v>38000</v>
      </c>
    </row>
    <row r="20" spans="1:18" ht="15.65" x14ac:dyDescent="0.3">
      <c r="A20" s="122" t="s">
        <v>64</v>
      </c>
      <c r="B20" s="123">
        <f>B18-B19</f>
        <v>6528400</v>
      </c>
      <c r="H20" s="28">
        <v>58000</v>
      </c>
      <c r="I20" s="107">
        <v>16504400</v>
      </c>
      <c r="J20" s="107">
        <v>39935027.960057832</v>
      </c>
      <c r="K20" s="117">
        <f t="shared" si="1"/>
        <v>3096.1560938102602</v>
      </c>
      <c r="L20" s="117">
        <f t="shared" si="2"/>
        <v>722</v>
      </c>
      <c r="M20" s="113"/>
      <c r="N20" s="32">
        <v>990</v>
      </c>
      <c r="O20" s="107">
        <v>12248400</v>
      </c>
      <c r="P20" s="107">
        <v>21684002.564965796</v>
      </c>
      <c r="Q20" s="118">
        <f t="shared" si="3"/>
        <v>162955.5838847518</v>
      </c>
      <c r="R20" s="119">
        <f t="shared" si="4"/>
        <v>38000</v>
      </c>
    </row>
    <row r="21" spans="1:18" ht="15.65" x14ac:dyDescent="0.3">
      <c r="A21" s="98" t="s">
        <v>5</v>
      </c>
      <c r="B21" s="123">
        <f>(B18-B19+B17)</f>
        <v>10728400</v>
      </c>
      <c r="C21" s="121"/>
      <c r="D21" s="121"/>
      <c r="H21" s="28">
        <v>59000</v>
      </c>
      <c r="I21" s="107">
        <v>17226400</v>
      </c>
      <c r="J21" s="107">
        <v>43031184.053868093</v>
      </c>
      <c r="K21" s="117">
        <f t="shared" si="1"/>
        <v>3096.1560938102602</v>
      </c>
      <c r="L21" s="117">
        <f t="shared" si="2"/>
        <v>722</v>
      </c>
      <c r="M21" s="113"/>
      <c r="N21" s="32">
        <v>995</v>
      </c>
      <c r="O21" s="107">
        <v>12438400</v>
      </c>
      <c r="P21" s="107">
        <v>22498780.484389547</v>
      </c>
      <c r="Q21" s="118">
        <f t="shared" si="3"/>
        <v>162955.58388475032</v>
      </c>
      <c r="R21" s="119">
        <f t="shared" si="4"/>
        <v>38000</v>
      </c>
    </row>
    <row r="22" spans="1:18" ht="15.65" x14ac:dyDescent="0.3">
      <c r="H22" s="28">
        <v>60000</v>
      </c>
      <c r="I22" s="107">
        <v>17948400</v>
      </c>
      <c r="J22" s="107">
        <v>46127340.147678353</v>
      </c>
      <c r="K22" s="117">
        <f t="shared" si="1"/>
        <v>3096.1560938102602</v>
      </c>
      <c r="L22" s="117">
        <f t="shared" si="2"/>
        <v>722</v>
      </c>
      <c r="M22" s="113"/>
      <c r="N22" s="32">
        <v>1000</v>
      </c>
      <c r="O22" s="107">
        <v>12628400</v>
      </c>
      <c r="P22" s="107">
        <v>23313558.403813299</v>
      </c>
      <c r="Q22" s="118">
        <f t="shared" si="3"/>
        <v>162955.58388475032</v>
      </c>
      <c r="R22" s="119">
        <f t="shared" si="4"/>
        <v>38000</v>
      </c>
    </row>
    <row r="23" spans="1:18" ht="15.65" x14ac:dyDescent="0.3">
      <c r="A23" s="98" t="s">
        <v>66</v>
      </c>
      <c r="B23" s="124">
        <f>-I5/B21</f>
        <v>2.9640952984601618</v>
      </c>
      <c r="C23" s="113" t="s">
        <v>68</v>
      </c>
      <c r="D23" s="125"/>
      <c r="H23" s="28">
        <v>61000</v>
      </c>
      <c r="I23" s="107">
        <v>18670400</v>
      </c>
      <c r="J23" s="107">
        <v>49223496.241488613</v>
      </c>
      <c r="K23" s="117">
        <f t="shared" si="1"/>
        <v>3096.1560938102602</v>
      </c>
      <c r="L23" s="117">
        <f t="shared" si="2"/>
        <v>722</v>
      </c>
      <c r="M23" s="113"/>
      <c r="N23" s="32">
        <v>1005</v>
      </c>
      <c r="O23" s="107">
        <v>12818400</v>
      </c>
      <c r="P23" s="107">
        <v>24128336.32323705</v>
      </c>
      <c r="Q23" s="118">
        <f t="shared" si="3"/>
        <v>162955.58388475032</v>
      </c>
      <c r="R23" s="119">
        <f t="shared" si="4"/>
        <v>38000</v>
      </c>
    </row>
    <row r="24" spans="1:18" ht="15.65" x14ac:dyDescent="0.3">
      <c r="A24" s="98" t="s">
        <v>8</v>
      </c>
      <c r="B24" s="126">
        <f>I5+PV(I2,I6,-B21)+PV(I2,I6,,I4)</f>
        <v>15165779.209575785</v>
      </c>
      <c r="C24" s="117">
        <f>I5+NPV(I2,B21,B21,B21,B21,B21,B21,B21+-I4)</f>
        <v>15165779.209575757</v>
      </c>
      <c r="H24" s="28">
        <v>62000</v>
      </c>
      <c r="I24" s="107">
        <v>19392400</v>
      </c>
      <c r="J24" s="107">
        <v>52319652.335298859</v>
      </c>
      <c r="K24" s="117">
        <f t="shared" si="1"/>
        <v>3096.1560938102452</v>
      </c>
      <c r="L24" s="117">
        <f t="shared" si="2"/>
        <v>722</v>
      </c>
      <c r="M24" s="113"/>
      <c r="N24" s="32">
        <v>1010</v>
      </c>
      <c r="O24" s="107">
        <v>13008400</v>
      </c>
      <c r="P24" s="107">
        <v>24943114.242660809</v>
      </c>
      <c r="Q24" s="118">
        <f t="shared" si="3"/>
        <v>162955.5838847518</v>
      </c>
      <c r="R24" s="119">
        <f t="shared" si="4"/>
        <v>38000</v>
      </c>
    </row>
    <row r="25" spans="1:18" ht="15.65" x14ac:dyDescent="0.3">
      <c r="A25" s="98" t="s">
        <v>69</v>
      </c>
      <c r="B25" s="127">
        <f>IRR(M1:M8)</f>
        <v>0.28175536564261683</v>
      </c>
      <c r="C25" s="113"/>
      <c r="H25" s="28">
        <v>63000</v>
      </c>
      <c r="I25" s="107">
        <v>20114400</v>
      </c>
      <c r="J25" s="107">
        <v>55415808.429109119</v>
      </c>
      <c r="K25" s="117">
        <f t="shared" si="1"/>
        <v>3096.1560938102602</v>
      </c>
      <c r="L25" s="117">
        <f t="shared" si="2"/>
        <v>722</v>
      </c>
      <c r="M25" s="113"/>
      <c r="N25" s="32">
        <v>1015</v>
      </c>
      <c r="O25" s="107">
        <v>13198400</v>
      </c>
      <c r="P25" s="107">
        <v>25757892.162084553</v>
      </c>
      <c r="Q25" s="118">
        <f t="shared" si="3"/>
        <v>162955.5838847488</v>
      </c>
      <c r="R25" s="119">
        <f t="shared" si="4"/>
        <v>38000</v>
      </c>
    </row>
    <row r="26" spans="1:18" ht="15.65" x14ac:dyDescent="0.3">
      <c r="H26" s="28">
        <v>64000</v>
      </c>
      <c r="I26" s="107">
        <v>20836400</v>
      </c>
      <c r="J26" s="107">
        <v>58511964.522919379</v>
      </c>
      <c r="K26" s="117">
        <f t="shared" si="1"/>
        <v>3096.1560938102602</v>
      </c>
      <c r="L26" s="117">
        <f t="shared" si="2"/>
        <v>722</v>
      </c>
      <c r="M26" s="113"/>
      <c r="N26" s="32">
        <v>1020</v>
      </c>
      <c r="O26" s="107">
        <v>13388400</v>
      </c>
      <c r="P26" s="107">
        <v>26572670.081508305</v>
      </c>
      <c r="Q26" s="118">
        <f t="shared" si="3"/>
        <v>162955.58388475032</v>
      </c>
      <c r="R26" s="119">
        <f t="shared" si="4"/>
        <v>38000</v>
      </c>
    </row>
    <row r="27" spans="1:18" ht="15.65" x14ac:dyDescent="0.3">
      <c r="H27" s="28">
        <v>65000</v>
      </c>
      <c r="I27" s="107">
        <v>21558400</v>
      </c>
      <c r="J27" s="107">
        <v>61608120.616729639</v>
      </c>
      <c r="K27" s="117">
        <f t="shared" si="1"/>
        <v>3096.1560938102602</v>
      </c>
      <c r="L27" s="117">
        <f t="shared" si="2"/>
        <v>722</v>
      </c>
      <c r="M27" s="113"/>
      <c r="N27" s="32">
        <v>1025</v>
      </c>
      <c r="O27" s="107">
        <v>13578400</v>
      </c>
      <c r="P27" s="107">
        <v>27387448.000932064</v>
      </c>
      <c r="Q27" s="118">
        <f t="shared" si="3"/>
        <v>162955.5838847518</v>
      </c>
      <c r="R27" s="119">
        <f t="shared" si="4"/>
        <v>38000</v>
      </c>
    </row>
    <row r="28" spans="1:18" ht="15.05" customHeight="1" x14ac:dyDescent="0.3">
      <c r="A28" s="128"/>
      <c r="B28" s="129" t="s">
        <v>70</v>
      </c>
      <c r="C28" s="129" t="s">
        <v>76</v>
      </c>
      <c r="D28" s="129" t="s">
        <v>77</v>
      </c>
      <c r="H28" s="28">
        <v>66000</v>
      </c>
      <c r="I28" s="107">
        <v>22280400</v>
      </c>
      <c r="J28" s="107">
        <v>64704276.7105399</v>
      </c>
      <c r="K28" s="117">
        <f t="shared" si="1"/>
        <v>3096.1560938102602</v>
      </c>
      <c r="L28" s="117">
        <f t="shared" si="2"/>
        <v>722</v>
      </c>
      <c r="M28" s="113"/>
      <c r="N28" s="32">
        <v>1030</v>
      </c>
      <c r="O28" s="107">
        <v>13768400</v>
      </c>
      <c r="P28" s="107">
        <v>28202225.920355808</v>
      </c>
      <c r="Q28" s="118">
        <f t="shared" si="3"/>
        <v>162955.5838847488</v>
      </c>
      <c r="R28" s="119">
        <f t="shared" si="4"/>
        <v>38000</v>
      </c>
    </row>
    <row r="29" spans="1:18" ht="15.65" x14ac:dyDescent="0.3">
      <c r="A29" s="105" t="s">
        <v>71</v>
      </c>
      <c r="B29" s="130">
        <v>50000</v>
      </c>
      <c r="C29" s="130">
        <f t="shared" ref="C29:C34" si="5">$B29*(1+0.1)</f>
        <v>55000.000000000007</v>
      </c>
      <c r="D29" s="130">
        <f t="shared" ref="D29:D34" si="6">$B29*(1-0.1)</f>
        <v>45000</v>
      </c>
      <c r="H29" s="28">
        <v>67000</v>
      </c>
      <c r="I29" s="107">
        <v>23002400</v>
      </c>
      <c r="J29" s="107">
        <v>67800432.804350138</v>
      </c>
      <c r="K29" s="117">
        <f t="shared" si="1"/>
        <v>3096.156093810238</v>
      </c>
      <c r="L29" s="117">
        <f t="shared" si="2"/>
        <v>722</v>
      </c>
      <c r="M29" s="113"/>
      <c r="N29" s="32">
        <v>1035</v>
      </c>
      <c r="O29" s="107">
        <v>13958400</v>
      </c>
      <c r="P29" s="107">
        <v>29017003.83977956</v>
      </c>
      <c r="Q29" s="118">
        <f t="shared" si="3"/>
        <v>162955.58388475032</v>
      </c>
      <c r="R29" s="119">
        <f t="shared" si="4"/>
        <v>38000</v>
      </c>
    </row>
    <row r="30" spans="1:18" ht="15.65" x14ac:dyDescent="0.3">
      <c r="A30" s="105" t="s">
        <v>72</v>
      </c>
      <c r="B30" s="120">
        <v>950</v>
      </c>
      <c r="C30" s="131">
        <f t="shared" si="5"/>
        <v>1045</v>
      </c>
      <c r="D30" s="131">
        <f t="shared" si="6"/>
        <v>855</v>
      </c>
      <c r="H30" s="28">
        <v>68000</v>
      </c>
      <c r="I30" s="107">
        <v>23724400</v>
      </c>
      <c r="J30" s="107">
        <v>70896588.898160398</v>
      </c>
      <c r="K30" s="117">
        <f t="shared" si="1"/>
        <v>3096.1560938102602</v>
      </c>
      <c r="L30" s="117">
        <f t="shared" si="2"/>
        <v>722</v>
      </c>
      <c r="M30" s="113"/>
      <c r="N30" s="32">
        <v>1040</v>
      </c>
      <c r="O30" s="107">
        <v>14148400</v>
      </c>
      <c r="P30" s="107">
        <v>29831781.759203319</v>
      </c>
      <c r="Q30" s="118">
        <f t="shared" si="3"/>
        <v>162955.5838847518</v>
      </c>
      <c r="R30" s="119">
        <f t="shared" si="4"/>
        <v>38000</v>
      </c>
    </row>
    <row r="31" spans="1:18" ht="15.65" x14ac:dyDescent="0.3">
      <c r="A31" s="105" t="s">
        <v>73</v>
      </c>
      <c r="B31" s="120">
        <v>415</v>
      </c>
      <c r="C31" s="131">
        <f>$B31*(1-0.1)</f>
        <v>373.5</v>
      </c>
      <c r="D31" s="131">
        <f>$B31*(1+0.1)</f>
        <v>456.50000000000006</v>
      </c>
      <c r="H31" s="28">
        <v>69000</v>
      </c>
      <c r="I31" s="107">
        <v>24446400</v>
      </c>
      <c r="J31" s="107">
        <v>73992744.991970658</v>
      </c>
      <c r="K31" s="117">
        <f t="shared" si="1"/>
        <v>3096.1560938102602</v>
      </c>
      <c r="L31" s="117">
        <f t="shared" si="2"/>
        <v>722</v>
      </c>
      <c r="M31" s="113"/>
      <c r="N31" s="32">
        <v>1045</v>
      </c>
      <c r="O31" s="107">
        <v>14338400</v>
      </c>
      <c r="P31" s="107">
        <v>30646559.678627063</v>
      </c>
      <c r="Q31" s="118">
        <f t="shared" si="3"/>
        <v>162955.5838847488</v>
      </c>
      <c r="R31" s="119">
        <f t="shared" si="4"/>
        <v>38000</v>
      </c>
    </row>
    <row r="32" spans="1:18" ht="15.65" x14ac:dyDescent="0.3">
      <c r="A32" s="105" t="s">
        <v>61</v>
      </c>
      <c r="B32" s="120">
        <f>I7</f>
        <v>9400000</v>
      </c>
      <c r="C32" s="131">
        <f>$B32*(1-0.1)</f>
        <v>8460000</v>
      </c>
      <c r="D32" s="131">
        <f>$B32*(1+0.1)</f>
        <v>10340000</v>
      </c>
      <c r="H32" s="28">
        <v>70000</v>
      </c>
      <c r="I32" s="107">
        <v>25168400</v>
      </c>
      <c r="J32" s="107">
        <v>77088901.085780919</v>
      </c>
      <c r="K32" s="117">
        <f t="shared" si="1"/>
        <v>3096.1560938102602</v>
      </c>
      <c r="L32" s="117">
        <f t="shared" si="2"/>
        <v>722</v>
      </c>
      <c r="M32" s="113"/>
      <c r="N32" s="32">
        <v>1050</v>
      </c>
      <c r="O32" s="107">
        <v>14528400</v>
      </c>
      <c r="P32" s="107">
        <v>31461337.598050814</v>
      </c>
      <c r="Q32" s="118">
        <f t="shared" si="3"/>
        <v>162955.58388475032</v>
      </c>
      <c r="R32" s="119">
        <f t="shared" si="4"/>
        <v>38000</v>
      </c>
    </row>
    <row r="33" spans="1:18" ht="15.65" x14ac:dyDescent="0.3">
      <c r="A33" s="105" t="s">
        <v>74</v>
      </c>
      <c r="B33" s="132">
        <v>-9000</v>
      </c>
      <c r="C33" s="132">
        <f>$B33*(1-0.1)</f>
        <v>-8100</v>
      </c>
      <c r="D33" s="132">
        <f>$B33*(1+0.1)</f>
        <v>-9900</v>
      </c>
      <c r="E33" s="133"/>
      <c r="F33" s="133"/>
      <c r="H33" s="28">
        <v>71000</v>
      </c>
      <c r="I33" s="107">
        <v>25890400</v>
      </c>
      <c r="J33" s="107">
        <v>80185057.179591179</v>
      </c>
      <c r="K33" s="117">
        <f t="shared" si="1"/>
        <v>3096.1560938102602</v>
      </c>
      <c r="L33" s="117">
        <f t="shared" si="2"/>
        <v>722</v>
      </c>
      <c r="M33" s="113"/>
      <c r="N33" s="32">
        <v>1055</v>
      </c>
      <c r="O33" s="107">
        <v>14718400</v>
      </c>
      <c r="P33" s="107">
        <v>32276115.517474573</v>
      </c>
      <c r="Q33" s="118">
        <f t="shared" si="3"/>
        <v>162955.5838847518</v>
      </c>
      <c r="R33" s="119">
        <f t="shared" si="4"/>
        <v>38000</v>
      </c>
    </row>
    <row r="34" spans="1:18" ht="15.65" x14ac:dyDescent="0.3">
      <c r="A34" s="105" t="s">
        <v>75</v>
      </c>
      <c r="B34" s="132">
        <v>12000</v>
      </c>
      <c r="C34" s="132">
        <f t="shared" si="5"/>
        <v>13200.000000000002</v>
      </c>
      <c r="D34" s="132">
        <f t="shared" si="6"/>
        <v>10800</v>
      </c>
      <c r="E34" s="133"/>
      <c r="F34" s="133"/>
      <c r="H34" s="28">
        <v>72000</v>
      </c>
      <c r="I34" s="107">
        <v>26612400</v>
      </c>
      <c r="J34" s="107">
        <v>83281213.273401424</v>
      </c>
      <c r="K34" s="117">
        <f t="shared" si="1"/>
        <v>3096.1560938102452</v>
      </c>
      <c r="L34" s="117">
        <f t="shared" si="2"/>
        <v>722</v>
      </c>
      <c r="M34" s="113"/>
      <c r="N34" s="32">
        <v>1060</v>
      </c>
      <c r="O34" s="107">
        <v>14908400</v>
      </c>
      <c r="P34" s="107">
        <v>33090893.436898317</v>
      </c>
      <c r="Q34" s="118">
        <f t="shared" si="3"/>
        <v>162955.5838847488</v>
      </c>
      <c r="R34" s="119">
        <f t="shared" si="4"/>
        <v>38000</v>
      </c>
    </row>
    <row r="35" spans="1:18" ht="15.65" x14ac:dyDescent="0.3">
      <c r="A35" s="122" t="s">
        <v>5</v>
      </c>
      <c r="B35" s="56">
        <f>(($C$5+$C$12)-B$32)*(1-$I$1)+($B$17)*($I$1)</f>
        <v>10728400</v>
      </c>
      <c r="C35" s="56">
        <f>(($C$43+$C$50)-C$32)*(1-$I$1)+($B$17)*($I$1)</f>
        <v>20011420.000000004</v>
      </c>
      <c r="D35" s="56">
        <f>(($C$57+$C$64)-D$32)*(1-$I$1)+($B$17)*($I$1)</f>
        <v>2482779.9999999972</v>
      </c>
      <c r="H35" s="28">
        <v>73000</v>
      </c>
      <c r="I35" s="107">
        <v>27334400</v>
      </c>
      <c r="J35" s="107">
        <v>86377369.36721167</v>
      </c>
      <c r="K35" s="117">
        <f t="shared" si="1"/>
        <v>3096.1560938102452</v>
      </c>
      <c r="L35" s="117">
        <f t="shared" si="2"/>
        <v>722</v>
      </c>
      <c r="M35" s="113"/>
      <c r="N35" s="32">
        <v>1065</v>
      </c>
      <c r="O35" s="107">
        <v>15098400</v>
      </c>
      <c r="P35" s="107">
        <v>33905671.356322072</v>
      </c>
      <c r="Q35" s="118">
        <f t="shared" si="3"/>
        <v>162955.58388475105</v>
      </c>
      <c r="R35" s="119">
        <f t="shared" si="4"/>
        <v>38000</v>
      </c>
    </row>
    <row r="36" spans="1:18" ht="15.65" x14ac:dyDescent="0.3">
      <c r="A36" s="122" t="s">
        <v>8</v>
      </c>
      <c r="B36" s="57">
        <f>$I$5+(B$35)*PV($I$2,$I$6,-1)+PV($I$2,$I$6,,-(-$I$4))</f>
        <v>15165779.209575778</v>
      </c>
      <c r="C36" s="57">
        <f t="shared" ref="C36:D36" si="7">$I$5+(C$35)*PV($I$2,$I$6,-1)+PV($I$2,$I$6,,-(-$I$4))</f>
        <v>54974198.796781458</v>
      </c>
      <c r="D36" s="57">
        <f t="shared" si="7"/>
        <v>-20193952.937576216</v>
      </c>
      <c r="H36" s="28">
        <v>74000</v>
      </c>
      <c r="I36" s="107">
        <v>28056400</v>
      </c>
      <c r="J36" s="107">
        <v>89473525.461021945</v>
      </c>
      <c r="K36" s="117">
        <f t="shared" si="1"/>
        <v>3096.1560938102753</v>
      </c>
      <c r="L36" s="117">
        <f t="shared" si="2"/>
        <v>722</v>
      </c>
      <c r="M36" s="113"/>
      <c r="N36" s="32">
        <v>1070</v>
      </c>
      <c r="O36" s="107">
        <v>15288400</v>
      </c>
      <c r="P36" s="107">
        <v>34720449.275745831</v>
      </c>
      <c r="Q36" s="118">
        <f t="shared" si="3"/>
        <v>162955.5838847518</v>
      </c>
      <c r="R36" s="119">
        <f t="shared" si="4"/>
        <v>38000</v>
      </c>
    </row>
    <row r="37" spans="1:18" ht="15.65" x14ac:dyDescent="0.3">
      <c r="H37" s="28">
        <v>75000</v>
      </c>
      <c r="I37" s="107">
        <v>28778400</v>
      </c>
      <c r="J37" s="107">
        <v>92569681.55483219</v>
      </c>
      <c r="K37" s="117">
        <f t="shared" si="1"/>
        <v>3096.1560938102452</v>
      </c>
      <c r="L37" s="117">
        <f t="shared" si="2"/>
        <v>722</v>
      </c>
      <c r="M37" s="113"/>
      <c r="N37" s="32">
        <v>1075</v>
      </c>
      <c r="O37" s="107">
        <v>15478400</v>
      </c>
      <c r="P37" s="107">
        <v>35535227.195169576</v>
      </c>
      <c r="Q37" s="118">
        <f t="shared" si="3"/>
        <v>162955.5838847488</v>
      </c>
      <c r="R37" s="119">
        <f t="shared" si="4"/>
        <v>38000</v>
      </c>
    </row>
    <row r="38" spans="1:18" ht="15.65" x14ac:dyDescent="0.3">
      <c r="A38" s="134" t="s">
        <v>51</v>
      </c>
      <c r="B38" s="135"/>
      <c r="C38" s="136"/>
      <c r="H38" s="28">
        <v>76000</v>
      </c>
      <c r="I38" s="107">
        <v>29500400</v>
      </c>
      <c r="J38" s="107">
        <v>95665837.648642465</v>
      </c>
      <c r="K38" s="117">
        <f t="shared" si="1"/>
        <v>3096.1560938102753</v>
      </c>
      <c r="L38" s="117">
        <f t="shared" si="2"/>
        <v>722</v>
      </c>
      <c r="M38" s="113"/>
      <c r="N38" s="32">
        <v>1080</v>
      </c>
      <c r="O38" s="107">
        <v>15668400</v>
      </c>
      <c r="P38" s="107">
        <v>36350005.114593334</v>
      </c>
      <c r="Q38" s="118">
        <f t="shared" si="3"/>
        <v>162955.5838847518</v>
      </c>
      <c r="R38" s="119">
        <f t="shared" si="4"/>
        <v>38000</v>
      </c>
    </row>
    <row r="39" spans="1:18" ht="15.65" x14ac:dyDescent="0.3">
      <c r="A39" s="98" t="s">
        <v>55</v>
      </c>
      <c r="B39" s="99" t="s">
        <v>138</v>
      </c>
      <c r="C39" s="100" t="s">
        <v>83</v>
      </c>
      <c r="H39" s="28">
        <v>77000</v>
      </c>
      <c r="I39" s="107">
        <v>30222400</v>
      </c>
      <c r="J39" s="107">
        <v>98761993.742452711</v>
      </c>
      <c r="K39" s="117">
        <f t="shared" si="1"/>
        <v>3096.1560938102452</v>
      </c>
      <c r="L39" s="117">
        <f t="shared" si="2"/>
        <v>722</v>
      </c>
      <c r="M39" s="113"/>
      <c r="N39" s="32">
        <v>1085</v>
      </c>
      <c r="O39" s="107">
        <v>15858400</v>
      </c>
      <c r="P39" s="107">
        <v>37164783.034017079</v>
      </c>
      <c r="Q39" s="118">
        <f t="shared" si="3"/>
        <v>162955.5838847488</v>
      </c>
      <c r="R39" s="119">
        <f t="shared" si="4"/>
        <v>38000</v>
      </c>
    </row>
    <row r="40" spans="1:18" ht="15.65" x14ac:dyDescent="0.3">
      <c r="A40" s="105" t="s">
        <v>56</v>
      </c>
      <c r="B40" s="106">
        <f>C30</f>
        <v>1045</v>
      </c>
      <c r="C40" s="101">
        <f>$C$29</f>
        <v>55000.000000000007</v>
      </c>
      <c r="H40" s="28">
        <v>78000</v>
      </c>
      <c r="I40" s="107">
        <v>30944400</v>
      </c>
      <c r="J40" s="107">
        <v>101858149.83626297</v>
      </c>
      <c r="K40" s="117">
        <f t="shared" si="1"/>
        <v>3096.1560938102602</v>
      </c>
      <c r="L40" s="117">
        <f t="shared" si="2"/>
        <v>722</v>
      </c>
      <c r="M40" s="113"/>
      <c r="N40" s="32">
        <v>1090</v>
      </c>
      <c r="O40" s="107">
        <v>16048400</v>
      </c>
      <c r="P40" s="107">
        <v>37979560.953440823</v>
      </c>
      <c r="Q40" s="118">
        <f t="shared" si="3"/>
        <v>162955.5838847488</v>
      </c>
      <c r="R40" s="119">
        <f t="shared" si="4"/>
        <v>38000</v>
      </c>
    </row>
    <row r="41" spans="1:18" ht="15.65" x14ac:dyDescent="0.3">
      <c r="A41" s="105" t="s">
        <v>57</v>
      </c>
      <c r="B41" s="106">
        <f>$B$3</f>
        <v>1450</v>
      </c>
      <c r="C41" s="137">
        <f>$C$33</f>
        <v>-8100</v>
      </c>
      <c r="H41" s="28">
        <v>79000</v>
      </c>
      <c r="I41" s="107">
        <v>31666400</v>
      </c>
      <c r="J41" s="107">
        <v>104954305.93007323</v>
      </c>
      <c r="K41" s="117">
        <f t="shared" si="1"/>
        <v>3096.1560938102602</v>
      </c>
      <c r="L41" s="117">
        <f t="shared" si="2"/>
        <v>722</v>
      </c>
      <c r="M41" s="113"/>
      <c r="N41" s="32">
        <v>1095</v>
      </c>
      <c r="O41" s="107">
        <v>16238400</v>
      </c>
      <c r="P41" s="107">
        <v>38794338.872864582</v>
      </c>
      <c r="Q41" s="118">
        <f t="shared" si="3"/>
        <v>162955.5838847518</v>
      </c>
      <c r="R41" s="119">
        <f t="shared" si="4"/>
        <v>38000</v>
      </c>
    </row>
    <row r="42" spans="1:18" ht="15.65" x14ac:dyDescent="0.3">
      <c r="A42" s="105" t="s">
        <v>58</v>
      </c>
      <c r="B42" s="106">
        <f>$B$4</f>
        <v>475</v>
      </c>
      <c r="C42" s="137">
        <f>$C$34</f>
        <v>13200.000000000002</v>
      </c>
      <c r="H42" s="28">
        <v>80000</v>
      </c>
      <c r="I42" s="107">
        <v>32388400</v>
      </c>
      <c r="J42" s="107">
        <v>108050462.02388349</v>
      </c>
      <c r="K42" s="117">
        <f t="shared" si="1"/>
        <v>3096.1560938102602</v>
      </c>
      <c r="L42" s="117">
        <f t="shared" si="2"/>
        <v>722</v>
      </c>
      <c r="M42" s="113"/>
      <c r="N42" s="32">
        <v>1100</v>
      </c>
      <c r="O42" s="107">
        <v>16428400</v>
      </c>
      <c r="P42" s="107">
        <v>39609116.792288341</v>
      </c>
      <c r="Q42" s="118">
        <f t="shared" si="3"/>
        <v>162955.5838847518</v>
      </c>
      <c r="R42" s="119">
        <f t="shared" si="4"/>
        <v>38000</v>
      </c>
    </row>
    <row r="43" spans="1:18" ht="15.65" x14ac:dyDescent="0.3">
      <c r="A43" s="108"/>
      <c r="B43" s="109"/>
      <c r="C43" s="110">
        <f>SUMPRODUCT($C$40:$C$42,$B$40:$B$42)</f>
        <v>52000000.000000007</v>
      </c>
      <c r="I43" s="121"/>
      <c r="J43" s="121"/>
      <c r="N43" s="116"/>
    </row>
    <row r="44" spans="1:18" ht="15.65" x14ac:dyDescent="0.3">
      <c r="I44" s="121"/>
      <c r="J44" s="121"/>
      <c r="N44" s="116"/>
    </row>
    <row r="45" spans="1:18" ht="15.65" x14ac:dyDescent="0.3">
      <c r="I45" s="121"/>
      <c r="J45" s="121"/>
      <c r="N45" s="116"/>
    </row>
    <row r="46" spans="1:18" ht="15.65" x14ac:dyDescent="0.3">
      <c r="A46" s="111" t="s">
        <v>59</v>
      </c>
      <c r="B46" s="99" t="s">
        <v>138</v>
      </c>
      <c r="C46" s="100" t="s">
        <v>83</v>
      </c>
      <c r="G46" s="121"/>
      <c r="H46" s="121"/>
      <c r="N46" s="116"/>
    </row>
    <row r="47" spans="1:18" ht="15.65" x14ac:dyDescent="0.3">
      <c r="A47" s="105" t="s">
        <v>56</v>
      </c>
      <c r="B47" s="106">
        <f>-C31</f>
        <v>-373.5</v>
      </c>
      <c r="C47" s="101">
        <f>$C$29</f>
        <v>55000.000000000007</v>
      </c>
      <c r="G47" s="121"/>
      <c r="H47" s="121"/>
      <c r="N47" s="116"/>
    </row>
    <row r="48" spans="1:18" ht="15.65" x14ac:dyDescent="0.3">
      <c r="A48" s="105" t="s">
        <v>57</v>
      </c>
      <c r="B48" s="106">
        <f>$B$10</f>
        <v>-590</v>
      </c>
      <c r="C48" s="137">
        <f>$C$33</f>
        <v>-8100</v>
      </c>
      <c r="G48" s="121"/>
      <c r="H48" s="121"/>
      <c r="N48" s="116"/>
    </row>
    <row r="49" spans="1:14" ht="15.65" x14ac:dyDescent="0.3">
      <c r="A49" s="105" t="s">
        <v>58</v>
      </c>
      <c r="B49" s="106">
        <f>$B$11</f>
        <v>-210</v>
      </c>
      <c r="C49" s="137">
        <f>$C$34</f>
        <v>13200.000000000002</v>
      </c>
      <c r="G49" s="121"/>
      <c r="H49" s="121"/>
      <c r="N49" s="116"/>
    </row>
    <row r="50" spans="1:14" ht="15.65" x14ac:dyDescent="0.3">
      <c r="A50" s="108"/>
      <c r="B50" s="109"/>
      <c r="C50" s="110">
        <f>SUMPRODUCT($C$47:$C$49,$B$47:$B$49)</f>
        <v>-18535500.000000004</v>
      </c>
      <c r="G50" s="121"/>
      <c r="H50" s="121"/>
    </row>
    <row r="51" spans="1:14" x14ac:dyDescent="0.3">
      <c r="G51" s="121"/>
      <c r="H51" s="121"/>
    </row>
    <row r="52" spans="1:14" ht="15.65" x14ac:dyDescent="0.3">
      <c r="A52" s="134" t="s">
        <v>52</v>
      </c>
      <c r="B52" s="135"/>
      <c r="C52" s="136"/>
      <c r="G52" s="121"/>
      <c r="H52" s="121"/>
    </row>
    <row r="53" spans="1:14" ht="15.65" x14ac:dyDescent="0.3">
      <c r="A53" s="98" t="s">
        <v>55</v>
      </c>
      <c r="B53" s="99" t="s">
        <v>138</v>
      </c>
      <c r="C53" s="100" t="s">
        <v>83</v>
      </c>
      <c r="G53" s="121"/>
      <c r="H53" s="121"/>
    </row>
    <row r="54" spans="1:14" ht="15.65" x14ac:dyDescent="0.3">
      <c r="A54" s="105" t="s">
        <v>56</v>
      </c>
      <c r="B54" s="106">
        <f>D30</f>
        <v>855</v>
      </c>
      <c r="C54" s="101">
        <f>$D$29</f>
        <v>45000</v>
      </c>
      <c r="G54" s="121"/>
      <c r="H54" s="121"/>
    </row>
    <row r="55" spans="1:14" ht="15.65" x14ac:dyDescent="0.3">
      <c r="A55" s="105" t="s">
        <v>57</v>
      </c>
      <c r="B55" s="106">
        <f>$B$3</f>
        <v>1450</v>
      </c>
      <c r="C55" s="137">
        <f>$D$33</f>
        <v>-9900</v>
      </c>
      <c r="G55" s="121"/>
      <c r="H55" s="121"/>
    </row>
    <row r="56" spans="1:14" ht="15.65" x14ac:dyDescent="0.3">
      <c r="A56" s="105" t="s">
        <v>58</v>
      </c>
      <c r="B56" s="106">
        <f>$B$4</f>
        <v>475</v>
      </c>
      <c r="C56" s="137">
        <f>$D$34</f>
        <v>10800</v>
      </c>
      <c r="G56" s="121"/>
      <c r="H56" s="121"/>
    </row>
    <row r="57" spans="1:14" ht="15.65" x14ac:dyDescent="0.3">
      <c r="A57" s="108"/>
      <c r="B57" s="109"/>
      <c r="C57" s="110">
        <f>SUMPRODUCT($C$54:$C$56,$B$54:$B$56)</f>
        <v>29250000</v>
      </c>
      <c r="G57" s="121"/>
      <c r="H57" s="121"/>
    </row>
    <row r="58" spans="1:14" x14ac:dyDescent="0.3">
      <c r="G58" s="121"/>
      <c r="H58" s="121"/>
    </row>
    <row r="59" spans="1:14" x14ac:dyDescent="0.3">
      <c r="G59" s="121"/>
      <c r="H59" s="121"/>
    </row>
    <row r="60" spans="1:14" ht="15.65" x14ac:dyDescent="0.3">
      <c r="A60" s="111" t="s">
        <v>59</v>
      </c>
      <c r="B60" s="99" t="s">
        <v>138</v>
      </c>
      <c r="C60" s="100" t="s">
        <v>83</v>
      </c>
      <c r="G60" s="121"/>
      <c r="H60" s="121"/>
    </row>
    <row r="61" spans="1:14" ht="15.65" x14ac:dyDescent="0.3">
      <c r="A61" s="105" t="s">
        <v>56</v>
      </c>
      <c r="B61" s="106">
        <f>-D31</f>
        <v>-456.50000000000006</v>
      </c>
      <c r="C61" s="101">
        <f>$D$29</f>
        <v>45000</v>
      </c>
      <c r="G61" s="121"/>
      <c r="H61" s="121"/>
    </row>
    <row r="62" spans="1:14" ht="15.65" x14ac:dyDescent="0.3">
      <c r="A62" s="105" t="s">
        <v>57</v>
      </c>
      <c r="B62" s="106">
        <f>$B$10</f>
        <v>-590</v>
      </c>
      <c r="C62" s="137">
        <f>$D$33</f>
        <v>-9900</v>
      </c>
      <c r="G62" s="121"/>
      <c r="H62" s="121"/>
    </row>
    <row r="63" spans="1:14" ht="15.65" x14ac:dyDescent="0.3">
      <c r="A63" s="105" t="s">
        <v>58</v>
      </c>
      <c r="B63" s="106">
        <f>$B$11</f>
        <v>-210</v>
      </c>
      <c r="C63" s="137">
        <f>$D$34</f>
        <v>10800</v>
      </c>
      <c r="G63" s="121"/>
      <c r="H63" s="121"/>
    </row>
    <row r="64" spans="1:14" ht="15.65" x14ac:dyDescent="0.3">
      <c r="A64" s="108"/>
      <c r="B64" s="109"/>
      <c r="C64" s="110">
        <f>SUMPRODUCT($C$61:$C$63,$B$61:$B$63)</f>
        <v>-16969500.000000004</v>
      </c>
      <c r="G64" s="121"/>
      <c r="H64" s="121"/>
    </row>
    <row r="65" spans="7:10" x14ac:dyDescent="0.3">
      <c r="G65" s="121"/>
      <c r="H65" s="121"/>
    </row>
    <row r="66" spans="7:10" x14ac:dyDescent="0.3">
      <c r="I66" s="121"/>
      <c r="J66" s="121"/>
    </row>
    <row r="67" spans="7:10" x14ac:dyDescent="0.3">
      <c r="I67" s="121"/>
      <c r="J67" s="121"/>
    </row>
    <row r="68" spans="7:10" x14ac:dyDescent="0.3">
      <c r="I68" s="121"/>
      <c r="J68" s="121"/>
    </row>
    <row r="69" spans="7:10" x14ac:dyDescent="0.3">
      <c r="I69" s="121"/>
      <c r="J69" s="121"/>
    </row>
    <row r="70" spans="7:10" x14ac:dyDescent="0.3">
      <c r="I70" s="121"/>
      <c r="J70" s="121"/>
    </row>
    <row r="71" spans="7:10" x14ac:dyDescent="0.3">
      <c r="I71" s="121"/>
      <c r="J71" s="121"/>
    </row>
    <row r="72" spans="7:10" x14ac:dyDescent="0.3">
      <c r="I72" s="121"/>
      <c r="J72" s="121"/>
    </row>
    <row r="73" spans="7:10" x14ac:dyDescent="0.3">
      <c r="I73" s="121"/>
      <c r="J73" s="121"/>
    </row>
    <row r="74" spans="7:10" x14ac:dyDescent="0.3">
      <c r="I74" s="121"/>
      <c r="J74" s="121"/>
    </row>
    <row r="75" spans="7:10" x14ac:dyDescent="0.3">
      <c r="I75" s="121"/>
      <c r="J75" s="121"/>
    </row>
    <row r="76" spans="7:10" x14ac:dyDescent="0.3">
      <c r="I76" s="121"/>
      <c r="J76" s="121"/>
    </row>
    <row r="77" spans="7:10" x14ac:dyDescent="0.3">
      <c r="I77" s="121"/>
      <c r="J77" s="121"/>
    </row>
    <row r="78" spans="7:10" x14ac:dyDescent="0.3">
      <c r="I78" s="121"/>
      <c r="J78" s="121"/>
    </row>
    <row r="79" spans="7:10" x14ac:dyDescent="0.3">
      <c r="I79" s="121"/>
      <c r="J79" s="121"/>
    </row>
    <row r="80" spans="7:10" x14ac:dyDescent="0.3">
      <c r="I80" s="121"/>
      <c r="J80" s="121"/>
    </row>
    <row r="81" spans="9:10" x14ac:dyDescent="0.3">
      <c r="I81" s="121"/>
      <c r="J81" s="121"/>
    </row>
    <row r="82" spans="9:10" x14ac:dyDescent="0.3">
      <c r="I82" s="121"/>
      <c r="J82" s="121"/>
    </row>
    <row r="83" spans="9:10" x14ac:dyDescent="0.3">
      <c r="I83" s="121"/>
      <c r="J83" s="121"/>
    </row>
    <row r="84" spans="9:10" x14ac:dyDescent="0.3">
      <c r="I84" s="121"/>
      <c r="J84" s="121"/>
    </row>
    <row r="85" spans="9:10" x14ac:dyDescent="0.3">
      <c r="I85" s="121"/>
      <c r="J85" s="121"/>
    </row>
    <row r="86" spans="9:10" x14ac:dyDescent="0.3">
      <c r="I86" s="121"/>
      <c r="J86" s="121"/>
    </row>
    <row r="87" spans="9:10" x14ac:dyDescent="0.3">
      <c r="I87" s="121"/>
      <c r="J87" s="121"/>
    </row>
    <row r="88" spans="9:10" x14ac:dyDescent="0.3">
      <c r="I88" s="121"/>
      <c r="J88" s="121"/>
    </row>
    <row r="89" spans="9:10" x14ac:dyDescent="0.3">
      <c r="I89" s="121"/>
      <c r="J89" s="121"/>
    </row>
    <row r="90" spans="9:10" x14ac:dyDescent="0.3">
      <c r="I90" s="121"/>
      <c r="J90" s="121"/>
    </row>
    <row r="91" spans="9:10" x14ac:dyDescent="0.3">
      <c r="I91" s="121"/>
      <c r="J91" s="121"/>
    </row>
    <row r="92" spans="9:10" x14ac:dyDescent="0.3">
      <c r="I92" s="121"/>
      <c r="J92" s="121"/>
    </row>
    <row r="93" spans="9:10" x14ac:dyDescent="0.3">
      <c r="I93" s="121"/>
      <c r="J93" s="121"/>
    </row>
    <row r="94" spans="9:10" x14ac:dyDescent="0.3">
      <c r="I94" s="121"/>
      <c r="J94" s="121"/>
    </row>
    <row r="95" spans="9:10" x14ac:dyDescent="0.3">
      <c r="I95" s="121"/>
      <c r="J95" s="121"/>
    </row>
    <row r="96" spans="9:10" x14ac:dyDescent="0.3">
      <c r="I96" s="121"/>
      <c r="J96" s="121"/>
    </row>
    <row r="97" spans="9:10" x14ac:dyDescent="0.3">
      <c r="I97" s="121"/>
      <c r="J97" s="121"/>
    </row>
    <row r="98" spans="9:10" x14ac:dyDescent="0.3">
      <c r="I98" s="121"/>
      <c r="J98" s="121"/>
    </row>
    <row r="99" spans="9:10" x14ac:dyDescent="0.3">
      <c r="I99" s="121"/>
      <c r="J99" s="121"/>
    </row>
    <row r="100" spans="9:10" x14ac:dyDescent="0.3">
      <c r="I100" s="121"/>
      <c r="J100" s="121"/>
    </row>
    <row r="101" spans="9:10" x14ac:dyDescent="0.3">
      <c r="I101" s="121"/>
      <c r="J101" s="121"/>
    </row>
    <row r="102" spans="9:10" x14ac:dyDescent="0.3">
      <c r="I102" s="121"/>
      <c r="J102" s="121"/>
    </row>
    <row r="103" spans="9:10" x14ac:dyDescent="0.3">
      <c r="I103" s="121"/>
      <c r="J103" s="121"/>
    </row>
    <row r="104" spans="9:10" x14ac:dyDescent="0.3">
      <c r="I104" s="121"/>
      <c r="J104" s="121"/>
    </row>
    <row r="105" spans="9:10" x14ac:dyDescent="0.3">
      <c r="I105" s="121"/>
      <c r="J105" s="121"/>
    </row>
    <row r="106" spans="9:10" x14ac:dyDescent="0.3">
      <c r="I106" s="121"/>
      <c r="J106" s="121"/>
    </row>
    <row r="107" spans="9:10" x14ac:dyDescent="0.3">
      <c r="I107" s="121"/>
      <c r="J107" s="121"/>
    </row>
    <row r="108" spans="9:10" x14ac:dyDescent="0.3">
      <c r="I108" s="121"/>
      <c r="J108" s="121"/>
    </row>
    <row r="109" spans="9:10" x14ac:dyDescent="0.3">
      <c r="I109" s="121"/>
      <c r="J109" s="121"/>
    </row>
    <row r="110" spans="9:10" x14ac:dyDescent="0.3">
      <c r="I110" s="121"/>
      <c r="J110" s="121"/>
    </row>
    <row r="111" spans="9:10" x14ac:dyDescent="0.3">
      <c r="I111" s="121"/>
      <c r="J111" s="121"/>
    </row>
    <row r="112" spans="9:10" x14ac:dyDescent="0.3">
      <c r="I112" s="121"/>
      <c r="J112" s="121"/>
    </row>
    <row r="113" spans="9:10" x14ac:dyDescent="0.3">
      <c r="I113" s="121"/>
      <c r="J113" s="121"/>
    </row>
    <row r="114" spans="9:10" x14ac:dyDescent="0.3">
      <c r="I114" s="121"/>
      <c r="J114" s="121"/>
    </row>
    <row r="115" spans="9:10" x14ac:dyDescent="0.3">
      <c r="I115" s="121"/>
      <c r="J115" s="121"/>
    </row>
    <row r="116" spans="9:10" x14ac:dyDescent="0.3">
      <c r="I116" s="121"/>
      <c r="J116" s="121"/>
    </row>
    <row r="117" spans="9:10" x14ac:dyDescent="0.3">
      <c r="I117" s="121"/>
      <c r="J117" s="121"/>
    </row>
    <row r="118" spans="9:10" x14ac:dyDescent="0.3">
      <c r="I118" s="121"/>
      <c r="J118" s="121"/>
    </row>
    <row r="119" spans="9:10" x14ac:dyDescent="0.3">
      <c r="I119" s="121"/>
      <c r="J119" s="121"/>
    </row>
    <row r="120" spans="9:10" x14ac:dyDescent="0.3">
      <c r="I120" s="121"/>
      <c r="J120" s="121"/>
    </row>
    <row r="121" spans="9:10" x14ac:dyDescent="0.3">
      <c r="I121" s="121"/>
      <c r="J121" s="121"/>
    </row>
    <row r="122" spans="9:10" x14ac:dyDescent="0.3">
      <c r="I122" s="121"/>
      <c r="J122" s="121"/>
    </row>
  </sheetData>
  <conditionalFormatting sqref="I12:I42">
    <cfRule type="colorScale" priority="7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42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42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P42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5AE5-A144-4227-ACCB-E1A5A5205626}">
  <dimension ref="A1:C32"/>
  <sheetViews>
    <sheetView showGridLines="0" topLeftCell="A21" zoomScale="160" zoomScaleNormal="160" workbookViewId="0">
      <selection activeCell="B27" sqref="B27"/>
    </sheetView>
  </sheetViews>
  <sheetFormatPr defaultRowHeight="15.05" x14ac:dyDescent="0.3"/>
  <cols>
    <col min="1" max="1" width="28.5546875" style="84" bestFit="1" customWidth="1"/>
    <col min="2" max="2" width="12.88671875" style="84" bestFit="1" customWidth="1"/>
    <col min="3" max="3" width="13.33203125" style="84" bestFit="1" customWidth="1"/>
    <col min="4" max="16384" width="8.88671875" style="84"/>
  </cols>
  <sheetData>
    <row r="1" spans="1:3" ht="15.65" x14ac:dyDescent="0.3">
      <c r="A1" s="79" t="s">
        <v>5</v>
      </c>
      <c r="B1" s="110">
        <v>279500</v>
      </c>
    </row>
    <row r="2" spans="1:3" ht="15.65" x14ac:dyDescent="0.3">
      <c r="A2" s="138" t="s">
        <v>26</v>
      </c>
      <c r="B2" s="139">
        <v>0.16</v>
      </c>
    </row>
    <row r="3" spans="1:3" ht="15.65" x14ac:dyDescent="0.3">
      <c r="A3" s="138" t="s">
        <v>50</v>
      </c>
      <c r="B3" s="140">
        <v>-980000</v>
      </c>
    </row>
    <row r="4" spans="1:3" ht="15.65" x14ac:dyDescent="0.3">
      <c r="A4" s="138" t="s">
        <v>130</v>
      </c>
      <c r="B4" s="138">
        <v>10</v>
      </c>
    </row>
    <row r="5" spans="1:3" ht="15.65" x14ac:dyDescent="0.3">
      <c r="A5" s="140" t="s">
        <v>138</v>
      </c>
      <c r="B5" s="140">
        <v>43</v>
      </c>
    </row>
    <row r="6" spans="1:3" ht="15.65" x14ac:dyDescent="0.3">
      <c r="A6" s="138" t="s">
        <v>83</v>
      </c>
      <c r="B6" s="138">
        <v>6500</v>
      </c>
    </row>
    <row r="7" spans="1:3" ht="15.65" x14ac:dyDescent="0.3">
      <c r="A7" s="138" t="s">
        <v>140</v>
      </c>
      <c r="B7" s="140">
        <v>810000</v>
      </c>
      <c r="C7" s="141" t="s">
        <v>141</v>
      </c>
    </row>
    <row r="8" spans="1:3" ht="15.65" x14ac:dyDescent="0.3">
      <c r="A8" s="142" t="s">
        <v>0</v>
      </c>
      <c r="B8" s="141"/>
      <c r="C8" s="141"/>
    </row>
    <row r="9" spans="1:3" ht="15.65" x14ac:dyDescent="0.3">
      <c r="A9" s="81" t="s">
        <v>8</v>
      </c>
      <c r="B9" s="143">
        <f>B3+PV(B2,B4,-B1)</f>
        <v>370887.08022886352</v>
      </c>
      <c r="C9" s="144"/>
    </row>
    <row r="10" spans="1:3" ht="15.65" x14ac:dyDescent="0.3">
      <c r="A10" s="142" t="s">
        <v>4</v>
      </c>
      <c r="B10" s="141"/>
      <c r="C10" s="141"/>
    </row>
    <row r="11" spans="1:3" ht="15.65" x14ac:dyDescent="0.3">
      <c r="A11" s="138" t="s">
        <v>83</v>
      </c>
      <c r="B11" s="145">
        <f>B7/PV(B2,B4-1,-B5)</f>
        <v>4089.2282399637315</v>
      </c>
      <c r="C11" s="144" t="s">
        <v>142</v>
      </c>
    </row>
    <row r="12" spans="1:3" ht="15.65" x14ac:dyDescent="0.3">
      <c r="A12" s="79" t="s">
        <v>5</v>
      </c>
      <c r="B12" s="143">
        <f>B11*B5</f>
        <v>175836.81431844045</v>
      </c>
      <c r="C12" s="141"/>
    </row>
    <row r="13" spans="1:3" ht="15.65" x14ac:dyDescent="0.3">
      <c r="A13" s="81" t="s">
        <v>8</v>
      </c>
      <c r="B13" s="110">
        <f>-B7+PV(B2,B4-1,-B12)</f>
        <v>0</v>
      </c>
      <c r="C13" s="141"/>
    </row>
    <row r="14" spans="1:3" ht="15.65" x14ac:dyDescent="0.3">
      <c r="A14" s="142"/>
      <c r="B14" s="146"/>
      <c r="C14" s="141"/>
    </row>
    <row r="15" spans="1:3" ht="15.65" x14ac:dyDescent="0.3">
      <c r="A15" s="138" t="s">
        <v>143</v>
      </c>
      <c r="B15" s="138">
        <v>9100</v>
      </c>
      <c r="C15" s="141" t="s">
        <v>144</v>
      </c>
    </row>
    <row r="16" spans="1:3" ht="15.65" x14ac:dyDescent="0.3">
      <c r="A16" s="138" t="s">
        <v>145</v>
      </c>
      <c r="B16" s="138">
        <v>3700</v>
      </c>
      <c r="C16" s="141" t="s">
        <v>144</v>
      </c>
    </row>
    <row r="17" spans="1:3" ht="15.65" x14ac:dyDescent="0.3">
      <c r="A17" s="142" t="s">
        <v>0</v>
      </c>
      <c r="C17" s="141"/>
    </row>
    <row r="18" spans="1:3" ht="15.65" x14ac:dyDescent="0.3">
      <c r="A18" s="138" t="s">
        <v>84</v>
      </c>
      <c r="B18" s="147">
        <f>PV(B2,B4-1,-(B5*B15))</f>
        <v>1802540.6182916742</v>
      </c>
      <c r="C18" s="144"/>
    </row>
    <row r="19" spans="1:3" ht="15.65" x14ac:dyDescent="0.3">
      <c r="A19" s="138" t="s">
        <v>85</v>
      </c>
      <c r="B19" s="147">
        <f>AVERAGE(B18,B7)+B1</f>
        <v>1585770.3091458371</v>
      </c>
      <c r="C19" s="141"/>
    </row>
    <row r="20" spans="1:3" ht="15.65" x14ac:dyDescent="0.3">
      <c r="A20" s="81" t="s">
        <v>8</v>
      </c>
      <c r="B20" s="143">
        <f>B3+PV(B2,1,-B19)</f>
        <v>387043.36995330709</v>
      </c>
      <c r="C20" s="141"/>
    </row>
    <row r="21" spans="1:3" ht="15.65" x14ac:dyDescent="0.3">
      <c r="C21" s="141"/>
    </row>
    <row r="22" spans="1:3" ht="15.65" x14ac:dyDescent="0.3">
      <c r="A22" s="142" t="s">
        <v>4</v>
      </c>
      <c r="B22" s="141"/>
      <c r="C22" s="141"/>
    </row>
    <row r="23" spans="1:3" ht="15.65" x14ac:dyDescent="0.3">
      <c r="A23" s="138" t="s">
        <v>84</v>
      </c>
      <c r="B23" s="147">
        <f>B5*PV(B2,B4-1,-B16)</f>
        <v>732901.13051419717</v>
      </c>
      <c r="C23" s="141"/>
    </row>
    <row r="24" spans="1:3" ht="15.65" x14ac:dyDescent="0.3">
      <c r="A24" s="138" t="s">
        <v>86</v>
      </c>
      <c r="B24" s="147">
        <f>B7-B23</f>
        <v>77098.869485802832</v>
      </c>
      <c r="C24" s="141"/>
    </row>
    <row r="25" spans="1:3" ht="15.65" x14ac:dyDescent="0.3">
      <c r="A25" s="81" t="s">
        <v>87</v>
      </c>
      <c r="B25" s="143">
        <f>0.5*PV(B2,1,,-B24)</f>
        <v>33232.271330087431</v>
      </c>
      <c r="C25" s="141"/>
    </row>
    <row r="26" spans="1:3" ht="15.65" x14ac:dyDescent="0.3">
      <c r="A26" s="142"/>
      <c r="B26" s="148"/>
      <c r="C26" s="141"/>
    </row>
    <row r="27" spans="1:3" ht="15.65" x14ac:dyDescent="0.3">
      <c r="A27" s="138" t="s">
        <v>146</v>
      </c>
      <c r="B27" s="138">
        <v>18200</v>
      </c>
      <c r="C27" s="141" t="s">
        <v>147</v>
      </c>
    </row>
    <row r="28" spans="1:3" ht="15.65" x14ac:dyDescent="0.3">
      <c r="A28" s="138" t="s">
        <v>84</v>
      </c>
      <c r="B28" s="147">
        <f>B5*PV(B2,B4-1,-B27)</f>
        <v>3605081.2365833488</v>
      </c>
    </row>
    <row r="29" spans="1:3" ht="15.65" x14ac:dyDescent="0.3">
      <c r="A29" s="138" t="s">
        <v>85</v>
      </c>
      <c r="B29" s="147">
        <f>AVERAGE(B28,B7)+B1</f>
        <v>2487040.6182916742</v>
      </c>
    </row>
    <row r="30" spans="1:3" ht="15.65" x14ac:dyDescent="0.3">
      <c r="A30" s="79" t="s">
        <v>8</v>
      </c>
      <c r="B30" s="143">
        <f>B3+PV(B2,1,,-B29)</f>
        <v>1164000.5330100642</v>
      </c>
    </row>
    <row r="31" spans="1:3" ht="15.65" x14ac:dyDescent="0.3">
      <c r="A31" s="138" t="s">
        <v>88</v>
      </c>
      <c r="B31" s="147">
        <f>B5*PV(B2,B4-1,-B15)</f>
        <v>1802540.6182916744</v>
      </c>
    </row>
    <row r="32" spans="1:3" ht="15.65" x14ac:dyDescent="0.3">
      <c r="A32" s="81" t="s">
        <v>87</v>
      </c>
      <c r="B32" s="143">
        <f>0.5*PV(B2,1,,-B31)</f>
        <v>776957.16305675625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A82C-17EA-4B86-ACB5-60506F8E2765}">
  <dimension ref="A1:H8"/>
  <sheetViews>
    <sheetView showGridLines="0" zoomScale="160" zoomScaleNormal="160" workbookViewId="0">
      <selection activeCell="A8" sqref="A8"/>
    </sheetView>
  </sheetViews>
  <sheetFormatPr defaultRowHeight="15.05" x14ac:dyDescent="0.3"/>
  <cols>
    <col min="1" max="1" width="2.5546875" style="84" bestFit="1" customWidth="1"/>
    <col min="2" max="2" width="31.88671875" style="84" bestFit="1" customWidth="1"/>
    <col min="3" max="3" width="7.88671875" style="84" bestFit="1" customWidth="1"/>
    <col min="4" max="4" width="4.5546875" style="84" bestFit="1" customWidth="1"/>
    <col min="5" max="5" width="8.88671875" style="84"/>
    <col min="6" max="6" width="20.44140625" style="84" bestFit="1" customWidth="1"/>
    <col min="7" max="7" width="11" style="84" bestFit="1" customWidth="1"/>
    <col min="8" max="8" width="13.5546875" style="84" bestFit="1" customWidth="1"/>
    <col min="9" max="16384" width="8.88671875" style="84"/>
  </cols>
  <sheetData>
    <row r="1" spans="1:8" ht="15.65" x14ac:dyDescent="0.3">
      <c r="A1" s="142" t="s">
        <v>0</v>
      </c>
      <c r="B1" s="79" t="s">
        <v>44</v>
      </c>
      <c r="C1" s="145">
        <f>((0+-G2)*(1-G1))/((G4-G5)*(1-G1))</f>
        <v>610.16949152542372</v>
      </c>
      <c r="D1" s="141" t="s">
        <v>3</v>
      </c>
      <c r="E1" s="149"/>
      <c r="F1" s="138" t="s">
        <v>6</v>
      </c>
      <c r="G1" s="139">
        <v>0.21</v>
      </c>
    </row>
    <row r="2" spans="1:8" ht="15.65" x14ac:dyDescent="0.3">
      <c r="A2" s="142" t="s">
        <v>4</v>
      </c>
      <c r="B2" s="79" t="s">
        <v>29</v>
      </c>
      <c r="C2" s="145">
        <f>(G8+0-0)/((G4-G5)*(1-G1))</f>
        <v>893.26106105879956</v>
      </c>
      <c r="D2" s="141" t="s">
        <v>3</v>
      </c>
      <c r="E2" s="149"/>
      <c r="F2" s="138" t="s">
        <v>50</v>
      </c>
      <c r="G2" s="140">
        <v>-7200</v>
      </c>
      <c r="H2" s="141" t="s">
        <v>148</v>
      </c>
    </row>
    <row r="3" spans="1:8" ht="15.65" x14ac:dyDescent="0.3">
      <c r="F3" s="138" t="s">
        <v>26</v>
      </c>
      <c r="G3" s="139">
        <v>0.12</v>
      </c>
    </row>
    <row r="4" spans="1:8" ht="15.65" x14ac:dyDescent="0.3">
      <c r="F4" s="138" t="s">
        <v>138</v>
      </c>
      <c r="G4" s="140">
        <v>15</v>
      </c>
    </row>
    <row r="5" spans="1:8" ht="15.65" x14ac:dyDescent="0.3">
      <c r="F5" s="138" t="s">
        <v>149</v>
      </c>
      <c r="G5" s="147">
        <v>3.2</v>
      </c>
    </row>
    <row r="6" spans="1:8" ht="15.65" x14ac:dyDescent="0.3">
      <c r="F6" s="138" t="s">
        <v>130</v>
      </c>
      <c r="G6" s="138">
        <v>3</v>
      </c>
    </row>
    <row r="7" spans="1:8" ht="15.65" x14ac:dyDescent="0.3">
      <c r="F7" s="138" t="s">
        <v>89</v>
      </c>
      <c r="G7" s="140">
        <v>-20000</v>
      </c>
      <c r="H7" s="141" t="s">
        <v>90</v>
      </c>
    </row>
    <row r="8" spans="1:8" ht="15.65" x14ac:dyDescent="0.3">
      <c r="F8" s="81" t="s">
        <v>28</v>
      </c>
      <c r="G8" s="143">
        <f>-G7/PV(G3,G6,-1)</f>
        <v>8326.9796111901305</v>
      </c>
      <c r="H8" s="149"/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D317-4412-401E-92E5-5F7DFA888B9E}">
  <dimension ref="A1:I10"/>
  <sheetViews>
    <sheetView showGridLines="0" zoomScale="160" zoomScaleNormal="160" workbookViewId="0">
      <selection activeCell="B2" sqref="B2"/>
    </sheetView>
  </sheetViews>
  <sheetFormatPr defaultRowHeight="15.05" x14ac:dyDescent="0.3"/>
  <cols>
    <col min="1" max="1" width="26.5546875" style="84" bestFit="1" customWidth="1"/>
    <col min="2" max="2" width="14" style="84" bestFit="1" customWidth="1"/>
    <col min="3" max="3" width="5.21875" style="84" bestFit="1" customWidth="1"/>
    <col min="4" max="4" width="8.88671875" style="84"/>
    <col min="5" max="5" width="20.44140625" style="84" bestFit="1" customWidth="1"/>
    <col min="6" max="6" width="12" style="84" bestFit="1" customWidth="1"/>
    <col min="7" max="8" width="8.88671875" style="84"/>
    <col min="9" max="9" width="10.21875" style="84" bestFit="1" customWidth="1"/>
    <col min="10" max="16384" width="8.88671875" style="84"/>
  </cols>
  <sheetData>
    <row r="1" spans="1:9" ht="15.65" x14ac:dyDescent="0.3">
      <c r="A1" s="138" t="s">
        <v>91</v>
      </c>
      <c r="B1" s="138">
        <f>33600/4200</f>
        <v>8</v>
      </c>
      <c r="C1" s="141" t="s">
        <v>68</v>
      </c>
      <c r="E1" s="138" t="s">
        <v>7</v>
      </c>
      <c r="F1" s="139">
        <v>0.12</v>
      </c>
      <c r="G1" s="141"/>
      <c r="H1" s="138" t="s">
        <v>150</v>
      </c>
      <c r="I1" s="138" t="s">
        <v>151</v>
      </c>
    </row>
    <row r="2" spans="1:9" ht="15.65" x14ac:dyDescent="0.3">
      <c r="A2" s="138" t="s">
        <v>5</v>
      </c>
      <c r="B2" s="140">
        <f>F6*F3</f>
        <v>3780000</v>
      </c>
      <c r="C2" s="141"/>
      <c r="E2" s="138" t="s">
        <v>89</v>
      </c>
      <c r="F2" s="140">
        <v>-17400000</v>
      </c>
      <c r="G2" s="141"/>
      <c r="H2" s="138" t="s">
        <v>152</v>
      </c>
      <c r="I2" s="138" t="s">
        <v>153</v>
      </c>
    </row>
    <row r="3" spans="1:9" ht="15.65" x14ac:dyDescent="0.3">
      <c r="A3" s="81" t="s">
        <v>8</v>
      </c>
      <c r="B3" s="143">
        <f>F2+PV(F1,B1,-B2)</f>
        <v>1377678.3186498731</v>
      </c>
      <c r="C3" s="141"/>
      <c r="E3" s="138" t="s">
        <v>150</v>
      </c>
      <c r="F3" s="140">
        <v>900</v>
      </c>
      <c r="G3" s="141"/>
      <c r="H3" s="141"/>
      <c r="I3" s="141"/>
    </row>
    <row r="4" spans="1:9" ht="15.65" x14ac:dyDescent="0.3">
      <c r="A4" s="138" t="s">
        <v>154</v>
      </c>
      <c r="B4" s="140">
        <f>F6*F4</f>
        <v>4830000</v>
      </c>
      <c r="C4" s="141"/>
      <c r="E4" s="138" t="s">
        <v>152</v>
      </c>
      <c r="F4" s="140">
        <v>1150</v>
      </c>
      <c r="G4" s="141" t="s">
        <v>155</v>
      </c>
      <c r="H4" s="141"/>
      <c r="I4" s="141"/>
    </row>
    <row r="5" spans="1:9" ht="15.65" x14ac:dyDescent="0.3">
      <c r="A5" s="138" t="s">
        <v>156</v>
      </c>
      <c r="B5" s="140">
        <f>F6*F5</f>
        <v>2940000</v>
      </c>
      <c r="C5" s="141"/>
      <c r="E5" s="138" t="s">
        <v>152</v>
      </c>
      <c r="F5" s="140">
        <v>700</v>
      </c>
      <c r="G5" s="141" t="s">
        <v>157</v>
      </c>
      <c r="H5" s="141"/>
      <c r="I5" s="141"/>
    </row>
    <row r="6" spans="1:9" ht="15.65" x14ac:dyDescent="0.3">
      <c r="A6" s="138" t="s">
        <v>158</v>
      </c>
      <c r="B6" s="147">
        <f>PV(F1,B1,-B4)</f>
        <v>23993700.073830396</v>
      </c>
      <c r="C6" s="141"/>
      <c r="E6" s="138" t="s">
        <v>83</v>
      </c>
      <c r="F6" s="138">
        <v>4200</v>
      </c>
      <c r="G6" s="141"/>
      <c r="H6" s="141"/>
      <c r="I6" s="141"/>
    </row>
    <row r="7" spans="1:9" ht="15.65" x14ac:dyDescent="0.3">
      <c r="A7" s="138" t="s">
        <v>159</v>
      </c>
      <c r="B7" s="147">
        <f>PV(F1,B1,-B5)</f>
        <v>14604860.914505458</v>
      </c>
      <c r="C7" s="141"/>
    </row>
    <row r="8" spans="1:9" ht="15.65" x14ac:dyDescent="0.3">
      <c r="A8" s="138" t="s">
        <v>93</v>
      </c>
      <c r="B8" s="147">
        <f>F2+(0.6*(B6)+0.4*(B7))</f>
        <v>2838164.4101004228</v>
      </c>
      <c r="C8" s="141"/>
    </row>
    <row r="9" spans="1:9" ht="15.65" x14ac:dyDescent="0.3">
      <c r="A9" s="138" t="s">
        <v>94</v>
      </c>
      <c r="B9" s="150">
        <f>PV(F1,1,,-B8)</f>
        <v>2534075.3661610917</v>
      </c>
      <c r="C9" s="141"/>
    </row>
    <row r="10" spans="1:9" ht="15.65" x14ac:dyDescent="0.3">
      <c r="A10" s="151" t="s">
        <v>87</v>
      </c>
      <c r="B10" s="143">
        <f>B9-B3</f>
        <v>1156397.0475112186</v>
      </c>
      <c r="C10" s="1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3F77-0C08-4F5F-AFB3-4ACF36C4E362}">
  <dimension ref="A1:H5"/>
  <sheetViews>
    <sheetView showGridLines="0" zoomScale="145" zoomScaleNormal="145" workbookViewId="0">
      <selection activeCell="B3" sqref="B3"/>
    </sheetView>
  </sheetViews>
  <sheetFormatPr defaultRowHeight="15.05" x14ac:dyDescent="0.3"/>
  <cols>
    <col min="2" max="2" width="18" customWidth="1"/>
    <col min="3" max="3" width="14.44140625" bestFit="1" customWidth="1"/>
    <col min="4" max="4" width="13.88671875" bestFit="1" customWidth="1"/>
    <col min="6" max="6" width="22.6640625" bestFit="1" customWidth="1"/>
    <col min="7" max="7" width="13.33203125" bestFit="1" customWidth="1"/>
  </cols>
  <sheetData>
    <row r="1" spans="1:8" ht="15.65" x14ac:dyDescent="0.3">
      <c r="A1" s="12" t="s">
        <v>0</v>
      </c>
      <c r="B1" s="46" t="s">
        <v>8</v>
      </c>
      <c r="C1" s="156">
        <f>G2+PV(G1,G3,-G4)</f>
        <v>4208318.2407900542</v>
      </c>
      <c r="F1" s="41" t="s">
        <v>26</v>
      </c>
      <c r="G1" s="42">
        <v>0.13</v>
      </c>
    </row>
    <row r="2" spans="1:8" ht="15.65" x14ac:dyDescent="0.3">
      <c r="A2" s="12" t="s">
        <v>4</v>
      </c>
      <c r="B2" s="53" t="s">
        <v>161</v>
      </c>
      <c r="C2" s="126">
        <f>G5/PV(G1,G3-1,-1)</f>
        <v>5456329.2548963511</v>
      </c>
      <c r="D2" s="2"/>
      <c r="F2" s="41" t="s">
        <v>89</v>
      </c>
      <c r="G2" s="43">
        <v>-43000000</v>
      </c>
    </row>
    <row r="3" spans="1:8" ht="15.65" x14ac:dyDescent="0.3">
      <c r="F3" s="152" t="s">
        <v>130</v>
      </c>
      <c r="G3" s="153">
        <v>10</v>
      </c>
      <c r="H3" s="84"/>
    </row>
    <row r="4" spans="1:8" ht="15.65" x14ac:dyDescent="0.3">
      <c r="C4" s="2"/>
      <c r="F4" s="152" t="s">
        <v>5</v>
      </c>
      <c r="G4" s="154">
        <v>8700000</v>
      </c>
      <c r="H4" s="84"/>
    </row>
    <row r="5" spans="1:8" ht="15.65" x14ac:dyDescent="0.3">
      <c r="C5" s="2"/>
      <c r="F5" s="152" t="s">
        <v>160</v>
      </c>
      <c r="G5" s="154">
        <v>28000000</v>
      </c>
      <c r="H5" s="155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2382-B127-41A5-9BE1-EC933AF1F9D7}">
  <dimension ref="A1:G8"/>
  <sheetViews>
    <sheetView showGridLines="0" zoomScale="145" zoomScaleNormal="145" workbookViewId="0">
      <selection activeCell="B3" sqref="B3"/>
    </sheetView>
  </sheetViews>
  <sheetFormatPr defaultRowHeight="15.05" x14ac:dyDescent="0.3"/>
  <cols>
    <col min="1" max="1" width="18" bestFit="1" customWidth="1"/>
    <col min="2" max="2" width="12.88671875" bestFit="1" customWidth="1"/>
    <col min="5" max="5" width="17.77734375" bestFit="1" customWidth="1"/>
    <col min="6" max="6" width="12" bestFit="1" customWidth="1"/>
  </cols>
  <sheetData>
    <row r="1" spans="1:7" ht="15.65" x14ac:dyDescent="0.3">
      <c r="A1" s="53" t="s">
        <v>92</v>
      </c>
      <c r="B1" s="159">
        <f>F3*F4</f>
        <v>4700000</v>
      </c>
      <c r="C1" s="66"/>
      <c r="D1" s="66"/>
      <c r="E1" s="53" t="s">
        <v>26</v>
      </c>
      <c r="F1" s="67">
        <v>0.11</v>
      </c>
    </row>
    <row r="2" spans="1:7" ht="15.65" x14ac:dyDescent="0.3">
      <c r="A2" s="46" t="s">
        <v>128</v>
      </c>
      <c r="B2" s="156">
        <f>F2+PV(F1,F5,-B1)</f>
        <v>-229284.01704750583</v>
      </c>
      <c r="C2" s="66"/>
      <c r="D2" s="66"/>
      <c r="E2" s="53" t="s">
        <v>50</v>
      </c>
      <c r="F2" s="65">
        <v>-17600000</v>
      </c>
    </row>
    <row r="3" spans="1:7" ht="15.65" x14ac:dyDescent="0.3">
      <c r="A3" s="53" t="s">
        <v>129</v>
      </c>
      <c r="B3" s="159">
        <f>F7*F4</f>
        <v>7050000</v>
      </c>
      <c r="C3" s="66"/>
      <c r="D3" s="66"/>
      <c r="E3" s="157" t="s">
        <v>162</v>
      </c>
      <c r="F3" s="158">
        <v>20</v>
      </c>
      <c r="G3" s="155" t="s">
        <v>163</v>
      </c>
    </row>
    <row r="4" spans="1:7" ht="15.65" x14ac:dyDescent="0.3">
      <c r="A4" s="46" t="s">
        <v>8</v>
      </c>
      <c r="B4" s="143">
        <f>F2+PV(F1,1,,-B1)+0.5*PV(F1,1,,-F6)+((0.5*PV(F1,F5-1,-B3)))*PV(F1,1,,-1)</f>
        <v>1171280.2304576132</v>
      </c>
      <c r="C4" s="66"/>
      <c r="D4" s="66"/>
      <c r="E4" s="157" t="s">
        <v>138</v>
      </c>
      <c r="F4" s="159">
        <v>235000</v>
      </c>
      <c r="G4" s="155"/>
    </row>
    <row r="5" spans="1:7" ht="15.65" x14ac:dyDescent="0.3">
      <c r="E5" s="157" t="s">
        <v>130</v>
      </c>
      <c r="F5" s="158">
        <v>5</v>
      </c>
      <c r="G5" s="155"/>
    </row>
    <row r="6" spans="1:7" ht="15.65" x14ac:dyDescent="0.3">
      <c r="E6" s="157" t="s">
        <v>164</v>
      </c>
      <c r="F6" s="159">
        <v>10400000</v>
      </c>
      <c r="G6" s="155" t="s">
        <v>165</v>
      </c>
    </row>
    <row r="7" spans="1:7" ht="15.65" x14ac:dyDescent="0.3">
      <c r="E7" s="157" t="s">
        <v>166</v>
      </c>
      <c r="F7" s="158">
        <v>30</v>
      </c>
      <c r="G7" s="155" t="s">
        <v>167</v>
      </c>
    </row>
    <row r="8" spans="1:7" ht="15.65" x14ac:dyDescent="0.3">
      <c r="E8" s="157" t="s">
        <v>166</v>
      </c>
      <c r="F8" s="158">
        <v>0</v>
      </c>
      <c r="G8" s="155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C1D-4535-4D28-BF30-ED4FAE65D634}">
  <dimension ref="A1:H11"/>
  <sheetViews>
    <sheetView showGridLines="0" zoomScale="145" zoomScaleNormal="145" workbookViewId="0">
      <selection activeCell="E2" sqref="E2"/>
    </sheetView>
  </sheetViews>
  <sheetFormatPr defaultRowHeight="15.05" x14ac:dyDescent="0.3"/>
  <cols>
    <col min="1" max="1" width="18.21875" bestFit="1" customWidth="1"/>
    <col min="2" max="2" width="12" bestFit="1" customWidth="1"/>
    <col min="3" max="4" width="12.88671875" bestFit="1" customWidth="1"/>
    <col min="7" max="7" width="12.21875" bestFit="1" customWidth="1"/>
    <col min="8" max="8" width="4.6640625" bestFit="1" customWidth="1"/>
  </cols>
  <sheetData>
    <row r="1" spans="1:8" ht="15.65" x14ac:dyDescent="0.3">
      <c r="A1" s="160"/>
      <c r="B1" s="22" t="s">
        <v>95</v>
      </c>
      <c r="C1" s="22" t="s">
        <v>96</v>
      </c>
      <c r="D1" s="22" t="s">
        <v>97</v>
      </c>
      <c r="G1" s="41" t="s">
        <v>6</v>
      </c>
      <c r="H1" s="42">
        <v>0.21</v>
      </c>
    </row>
    <row r="2" spans="1:8" ht="15.65" x14ac:dyDescent="0.3">
      <c r="A2" s="33" t="s">
        <v>98</v>
      </c>
      <c r="B2" s="58">
        <v>110000</v>
      </c>
      <c r="C2" s="58">
        <v>120000</v>
      </c>
      <c r="D2" s="58">
        <v>132000</v>
      </c>
      <c r="G2" s="41" t="s">
        <v>7</v>
      </c>
      <c r="H2" s="42">
        <v>0.13</v>
      </c>
    </row>
    <row r="3" spans="1:8" ht="15.65" x14ac:dyDescent="0.3">
      <c r="A3" s="33" t="s">
        <v>99</v>
      </c>
      <c r="B3" s="59">
        <v>0.2</v>
      </c>
      <c r="C3" s="59">
        <v>0.23</v>
      </c>
      <c r="D3" s="59">
        <v>0.25</v>
      </c>
      <c r="G3" s="152" t="s">
        <v>130</v>
      </c>
      <c r="H3" s="153">
        <v>6</v>
      </c>
    </row>
    <row r="4" spans="1:8" x14ac:dyDescent="0.3">
      <c r="A4" s="33" t="s">
        <v>100</v>
      </c>
      <c r="B4" s="60">
        <v>139</v>
      </c>
      <c r="C4" s="60">
        <v>143</v>
      </c>
      <c r="D4" s="60">
        <v>147</v>
      </c>
    </row>
    <row r="5" spans="1:8" x14ac:dyDescent="0.3">
      <c r="A5" s="33" t="s">
        <v>101</v>
      </c>
      <c r="B5" s="60">
        <v>77</v>
      </c>
      <c r="C5" s="60">
        <v>73</v>
      </c>
      <c r="D5" s="60">
        <v>70</v>
      </c>
    </row>
    <row r="6" spans="1:8" x14ac:dyDescent="0.3">
      <c r="A6" s="33" t="s">
        <v>102</v>
      </c>
      <c r="B6" s="61">
        <v>975000</v>
      </c>
      <c r="C6" s="61">
        <v>920000</v>
      </c>
      <c r="D6" s="61">
        <v>890000</v>
      </c>
    </row>
    <row r="7" spans="1:8" x14ac:dyDescent="0.3">
      <c r="A7" s="33" t="s">
        <v>50</v>
      </c>
      <c r="B7" s="62">
        <v>2300000</v>
      </c>
      <c r="C7" s="62">
        <v>2150000</v>
      </c>
      <c r="D7" s="62">
        <v>1950000</v>
      </c>
    </row>
    <row r="8" spans="1:8" x14ac:dyDescent="0.3">
      <c r="A8" s="33" t="s">
        <v>1</v>
      </c>
      <c r="B8" s="62">
        <f>SLN(B$7,,$H$3)</f>
        <v>383333.33333333331</v>
      </c>
      <c r="C8" s="62">
        <f t="shared" ref="C8:D8" si="0">SLN(C$7,,$H$3)</f>
        <v>358333.33333333331</v>
      </c>
      <c r="D8" s="62">
        <f t="shared" si="0"/>
        <v>325000</v>
      </c>
    </row>
    <row r="9" spans="1:8" x14ac:dyDescent="0.3">
      <c r="A9" s="33" t="s">
        <v>103</v>
      </c>
      <c r="B9" s="58">
        <f>B$2*B$3</f>
        <v>22000</v>
      </c>
      <c r="C9" s="58">
        <f t="shared" ref="C9:D9" si="1">C$2*C$3</f>
        <v>27600</v>
      </c>
      <c r="D9" s="58">
        <f t="shared" si="1"/>
        <v>33000</v>
      </c>
    </row>
    <row r="10" spans="1:8" x14ac:dyDescent="0.3">
      <c r="A10" s="34" t="s">
        <v>5</v>
      </c>
      <c r="B10" s="63">
        <f>((B$9*B$4)-(B$9*B$5)-B$6)*(1-$H$1)+$H$1*(B$8)</f>
        <v>387810</v>
      </c>
      <c r="C10" s="63">
        <f t="shared" ref="C10:D10" si="2">((C$9*C$4)-(C$9*C$5)-C$6)*(1-$H$1)+$H$1*(C$8)</f>
        <v>874730</v>
      </c>
      <c r="D10" s="63">
        <f t="shared" si="2"/>
        <v>1372540</v>
      </c>
    </row>
    <row r="11" spans="1:8" x14ac:dyDescent="0.3">
      <c r="A11" s="34" t="s">
        <v>8</v>
      </c>
      <c r="B11" s="64">
        <f>-B$7+PV($H$2,$H$3,-B$10)</f>
        <v>-749710.21633727849</v>
      </c>
      <c r="C11" s="64">
        <f t="shared" ref="C11:D11" si="3">-C$7+PV($H$2,$H$3,-C$10)</f>
        <v>1346776.7269108384</v>
      </c>
      <c r="D11" s="64">
        <f t="shared" si="3"/>
        <v>3536796.9873609021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71EC-9EE2-4781-A76D-0D5B8AFC0938}">
  <dimension ref="A1:Q23"/>
  <sheetViews>
    <sheetView showGridLines="0" zoomScale="145" zoomScaleNormal="145" workbookViewId="0"/>
  </sheetViews>
  <sheetFormatPr defaultRowHeight="15.05" x14ac:dyDescent="0.3"/>
  <cols>
    <col min="1" max="1" width="18.88671875" style="84" bestFit="1" customWidth="1"/>
    <col min="2" max="2" width="12.88671875" style="84" bestFit="1" customWidth="1"/>
    <col min="3" max="3" width="18.88671875" style="84" bestFit="1" customWidth="1"/>
    <col min="4" max="4" width="12.88671875" style="84" bestFit="1" customWidth="1"/>
    <col min="5" max="5" width="18.88671875" style="84" bestFit="1" customWidth="1"/>
    <col min="6" max="6" width="12" style="84" bestFit="1" customWidth="1"/>
    <col min="7" max="7" width="8.88671875" style="84"/>
    <col min="8" max="9" width="12" style="84" bestFit="1" customWidth="1"/>
    <col min="10" max="10" width="5.21875" style="84" bestFit="1" customWidth="1"/>
    <col min="11" max="11" width="16.77734375" style="84" bestFit="1" customWidth="1"/>
    <col min="12" max="12" width="10.44140625" style="84" bestFit="1" customWidth="1"/>
    <col min="13" max="13" width="12.88671875" style="84" bestFit="1" customWidth="1"/>
    <col min="14" max="14" width="11.33203125" style="84" bestFit="1" customWidth="1"/>
    <col min="15" max="15" width="11.109375" style="84" bestFit="1" customWidth="1"/>
    <col min="16" max="16" width="12.88671875" style="84" bestFit="1" customWidth="1"/>
    <col min="17" max="17" width="9.44140625" style="84" bestFit="1" customWidth="1"/>
    <col min="18" max="16384" width="8.88671875" style="84"/>
  </cols>
  <sheetData>
    <row r="1" spans="1:17" ht="15.65" x14ac:dyDescent="0.3">
      <c r="A1" s="161" t="s">
        <v>168</v>
      </c>
      <c r="B1" s="161"/>
      <c r="C1" s="161" t="s">
        <v>51</v>
      </c>
      <c r="D1" s="161"/>
      <c r="E1" s="161" t="s">
        <v>52</v>
      </c>
      <c r="F1" s="161"/>
      <c r="H1" s="152" t="s">
        <v>6</v>
      </c>
      <c r="I1" s="162">
        <v>0.24</v>
      </c>
      <c r="K1" s="112" t="s">
        <v>109</v>
      </c>
      <c r="L1" s="112" t="str">
        <f>A10</f>
        <v>OCF</v>
      </c>
      <c r="M1" s="112" t="str">
        <f>A11</f>
        <v>NPV</v>
      </c>
      <c r="N1" s="112" t="s">
        <v>169</v>
      </c>
      <c r="O1" s="112" t="s">
        <v>110</v>
      </c>
      <c r="P1" s="163"/>
    </row>
    <row r="2" spans="1:17" ht="15.65" x14ac:dyDescent="0.3">
      <c r="A2" s="164" t="s">
        <v>107</v>
      </c>
      <c r="B2" s="165">
        <v>26000</v>
      </c>
      <c r="C2" s="164" t="s">
        <v>107</v>
      </c>
      <c r="D2" s="165">
        <f>B2</f>
        <v>26000</v>
      </c>
      <c r="E2" s="164" t="s">
        <v>107</v>
      </c>
      <c r="F2" s="165">
        <f>D2</f>
        <v>26000</v>
      </c>
      <c r="H2" s="152" t="s">
        <v>7</v>
      </c>
      <c r="I2" s="162">
        <v>0.13</v>
      </c>
      <c r="K2" s="155"/>
      <c r="L2" s="166">
        <f>$B$10</f>
        <v>1457800</v>
      </c>
      <c r="M2" s="167">
        <f>$B$11</f>
        <v>2112236.5277005616</v>
      </c>
      <c r="N2" s="155"/>
      <c r="O2" s="155"/>
    </row>
    <row r="3" spans="1:17" ht="15.65" x14ac:dyDescent="0.3">
      <c r="A3" s="164" t="s">
        <v>105</v>
      </c>
      <c r="B3" s="168">
        <v>375</v>
      </c>
      <c r="C3" s="164" t="s">
        <v>105</v>
      </c>
      <c r="D3" s="168">
        <f>$B$3*(1+0.1)</f>
        <v>412.50000000000006</v>
      </c>
      <c r="E3" s="164" t="s">
        <v>105</v>
      </c>
      <c r="F3" s="168">
        <f>$B$3*(1-0.1)</f>
        <v>337.5</v>
      </c>
      <c r="H3" s="152" t="s">
        <v>130</v>
      </c>
      <c r="I3" s="153">
        <v>5</v>
      </c>
      <c r="K3" s="169">
        <v>20000</v>
      </c>
      <c r="L3" s="166">
        <f t="dataTable" ref="L3:M23" dt2D="0" dtr="0" r1="B2"/>
        <v>1093000</v>
      </c>
      <c r="M3" s="167">
        <v>829150.56348978297</v>
      </c>
      <c r="N3" s="155"/>
      <c r="O3" s="155"/>
    </row>
    <row r="4" spans="1:17" ht="15.65" x14ac:dyDescent="0.3">
      <c r="A4" s="164" t="s">
        <v>104</v>
      </c>
      <c r="B4" s="168">
        <v>295</v>
      </c>
      <c r="C4" s="164" t="s">
        <v>104</v>
      </c>
      <c r="D4" s="168">
        <f>$B$4</f>
        <v>295</v>
      </c>
      <c r="E4" s="164" t="s">
        <v>104</v>
      </c>
      <c r="F4" s="168">
        <f>$D$4</f>
        <v>295</v>
      </c>
      <c r="H4" s="152" t="s">
        <v>170</v>
      </c>
      <c r="I4" s="154">
        <v>275000</v>
      </c>
      <c r="K4" s="169">
        <v>21000</v>
      </c>
      <c r="L4" s="166">
        <v>1153800</v>
      </c>
      <c r="M4" s="167">
        <v>1042998.2241915794</v>
      </c>
      <c r="N4" s="170">
        <f>(L4-L3)/(K4-K3)</f>
        <v>60.8</v>
      </c>
      <c r="O4" s="170">
        <f>(M4-M3)/(K4-K3)</f>
        <v>213.8476607017964</v>
      </c>
      <c r="P4" s="171">
        <f>$O$4*I5</f>
        <v>2112236.5299999998</v>
      </c>
    </row>
    <row r="5" spans="1:17" ht="15.65" x14ac:dyDescent="0.3">
      <c r="A5" s="164" t="s">
        <v>102</v>
      </c>
      <c r="B5" s="172">
        <v>345000</v>
      </c>
      <c r="C5" s="164" t="s">
        <v>102</v>
      </c>
      <c r="D5" s="172">
        <f>$B$5</f>
        <v>345000</v>
      </c>
      <c r="E5" s="164" t="s">
        <v>102</v>
      </c>
      <c r="F5" s="172">
        <f>$D$5</f>
        <v>345000</v>
      </c>
      <c r="H5" s="173" t="s">
        <v>112</v>
      </c>
      <c r="I5" s="180">
        <v>9877.2954685038385</v>
      </c>
      <c r="J5" s="142" t="s">
        <v>3</v>
      </c>
      <c r="K5" s="169">
        <v>22000</v>
      </c>
      <c r="L5" s="166">
        <v>1214600</v>
      </c>
      <c r="M5" s="167">
        <v>1256845.8848933759</v>
      </c>
      <c r="N5" s="170">
        <f t="shared" ref="N5:N23" si="0">(L5-L4)/(K5-K4)</f>
        <v>60.8</v>
      </c>
      <c r="O5" s="170">
        <f t="shared" ref="O5:O23" si="1">(M5-M4)/(K5-K4)</f>
        <v>213.84766070179654</v>
      </c>
      <c r="P5" s="149"/>
      <c r="Q5" s="174"/>
    </row>
    <row r="6" spans="1:17" ht="15.65" x14ac:dyDescent="0.3">
      <c r="A6" s="164" t="s">
        <v>50</v>
      </c>
      <c r="B6" s="175">
        <v>-2900000</v>
      </c>
      <c r="C6" s="164" t="s">
        <v>50</v>
      </c>
      <c r="D6" s="175">
        <f>$B$6*(1-0.15)</f>
        <v>-2465000</v>
      </c>
      <c r="E6" s="164" t="s">
        <v>50</v>
      </c>
      <c r="F6" s="175">
        <f>$B$6*(1+0.15)</f>
        <v>-3334999.9999999995</v>
      </c>
      <c r="H6" s="173" t="s">
        <v>111</v>
      </c>
      <c r="I6" s="176">
        <f>B2-I5</f>
        <v>16122.704531496162</v>
      </c>
      <c r="J6" s="142" t="s">
        <v>3</v>
      </c>
      <c r="K6" s="169">
        <v>23000</v>
      </c>
      <c r="L6" s="166">
        <v>1275400</v>
      </c>
      <c r="M6" s="167">
        <v>1470693.5455951723</v>
      </c>
      <c r="N6" s="170">
        <f t="shared" si="0"/>
        <v>60.8</v>
      </c>
      <c r="O6" s="170">
        <f t="shared" si="1"/>
        <v>213.8476607017964</v>
      </c>
    </row>
    <row r="7" spans="1:17" ht="15.65" x14ac:dyDescent="0.3">
      <c r="A7" s="164" t="s">
        <v>1</v>
      </c>
      <c r="B7" s="175">
        <f>SLN(-$B$6,,$I$3)</f>
        <v>580000</v>
      </c>
      <c r="C7" s="164" t="s">
        <v>1</v>
      </c>
      <c r="D7" s="175">
        <f>$B$7</f>
        <v>580000</v>
      </c>
      <c r="E7" s="164" t="s">
        <v>1</v>
      </c>
      <c r="F7" s="175">
        <f>$D$7</f>
        <v>580000</v>
      </c>
      <c r="K7" s="169">
        <v>24000</v>
      </c>
      <c r="L7" s="166">
        <v>1336200</v>
      </c>
      <c r="M7" s="167">
        <v>1684541.2062969687</v>
      </c>
      <c r="N7" s="170">
        <f t="shared" si="0"/>
        <v>60.8</v>
      </c>
      <c r="O7" s="170">
        <f t="shared" si="1"/>
        <v>213.8476607017964</v>
      </c>
    </row>
    <row r="8" spans="1:17" ht="15.65" x14ac:dyDescent="0.3">
      <c r="A8" s="164" t="s">
        <v>106</v>
      </c>
      <c r="B8" s="175">
        <v>-500000</v>
      </c>
      <c r="C8" s="164" t="s">
        <v>106</v>
      </c>
      <c r="D8" s="175">
        <f>$B$8*(1-0.05)</f>
        <v>-475000</v>
      </c>
      <c r="E8" s="164" t="s">
        <v>106</v>
      </c>
      <c r="F8" s="175">
        <f>$B$8*(1+0.05)</f>
        <v>-525000</v>
      </c>
      <c r="K8" s="169">
        <v>25000</v>
      </c>
      <c r="L8" s="166">
        <v>1397000</v>
      </c>
      <c r="M8" s="167">
        <v>1898388.8669987652</v>
      </c>
      <c r="N8" s="170">
        <f t="shared" si="0"/>
        <v>60.8</v>
      </c>
      <c r="O8" s="170">
        <f t="shared" si="1"/>
        <v>213.8476607017964</v>
      </c>
    </row>
    <row r="9" spans="1:17" ht="15.65" x14ac:dyDescent="0.3">
      <c r="A9" s="164" t="s">
        <v>108</v>
      </c>
      <c r="B9" s="165">
        <f>$I$4+(0-$I$4)*$I$1</f>
        <v>209000</v>
      </c>
      <c r="C9" s="164" t="s">
        <v>108</v>
      </c>
      <c r="D9" s="165">
        <f>$B$9*(1+0.15)</f>
        <v>240349.99999999997</v>
      </c>
      <c r="E9" s="164" t="s">
        <v>108</v>
      </c>
      <c r="F9" s="165">
        <f>$B$9*(1-0.15)</f>
        <v>177650</v>
      </c>
      <c r="K9" s="169">
        <v>26000</v>
      </c>
      <c r="L9" s="166">
        <v>1457800</v>
      </c>
      <c r="M9" s="167">
        <v>2112236.5277005616</v>
      </c>
      <c r="N9" s="170">
        <f t="shared" si="0"/>
        <v>60.8</v>
      </c>
      <c r="O9" s="170">
        <f t="shared" si="1"/>
        <v>213.8476607017964</v>
      </c>
    </row>
    <row r="10" spans="1:17" ht="16.3" thickBot="1" x14ac:dyDescent="0.35">
      <c r="A10" s="177" t="s">
        <v>5</v>
      </c>
      <c r="B10" s="178">
        <f>((B2*B3)-(B2*B4)-B5)*(1-$I$1)+$I$1*(B7)</f>
        <v>1457800</v>
      </c>
      <c r="C10" s="177" t="s">
        <v>5</v>
      </c>
      <c r="D10" s="178">
        <f>((D2*D3)-(D2*D4)-D5)*(1-$I$1)+$I$1*(D7)</f>
        <v>2198800.0000000014</v>
      </c>
      <c r="E10" s="177" t="s">
        <v>5</v>
      </c>
      <c r="F10" s="178">
        <f>((F2*F3)-(F2*F4)-F5)*(1-$I$1)+$I$1*(F7)</f>
        <v>716800</v>
      </c>
      <c r="K10" s="169">
        <v>27000</v>
      </c>
      <c r="L10" s="166">
        <v>1518600</v>
      </c>
      <c r="M10" s="167">
        <v>2326084.188402358</v>
      </c>
      <c r="N10" s="170">
        <f t="shared" si="0"/>
        <v>60.8</v>
      </c>
      <c r="O10" s="170">
        <f t="shared" si="1"/>
        <v>213.8476607017964</v>
      </c>
    </row>
    <row r="11" spans="1:17" ht="16.3" thickBot="1" x14ac:dyDescent="0.35">
      <c r="A11" s="177" t="s">
        <v>8</v>
      </c>
      <c r="B11" s="179">
        <f>(B6+B8)+PV($I$2,$I$3,-B10)+PV($I$2,$I$3,,-(-B8+B9))</f>
        <v>2112236.5277005616</v>
      </c>
      <c r="C11" s="177" t="s">
        <v>8</v>
      </c>
      <c r="D11" s="179">
        <f>(D6+D8)+PV($I$2,$I$3,-D10)+PV($I$2,$I$3,,-(-D8+D9))</f>
        <v>5181951.4180973051</v>
      </c>
      <c r="E11" s="177" t="s">
        <v>8</v>
      </c>
      <c r="F11" s="179">
        <f>(F6+F8)+PV($I$2,$I$3,-F10)+PV($I$2,$I$3,,-(-F8+F9))</f>
        <v>-957478.36269617744</v>
      </c>
      <c r="K11" s="169">
        <v>28000</v>
      </c>
      <c r="L11" s="166">
        <v>1579400</v>
      </c>
      <c r="M11" s="167">
        <v>2539931.8491041544</v>
      </c>
      <c r="N11" s="170">
        <f t="shared" si="0"/>
        <v>60.8</v>
      </c>
      <c r="O11" s="170">
        <f t="shared" si="1"/>
        <v>213.8476607017964</v>
      </c>
    </row>
    <row r="12" spans="1:17" ht="15.65" x14ac:dyDescent="0.3">
      <c r="K12" s="169">
        <v>29000</v>
      </c>
      <c r="L12" s="166">
        <v>1640200</v>
      </c>
      <c r="M12" s="167">
        <v>2753779.5098059499</v>
      </c>
      <c r="N12" s="170">
        <f t="shared" si="0"/>
        <v>60.8</v>
      </c>
      <c r="O12" s="170">
        <f t="shared" si="1"/>
        <v>213.84766070179549</v>
      </c>
    </row>
    <row r="13" spans="1:17" ht="15.65" x14ac:dyDescent="0.3">
      <c r="K13" s="169">
        <v>30000</v>
      </c>
      <c r="L13" s="166">
        <v>1701000</v>
      </c>
      <c r="M13" s="167">
        <v>2967627.1705077463</v>
      </c>
      <c r="N13" s="170">
        <f t="shared" si="0"/>
        <v>60.8</v>
      </c>
      <c r="O13" s="170">
        <f t="shared" si="1"/>
        <v>213.8476607017964</v>
      </c>
    </row>
    <row r="14" spans="1:17" ht="15.65" x14ac:dyDescent="0.3">
      <c r="K14" s="169">
        <v>31000</v>
      </c>
      <c r="L14" s="166">
        <v>1761800</v>
      </c>
      <c r="M14" s="167">
        <v>3181474.8312095427</v>
      </c>
      <c r="N14" s="170">
        <f t="shared" si="0"/>
        <v>60.8</v>
      </c>
      <c r="O14" s="170">
        <f t="shared" si="1"/>
        <v>213.8476607017964</v>
      </c>
    </row>
    <row r="15" spans="1:17" ht="15.65" x14ac:dyDescent="0.3">
      <c r="K15" s="169">
        <v>32000</v>
      </c>
      <c r="L15" s="166">
        <v>1822600</v>
      </c>
      <c r="M15" s="167">
        <v>3395322.4919113391</v>
      </c>
      <c r="N15" s="170">
        <f t="shared" si="0"/>
        <v>60.8</v>
      </c>
      <c r="O15" s="170">
        <f t="shared" si="1"/>
        <v>213.8476607017964</v>
      </c>
    </row>
    <row r="16" spans="1:17" ht="15.65" x14ac:dyDescent="0.3">
      <c r="K16" s="169">
        <v>33000</v>
      </c>
      <c r="L16" s="166">
        <v>1883400</v>
      </c>
      <c r="M16" s="167">
        <v>3609170.1526131355</v>
      </c>
      <c r="N16" s="170">
        <f t="shared" si="0"/>
        <v>60.8</v>
      </c>
      <c r="O16" s="170">
        <f t="shared" si="1"/>
        <v>213.8476607017964</v>
      </c>
    </row>
    <row r="17" spans="11:15" ht="15.65" x14ac:dyDescent="0.3">
      <c r="K17" s="169">
        <v>34000</v>
      </c>
      <c r="L17" s="166">
        <v>1944200</v>
      </c>
      <c r="M17" s="167">
        <v>3823017.8133149319</v>
      </c>
      <c r="N17" s="170">
        <f t="shared" si="0"/>
        <v>60.8</v>
      </c>
      <c r="O17" s="170">
        <f t="shared" si="1"/>
        <v>213.8476607017964</v>
      </c>
    </row>
    <row r="18" spans="11:15" ht="15.65" x14ac:dyDescent="0.3">
      <c r="K18" s="169">
        <v>35000</v>
      </c>
      <c r="L18" s="166">
        <v>2005000</v>
      </c>
      <c r="M18" s="167">
        <v>4036865.4740167283</v>
      </c>
      <c r="N18" s="170">
        <f t="shared" si="0"/>
        <v>60.8</v>
      </c>
      <c r="O18" s="170">
        <f t="shared" si="1"/>
        <v>213.8476607017964</v>
      </c>
    </row>
    <row r="19" spans="11:15" ht="15.65" x14ac:dyDescent="0.3">
      <c r="K19" s="169">
        <v>36000</v>
      </c>
      <c r="L19" s="166">
        <v>2065800</v>
      </c>
      <c r="M19" s="167">
        <v>4250713.1347185243</v>
      </c>
      <c r="N19" s="170">
        <f t="shared" si="0"/>
        <v>60.8</v>
      </c>
      <c r="O19" s="170">
        <f t="shared" si="1"/>
        <v>213.84766070179595</v>
      </c>
    </row>
    <row r="20" spans="11:15" ht="15.65" x14ac:dyDescent="0.3">
      <c r="K20" s="169">
        <v>37000</v>
      </c>
      <c r="L20" s="166">
        <v>2126600</v>
      </c>
      <c r="M20" s="167">
        <v>4464560.7954203198</v>
      </c>
      <c r="N20" s="170">
        <f t="shared" si="0"/>
        <v>60.8</v>
      </c>
      <c r="O20" s="170">
        <f t="shared" si="1"/>
        <v>213.84766070179549</v>
      </c>
    </row>
    <row r="21" spans="11:15" ht="15.65" x14ac:dyDescent="0.3">
      <c r="K21" s="169">
        <v>38000</v>
      </c>
      <c r="L21" s="166">
        <v>2187400</v>
      </c>
      <c r="M21" s="167">
        <v>4678408.4561221171</v>
      </c>
      <c r="N21" s="170">
        <f t="shared" si="0"/>
        <v>60.8</v>
      </c>
      <c r="O21" s="170">
        <f t="shared" si="1"/>
        <v>213.84766070179734</v>
      </c>
    </row>
    <row r="22" spans="11:15" ht="15.65" x14ac:dyDescent="0.3">
      <c r="K22" s="169">
        <v>39000</v>
      </c>
      <c r="L22" s="166">
        <v>2248200</v>
      </c>
      <c r="M22" s="167">
        <v>4892256.1168239126</v>
      </c>
      <c r="N22" s="170">
        <f t="shared" si="0"/>
        <v>60.8</v>
      </c>
      <c r="O22" s="170">
        <f t="shared" si="1"/>
        <v>213.84766070179549</v>
      </c>
    </row>
    <row r="23" spans="11:15" ht="15.65" x14ac:dyDescent="0.3">
      <c r="K23" s="169">
        <v>40000</v>
      </c>
      <c r="L23" s="166">
        <v>2309000</v>
      </c>
      <c r="M23" s="167">
        <v>5106103.7775257099</v>
      </c>
      <c r="N23" s="170">
        <f t="shared" si="0"/>
        <v>60.8</v>
      </c>
      <c r="O23" s="170">
        <f t="shared" si="1"/>
        <v>213.84766070179734</v>
      </c>
    </row>
  </sheetData>
  <conditionalFormatting sqref="L3:L23">
    <cfRule type="colorScale" priority="2">
      <colorScale>
        <cfvo type="min"/>
        <cfvo type="max"/>
        <color rgb="FFFCFCFF"/>
        <color rgb="FF63BE7B"/>
      </colorScale>
    </cfRule>
  </conditionalFormatting>
  <conditionalFormatting sqref="M3:M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803C-54BE-45F1-9F71-94CF4E53C473}">
  <dimension ref="A1:J10"/>
  <sheetViews>
    <sheetView showGridLines="0" topLeftCell="E1" zoomScale="145" zoomScaleNormal="145" workbookViewId="0">
      <selection activeCell="H9" sqref="H9"/>
    </sheetView>
  </sheetViews>
  <sheetFormatPr defaultRowHeight="15.05" x14ac:dyDescent="0.3"/>
  <cols>
    <col min="1" max="1" width="4.77734375" bestFit="1" customWidth="1"/>
    <col min="2" max="2" width="21.6640625" bestFit="1" customWidth="1"/>
    <col min="3" max="3" width="31.21875" bestFit="1" customWidth="1"/>
    <col min="4" max="4" width="21.109375" bestFit="1" customWidth="1"/>
    <col min="5" max="5" width="10.5546875" bestFit="1" customWidth="1"/>
    <col min="6" max="6" width="11.33203125" bestFit="1" customWidth="1"/>
    <col min="7" max="7" width="16.21875" customWidth="1"/>
    <col min="8" max="8" width="14.6640625" bestFit="1" customWidth="1"/>
    <col min="9" max="9" width="12" bestFit="1" customWidth="1"/>
    <col min="10" max="10" width="23.21875" bestFit="1" customWidth="1"/>
  </cols>
  <sheetData>
    <row r="1" spans="1:10" ht="15.65" x14ac:dyDescent="0.3">
      <c r="A1" s="22" t="s">
        <v>113</v>
      </c>
      <c r="B1" s="22" t="s">
        <v>114</v>
      </c>
      <c r="C1" s="22" t="s">
        <v>117</v>
      </c>
      <c r="D1" s="22" t="s">
        <v>119</v>
      </c>
      <c r="E1" s="22" t="s">
        <v>118</v>
      </c>
      <c r="F1" s="22" t="s">
        <v>8</v>
      </c>
      <c r="H1" s="41" t="s">
        <v>6</v>
      </c>
      <c r="I1" s="42">
        <v>0.21</v>
      </c>
    </row>
    <row r="2" spans="1:10" ht="15.65" x14ac:dyDescent="0.3">
      <c r="A2" s="36">
        <v>1</v>
      </c>
      <c r="B2" s="35">
        <v>15000000</v>
      </c>
      <c r="C2" s="35">
        <f>$I$9+$D2+-$I$4</f>
        <v>22821000</v>
      </c>
      <c r="D2" s="35">
        <f>$B2+($E2-$B2)*$I$1</f>
        <v>14685000</v>
      </c>
      <c r="E2" s="35">
        <f>-$I$2-($A2)*SLN(-$I$2,,$I$7)</f>
        <v>13500000</v>
      </c>
      <c r="F2" s="37">
        <f>($I$2+$I$4)+PV($I$3,1,,-$C2)</f>
        <v>1245575.221238941</v>
      </c>
      <c r="H2" s="41" t="s">
        <v>50</v>
      </c>
      <c r="I2" s="43">
        <v>-18000000</v>
      </c>
    </row>
    <row r="3" spans="1:10" ht="15.65" x14ac:dyDescent="0.3">
      <c r="A3" s="36">
        <v>2</v>
      </c>
      <c r="B3" s="35">
        <v>11000000</v>
      </c>
      <c r="C3" s="35">
        <f>$I$9+$D3+-$I$4</f>
        <v>18716000</v>
      </c>
      <c r="D3" s="35">
        <f>$B3+($E3-$B3)*$I$1</f>
        <v>10580000</v>
      </c>
      <c r="E3" s="35">
        <f t="shared" ref="E3:E4" si="0">-$I$2-($A3)*SLN(-$I$2,,$I$7)</f>
        <v>9000000</v>
      </c>
      <c r="F3" s="37">
        <f>($I$2+$I$4)+PV($I$3,1,-$I$9)+PV($I$3,2,,-$C3)</f>
        <v>2066665.3614221942</v>
      </c>
      <c r="H3" s="41" t="s">
        <v>26</v>
      </c>
      <c r="I3" s="42">
        <v>0.13</v>
      </c>
    </row>
    <row r="4" spans="1:10" ht="15.65" x14ac:dyDescent="0.3">
      <c r="A4" s="36">
        <v>3</v>
      </c>
      <c r="B4" s="35">
        <v>8500000</v>
      </c>
      <c r="C4" s="35">
        <f>$I$9+$D4+-$I$4</f>
        <v>15796000</v>
      </c>
      <c r="D4" s="35">
        <f>$B4+($E4-$B4)*$I$1</f>
        <v>7660000</v>
      </c>
      <c r="E4" s="35">
        <f t="shared" si="0"/>
        <v>4500000</v>
      </c>
      <c r="F4" s="68">
        <f>($I$2+$I$4)+PV($I$3,2,-$I$9)+PV($I$3,3,,-$C4)</f>
        <v>3984404.4654607996</v>
      </c>
      <c r="H4" s="41" t="s">
        <v>106</v>
      </c>
      <c r="I4" s="43">
        <v>-950000</v>
      </c>
    </row>
    <row r="5" spans="1:10" ht="15.65" x14ac:dyDescent="0.3">
      <c r="A5" s="36">
        <v>4</v>
      </c>
      <c r="B5" s="35">
        <v>0</v>
      </c>
      <c r="C5" s="38"/>
      <c r="D5" s="38"/>
      <c r="E5" s="38"/>
      <c r="F5" s="38"/>
      <c r="H5" s="41" t="s">
        <v>115</v>
      </c>
      <c r="I5" s="43">
        <v>12400000</v>
      </c>
    </row>
    <row r="6" spans="1:10" ht="15.65" x14ac:dyDescent="0.3">
      <c r="H6" s="41" t="s">
        <v>116</v>
      </c>
      <c r="I6" s="43">
        <v>4500000</v>
      </c>
      <c r="J6" s="20"/>
    </row>
    <row r="7" spans="1:10" ht="15.65" x14ac:dyDescent="0.3">
      <c r="H7" s="181" t="s">
        <v>130</v>
      </c>
      <c r="I7" s="181">
        <v>4</v>
      </c>
    </row>
    <row r="9" spans="1:10" ht="15.65" x14ac:dyDescent="0.3">
      <c r="H9" s="48" t="s">
        <v>5</v>
      </c>
      <c r="I9" s="56">
        <f>(I5-I6)*(1-I1)+I1*(SLN(-I2,,I7))</f>
        <v>7186000</v>
      </c>
      <c r="J9" s="20"/>
    </row>
    <row r="10" spans="1:10" ht="15.65" x14ac:dyDescent="0.3">
      <c r="H10" s="48" t="s">
        <v>8</v>
      </c>
      <c r="I10" s="56">
        <f>(I2+I4)+PV(I3,I7,-I9)+PV(I3,I7,,I4)</f>
        <v>3007203.7366492404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7A4C-3E62-47F4-A566-42837459AA36}">
  <dimension ref="A1:C12"/>
  <sheetViews>
    <sheetView showGridLines="0" topLeftCell="A2" zoomScale="160" zoomScaleNormal="160" workbookViewId="0">
      <selection activeCell="C13" sqref="C13"/>
    </sheetView>
  </sheetViews>
  <sheetFormatPr defaultRowHeight="15.05" x14ac:dyDescent="0.3"/>
  <cols>
    <col min="1" max="1" width="21.5546875" bestFit="1" customWidth="1"/>
    <col min="2" max="2" width="15.5546875" bestFit="1" customWidth="1"/>
  </cols>
  <sheetData>
    <row r="1" spans="1:3" ht="15.65" x14ac:dyDescent="0.3">
      <c r="A1" s="41" t="s">
        <v>50</v>
      </c>
      <c r="B1" s="43">
        <v>-9500000</v>
      </c>
    </row>
    <row r="2" spans="1:3" ht="15.65" x14ac:dyDescent="0.3">
      <c r="A2" s="41" t="s">
        <v>26</v>
      </c>
      <c r="B2" s="42">
        <v>0.1</v>
      </c>
    </row>
    <row r="3" spans="1:3" ht="15.65" x14ac:dyDescent="0.3">
      <c r="A3" s="46" t="s">
        <v>5</v>
      </c>
      <c r="B3" s="56">
        <v>1800000</v>
      </c>
    </row>
    <row r="4" spans="1:3" ht="15.65" x14ac:dyDescent="0.3">
      <c r="A4" s="181" t="s">
        <v>130</v>
      </c>
      <c r="B4" s="181">
        <v>10</v>
      </c>
    </row>
    <row r="5" spans="1:3" ht="15.65" x14ac:dyDescent="0.3">
      <c r="A5" s="48" t="s">
        <v>8</v>
      </c>
      <c r="B5" s="143">
        <f>B1+PV(B2,B4,-B3)</f>
        <v>1560220.7902684323</v>
      </c>
    </row>
    <row r="6" spans="1:3" ht="15.65" x14ac:dyDescent="0.3">
      <c r="A6" s="182"/>
      <c r="B6" s="183"/>
    </row>
    <row r="7" spans="1:3" ht="15.65" x14ac:dyDescent="0.3">
      <c r="A7" s="181" t="s">
        <v>140</v>
      </c>
      <c r="B7" s="184">
        <v>3100000</v>
      </c>
      <c r="C7" s="84"/>
    </row>
    <row r="8" spans="1:3" ht="15.65" x14ac:dyDescent="0.3">
      <c r="A8" s="181" t="s">
        <v>171</v>
      </c>
      <c r="B8" s="184">
        <v>2950000</v>
      </c>
      <c r="C8" s="185" t="s">
        <v>172</v>
      </c>
    </row>
    <row r="9" spans="1:3" ht="15.65" x14ac:dyDescent="0.3">
      <c r="A9" s="181" t="s">
        <v>171</v>
      </c>
      <c r="B9" s="184">
        <v>395000</v>
      </c>
      <c r="C9" s="185" t="s">
        <v>173</v>
      </c>
    </row>
    <row r="10" spans="1:3" ht="15.65" x14ac:dyDescent="0.3">
      <c r="A10" s="41" t="s">
        <v>120</v>
      </c>
      <c r="B10" s="186">
        <f>PV(B2,B4-1,-B9)</f>
        <v>2274814.4074286856</v>
      </c>
      <c r="C10" s="185" t="s">
        <v>174</v>
      </c>
    </row>
    <row r="11" spans="1:3" ht="15.65" x14ac:dyDescent="0.3">
      <c r="A11" s="41" t="s">
        <v>121</v>
      </c>
      <c r="B11" s="186">
        <f>PV(B2,B4-1,-B8)</f>
        <v>16989120.258011702</v>
      </c>
      <c r="C11" s="185" t="s">
        <v>174</v>
      </c>
    </row>
    <row r="12" spans="1:3" ht="15.65" x14ac:dyDescent="0.3">
      <c r="A12" s="48" t="s">
        <v>8</v>
      </c>
      <c r="B12" s="143">
        <f>B1+PV(B2,1,,-B3)+0.5*PV(B2,1,,-B7)+((0.5*PV(B2,9,-B8)))*PV(B2,1,,-1)</f>
        <v>1267781.9354598653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BBD2-43EA-425F-BB96-B07065A35411}">
  <dimension ref="A1:H8"/>
  <sheetViews>
    <sheetView showGridLines="0" tabSelected="1" zoomScale="145" zoomScaleNormal="145" workbookViewId="0">
      <selection activeCell="A6" sqref="A6"/>
    </sheetView>
  </sheetViews>
  <sheetFormatPr defaultRowHeight="15.05" x14ac:dyDescent="0.3"/>
  <cols>
    <col min="1" max="1" width="47.21875" bestFit="1" customWidth="1"/>
    <col min="2" max="2" width="10.88671875" bestFit="1" customWidth="1"/>
    <col min="3" max="3" width="13" customWidth="1"/>
    <col min="5" max="5" width="22.109375" bestFit="1" customWidth="1"/>
    <col min="6" max="6" width="14.44140625" bestFit="1" customWidth="1"/>
  </cols>
  <sheetData>
    <row r="1" spans="1:8" ht="15.65" x14ac:dyDescent="0.3">
      <c r="A1" s="22"/>
      <c r="B1" s="22" t="s">
        <v>123</v>
      </c>
      <c r="C1" s="22" t="s">
        <v>118</v>
      </c>
      <c r="E1" s="41" t="s">
        <v>6</v>
      </c>
      <c r="F1" s="42">
        <v>0.22</v>
      </c>
    </row>
    <row r="2" spans="1:8" ht="15.65" x14ac:dyDescent="0.3">
      <c r="A2" s="39" t="s">
        <v>122</v>
      </c>
      <c r="B2" s="187">
        <v>13000</v>
      </c>
      <c r="C2" s="187"/>
      <c r="E2" s="41" t="s">
        <v>7</v>
      </c>
      <c r="F2" s="42">
        <v>0.15</v>
      </c>
    </row>
    <row r="3" spans="1:8" ht="15.65" x14ac:dyDescent="0.3">
      <c r="A3" s="39" t="s">
        <v>124</v>
      </c>
      <c r="B3" s="188">
        <f>SLN(F3,,H3)</f>
        <v>4333.333333333333</v>
      </c>
      <c r="C3" s="188">
        <f>F3-(H4*B3)</f>
        <v>43333.333333333336</v>
      </c>
      <c r="E3" s="181" t="s">
        <v>175</v>
      </c>
      <c r="F3" s="184">
        <v>65000</v>
      </c>
      <c r="G3" s="184" t="s">
        <v>176</v>
      </c>
      <c r="H3" s="181">
        <v>15</v>
      </c>
    </row>
    <row r="4" spans="1:8" ht="15.65" x14ac:dyDescent="0.3">
      <c r="A4" s="39" t="s">
        <v>125</v>
      </c>
      <c r="B4" s="188">
        <f>F4+(C3-F4)*F1</f>
        <v>25913.333333333336</v>
      </c>
      <c r="C4" s="165"/>
      <c r="E4" s="181" t="s">
        <v>175</v>
      </c>
      <c r="F4" s="184">
        <v>21000</v>
      </c>
      <c r="G4" s="184" t="s">
        <v>176</v>
      </c>
      <c r="H4" s="181">
        <v>5</v>
      </c>
    </row>
    <row r="5" spans="1:8" ht="15.65" x14ac:dyDescent="0.3">
      <c r="A5" s="40" t="s">
        <v>126</v>
      </c>
      <c r="B5" s="188">
        <f>PV(F2,H3-H4,-(B2*(1-F1)))</f>
        <v>50890.313866161872</v>
      </c>
      <c r="C5" s="189"/>
      <c r="E5" s="13"/>
      <c r="F5" s="4"/>
    </row>
    <row r="6" spans="1:8" ht="15.65" x14ac:dyDescent="0.3">
      <c r="A6" s="48" t="s">
        <v>8</v>
      </c>
      <c r="B6" s="143">
        <f>-F8+B4+(F8/(H3-H4))*(F1)*PV(F2,H3-H4,-1)-B3*(F1)*PV(F2,H3-H4,-1)+B5</f>
        <v>0</v>
      </c>
      <c r="C6" s="84"/>
      <c r="E6" s="13"/>
      <c r="F6" s="4"/>
    </row>
    <row r="8" spans="1:8" ht="45.7" x14ac:dyDescent="0.3">
      <c r="E8" s="69" t="s">
        <v>127</v>
      </c>
      <c r="F8" s="143">
        <v>80957.883232616179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11</vt:i4>
      </vt:variant>
    </vt:vector>
  </HeadingPairs>
  <TitlesOfParts>
    <vt:vector size="30" baseType="lpstr">
      <vt:lpstr>1. &amp; 2.</vt:lpstr>
      <vt:lpstr>3.</vt:lpstr>
      <vt:lpstr>4.</vt:lpstr>
      <vt:lpstr>5.</vt:lpstr>
      <vt:lpstr>9.</vt:lpstr>
      <vt:lpstr>10.</vt:lpstr>
      <vt:lpstr>12.</vt:lpstr>
      <vt:lpstr>13.</vt:lpstr>
      <vt:lpstr>14. &amp; 15. &amp; 16.</vt:lpstr>
      <vt:lpstr>17. &amp; 18. &amp; 19. </vt:lpstr>
      <vt:lpstr>20.</vt:lpstr>
      <vt:lpstr>22.</vt:lpstr>
      <vt:lpstr>23.</vt:lpstr>
      <vt:lpstr>24.</vt:lpstr>
      <vt:lpstr>25.</vt:lpstr>
      <vt:lpstr>26. &amp; 27.</vt:lpstr>
      <vt:lpstr>28.</vt:lpstr>
      <vt:lpstr>29.</vt:lpstr>
      <vt:lpstr>30.</vt:lpstr>
      <vt:lpstr>'14. &amp; 15. &amp; 16.'!Factor</vt:lpstr>
      <vt:lpstr>'13.'!Fixed_Cost</vt:lpstr>
      <vt:lpstr>'14. &amp; 15. &amp; 16.'!Fixed_costs</vt:lpstr>
      <vt:lpstr>'14. &amp; 15. &amp; 16.'!Price__new</vt:lpstr>
      <vt:lpstr>'13.'!Price_per_unit</vt:lpstr>
      <vt:lpstr>'13.'!Sales_are_projected</vt:lpstr>
      <vt:lpstr>'14. &amp; 15. &amp; 16.'!Sales_gained__cheap</vt:lpstr>
      <vt:lpstr>'14. &amp; 15. &amp; 16.'!Sales_lost__expensive</vt:lpstr>
      <vt:lpstr>'14. &amp; 15. &amp; 16.'!Unit_sales__new</vt:lpstr>
      <vt:lpstr>'13.'!Variable_Cost</vt:lpstr>
      <vt:lpstr>'14. &amp; 15. &amp; 16.'!VC__new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PC-5985614</dc:creator>
  <cp:lastModifiedBy>BusinessLearn365</cp:lastModifiedBy>
  <dcterms:created xsi:type="dcterms:W3CDTF">2022-01-14T07:15:25Z</dcterms:created>
  <dcterms:modified xsi:type="dcterms:W3CDTF">2023-01-25T09:04:37Z</dcterms:modified>
</cp:coreProperties>
</file>