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42ED3774-53B7-4CC0-9E10-DDF1D0926EEC}" xr6:coauthVersionLast="47" xr6:coauthVersionMax="47" xr10:uidLastSave="{00000000-0000-0000-0000-000000000000}"/>
  <bookViews>
    <workbookView xWindow="-113" yWindow="-113" windowWidth="17330" windowHeight="9842" firstSheet="24" activeTab="32" xr2:uid="{C6A659DC-1AE4-41BA-B791-34CE98D2D772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7." sheetId="7" r:id="rId7"/>
    <sheet name="8." sheetId="8" r:id="rId8"/>
    <sheet name="9." sheetId="9" r:id="rId9"/>
    <sheet name="10." sheetId="10" r:id="rId10"/>
    <sheet name="11." sheetId="11" r:id="rId11"/>
    <sheet name="12." sheetId="12" r:id="rId12"/>
    <sheet name="13." sheetId="13" r:id="rId13"/>
    <sheet name="14. &amp; 15." sheetId="14" r:id="rId14"/>
    <sheet name="16." sheetId="15" r:id="rId15"/>
    <sheet name="17." sheetId="16" r:id="rId16"/>
    <sheet name="18." sheetId="17" r:id="rId17"/>
    <sheet name="19." sheetId="18" r:id="rId18"/>
    <sheet name="20." sheetId="19" r:id="rId19"/>
    <sheet name="21." sheetId="20" r:id="rId20"/>
    <sheet name="22." sheetId="21" r:id="rId21"/>
    <sheet name="23." sheetId="22" r:id="rId22"/>
    <sheet name="24." sheetId="23" r:id="rId23"/>
    <sheet name="25." sheetId="24" r:id="rId24"/>
    <sheet name="27." sheetId="26" r:id="rId25"/>
    <sheet name="28." sheetId="32" r:id="rId26"/>
    <sheet name="29." sheetId="27" r:id="rId27"/>
    <sheet name="30." sheetId="28" r:id="rId28"/>
    <sheet name="31." sheetId="29" r:id="rId29"/>
    <sheet name="33." sheetId="33" r:id="rId30"/>
    <sheet name="34." sheetId="30" r:id="rId31"/>
    <sheet name="35." sheetId="34" r:id="rId32"/>
    <sheet name="FINANCING EAST COAST YACHT’S" sheetId="35" r:id="rId33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35" l="1"/>
  <c r="B17" i="35"/>
  <c r="B16" i="35"/>
  <c r="B15" i="35"/>
  <c r="B14" i="35"/>
  <c r="B13" i="35"/>
  <c r="B12" i="35"/>
  <c r="B11" i="35"/>
  <c r="B10" i="35"/>
  <c r="B9" i="35"/>
  <c r="B8" i="35"/>
  <c r="B7" i="35"/>
  <c r="B11" i="34" l="1"/>
  <c r="B10" i="34"/>
  <c r="N7" i="34"/>
  <c r="N6" i="34"/>
  <c r="N5" i="34"/>
  <c r="N4" i="34"/>
  <c r="N3" i="34"/>
  <c r="N2" i="34"/>
  <c r="M3" i="34"/>
  <c r="M4" i="34"/>
  <c r="M5" i="34"/>
  <c r="M6" i="34"/>
  <c r="M2" i="34"/>
  <c r="L3" i="34"/>
  <c r="L4" i="34"/>
  <c r="L5" i="34"/>
  <c r="L6" i="34"/>
  <c r="L2" i="34"/>
  <c r="K3" i="34"/>
  <c r="K4" i="34"/>
  <c r="K5" i="34"/>
  <c r="K6" i="34"/>
  <c r="K2" i="34"/>
  <c r="B9" i="34"/>
  <c r="B8" i="34"/>
  <c r="B8" i="33"/>
  <c r="B7" i="33"/>
  <c r="B6" i="33"/>
  <c r="B5" i="33"/>
  <c r="B3" i="28"/>
  <c r="B14" i="32"/>
  <c r="B11" i="32"/>
  <c r="M3" i="17"/>
  <c r="M4" i="17"/>
  <c r="M5" i="17"/>
  <c r="M6" i="17"/>
  <c r="M7" i="17"/>
  <c r="L3" i="17"/>
  <c r="L4" i="17"/>
  <c r="L5" i="17"/>
  <c r="L6" i="17"/>
  <c r="L7" i="17"/>
  <c r="M2" i="17"/>
  <c r="L2" i="17"/>
  <c r="G11" i="17"/>
  <c r="G9" i="17"/>
  <c r="G5" i="17"/>
  <c r="G3" i="17"/>
  <c r="B9" i="17"/>
  <c r="B7" i="17"/>
  <c r="B1" i="29"/>
  <c r="B15" i="32"/>
  <c r="B9" i="32"/>
  <c r="B10" i="32" s="1"/>
  <c r="B12" i="32" s="1"/>
  <c r="B8" i="32"/>
  <c r="B1" i="21"/>
  <c r="B2" i="21" s="1"/>
  <c r="E2" i="15"/>
  <c r="E1" i="15"/>
  <c r="B1" i="12"/>
  <c r="B1" i="9"/>
  <c r="C1" i="3"/>
  <c r="E1" i="2"/>
  <c r="E1" i="1"/>
  <c r="B16" i="30"/>
  <c r="B17" i="30" s="1"/>
  <c r="B18" i="30" s="1"/>
  <c r="B8" i="30"/>
  <c r="B9" i="30" s="1"/>
  <c r="B10" i="30" s="1"/>
  <c r="B11" i="30" s="1"/>
  <c r="B2" i="30"/>
  <c r="B3" i="30" s="1"/>
  <c r="B4" i="30" s="1"/>
  <c r="B5" i="30" s="1"/>
  <c r="C1" i="29"/>
  <c r="B2" i="29"/>
  <c r="E1" i="4"/>
  <c r="B1" i="28"/>
  <c r="B2" i="28" s="1"/>
  <c r="B2" i="27"/>
  <c r="B5" i="27" s="1"/>
  <c r="B1" i="27"/>
  <c r="B3" i="27" s="1"/>
  <c r="G1" i="26"/>
  <c r="G2" i="26" s="1"/>
  <c r="C4" i="26"/>
  <c r="C5" i="26" s="1"/>
  <c r="C2" i="26"/>
  <c r="C3" i="26" s="1"/>
  <c r="C1" i="26"/>
  <c r="E2" i="24"/>
  <c r="G2" i="24"/>
  <c r="B1" i="23"/>
  <c r="B2" i="23" s="1"/>
  <c r="B1" i="22"/>
  <c r="B2" i="22" s="1"/>
  <c r="B1" i="20"/>
  <c r="B3" i="20" s="1"/>
  <c r="B1" i="19"/>
  <c r="B4" i="19" s="1"/>
  <c r="B11" i="18"/>
  <c r="C11" i="18" s="1"/>
  <c r="B9" i="18"/>
  <c r="C9" i="18" s="1"/>
  <c r="B5" i="18"/>
  <c r="C5" i="18" s="1"/>
  <c r="B3" i="18"/>
  <c r="C3" i="18" s="1"/>
  <c r="B4" i="17"/>
  <c r="B2" i="17"/>
  <c r="B4" i="16"/>
  <c r="I2" i="16" s="1"/>
  <c r="B2" i="16"/>
  <c r="H2" i="16" s="1"/>
  <c r="C7" i="14"/>
  <c r="B7" i="14"/>
  <c r="B6" i="14"/>
  <c r="B4" i="14"/>
  <c r="B5" i="14" s="1"/>
  <c r="B2" i="14"/>
  <c r="C2" i="14" s="1"/>
  <c r="B1" i="14"/>
  <c r="B1" i="13"/>
  <c r="B1" i="11"/>
  <c r="B2" i="10"/>
  <c r="B1" i="10"/>
  <c r="C1" i="9"/>
  <c r="C1" i="8"/>
  <c r="B1" i="8"/>
  <c r="C1" i="7"/>
  <c r="B1" i="7"/>
  <c r="C1" i="6"/>
  <c r="B1" i="6"/>
  <c r="C1" i="5"/>
  <c r="B1" i="5"/>
  <c r="B2" i="4"/>
  <c r="B1" i="3"/>
  <c r="F3" i="2"/>
  <c r="F2" i="2"/>
  <c r="F1" i="2"/>
  <c r="E2" i="2"/>
  <c r="E3" i="2"/>
  <c r="F2" i="1"/>
  <c r="F3" i="1"/>
  <c r="F1" i="1"/>
  <c r="E2" i="1"/>
  <c r="E3" i="1"/>
  <c r="B2" i="19" l="1"/>
  <c r="B3" i="19" s="1"/>
  <c r="B2" i="20"/>
  <c r="B6" i="27"/>
  <c r="B16" i="32"/>
  <c r="B17" i="32" s="1"/>
  <c r="B4" i="27"/>
  <c r="E3" i="15"/>
  <c r="B13" i="30"/>
  <c r="B20" i="30" l="1"/>
  <c r="B21" i="30" s="1"/>
  <c r="H11" i="17"/>
  <c r="H9" i="17"/>
  <c r="H3" i="17"/>
  <c r="H5" i="17"/>
</calcChain>
</file>

<file path=xl/sharedStrings.xml><?xml version="1.0" encoding="utf-8"?>
<sst xmlns="http://schemas.openxmlformats.org/spreadsheetml/2006/main" count="217" uniqueCount="131">
  <si>
    <t>YTM</t>
  </si>
  <si>
    <t>Price</t>
  </si>
  <si>
    <t>Coupon Rate</t>
  </si>
  <si>
    <t>C</t>
  </si>
  <si>
    <t>Current Price</t>
  </si>
  <si>
    <t>Approximate r</t>
  </si>
  <si>
    <t>Exact r</t>
  </si>
  <si>
    <t>R</t>
  </si>
  <si>
    <t>Total real return</t>
  </si>
  <si>
    <t>Inflation rate</t>
  </si>
  <si>
    <t>Real return (Last year)</t>
  </si>
  <si>
    <t>Bid Price</t>
  </si>
  <si>
    <t>Previous day’s asked price</t>
  </si>
  <si>
    <t>The dollar asked price is:</t>
  </si>
  <si>
    <t>Current yield</t>
  </si>
  <si>
    <t>Bid-ask spread</t>
  </si>
  <si>
    <t>Implied interest</t>
  </si>
  <si>
    <t>The price of the bond when purchased was:</t>
  </si>
  <si>
    <t>And the price at the end of one year is:</t>
  </si>
  <si>
    <t>Bond Miller:</t>
  </si>
  <si>
    <t>Bond Modigliani:</t>
  </si>
  <si>
    <t>Maturity Bonds</t>
  </si>
  <si>
    <t xml:space="preserve">Price 
Bond Miller: </t>
  </si>
  <si>
    <t>Price 
Bond Modigliani:</t>
  </si>
  <si>
    <t>Laurel, Inc</t>
  </si>
  <si>
    <t>Hardy Corp</t>
  </si>
  <si>
    <t>If interest rates suddenly rise by 2 percent</t>
  </si>
  <si>
    <t>If interest rates were to suddenly fall by 2 percent</t>
  </si>
  <si>
    <t>∆Price%</t>
  </si>
  <si>
    <t>∆Price Laurel,Inc</t>
  </si>
  <si>
    <t>∆Price Hardy Corp</t>
  </si>
  <si>
    <t>Faulk Corp</t>
  </si>
  <si>
    <t>Yoo Company</t>
  </si>
  <si>
    <t>The effective annual yield</t>
  </si>
  <si>
    <t>Accrued interest</t>
  </si>
  <si>
    <t>Clean price</t>
  </si>
  <si>
    <t>Invoice price</t>
  </si>
  <si>
    <t>Maturity</t>
  </si>
  <si>
    <t>years</t>
  </si>
  <si>
    <t>Company (Ticker)</t>
  </si>
  <si>
    <t>Coupon</t>
  </si>
  <si>
    <t>Last Price</t>
  </si>
  <si>
    <t>EST Vol (000s)</t>
  </si>
  <si>
    <t>IOU (IOU)</t>
  </si>
  <si>
    <t>a.</t>
  </si>
  <si>
    <t>b.</t>
  </si>
  <si>
    <t>Year 1 interest deduction</t>
  </si>
  <si>
    <t>Year 25 interest deduction</t>
  </si>
  <si>
    <t>c.</t>
  </si>
  <si>
    <t>Total interest</t>
  </si>
  <si>
    <t>Annual interest deduction</t>
  </si>
  <si>
    <t>Price Bond_P</t>
  </si>
  <si>
    <t>Price Bond_D</t>
  </si>
  <si>
    <t>Current yield_P</t>
  </si>
  <si>
    <t>Current yield_D</t>
  </si>
  <si>
    <t>Capital gains yield_P</t>
  </si>
  <si>
    <t>Capital gains yield_D</t>
  </si>
  <si>
    <t>HPY</t>
  </si>
  <si>
    <t>Price_M</t>
  </si>
  <si>
    <t>Price_N</t>
  </si>
  <si>
    <t>Stock account:</t>
  </si>
  <si>
    <t>The real effective annual interest rate</t>
  </si>
  <si>
    <t>APR</t>
  </si>
  <si>
    <t>Monthly rate</t>
  </si>
  <si>
    <t>Bond account:</t>
  </si>
  <si>
    <t>FVA</t>
  </si>
  <si>
    <t>Account value</t>
  </si>
  <si>
    <t>Interest rate in retirement:</t>
  </si>
  <si>
    <t>Withdrawal period of 25 years (Monthly)</t>
  </si>
  <si>
    <t>The last withdrawal in nominal terms will be:</t>
  </si>
  <si>
    <t>NPER</t>
  </si>
  <si>
    <t>Bond Coupon</t>
  </si>
  <si>
    <t>Target</t>
  </si>
  <si>
    <t>semiannual</t>
  </si>
  <si>
    <t>Par value</t>
  </si>
  <si>
    <t>Tax rate</t>
  </si>
  <si>
    <t>Number of coupon bonds to sell</t>
  </si>
  <si>
    <t>units</t>
  </si>
  <si>
    <t>Price of zero coupon bonds</t>
  </si>
  <si>
    <t>Number of zero coupon bonds to sell</t>
  </si>
  <si>
    <t>Coupon bonds repayment</t>
  </si>
  <si>
    <t>Zeroes repayment</t>
  </si>
  <si>
    <t>Total coupon bonds</t>
  </si>
  <si>
    <t>The price of the zeroes in one year will be:</t>
  </si>
  <si>
    <t>Year 1 interest deduction per bond</t>
  </si>
  <si>
    <t>Total zero bonds</t>
  </si>
  <si>
    <t>Nominal Returns on a Treasury bill</t>
  </si>
  <si>
    <t>Today</t>
  </si>
  <si>
    <t>Cost</t>
  </si>
  <si>
    <t>EAR</t>
  </si>
  <si>
    <t xml:space="preserve">Increase </t>
  </si>
  <si>
    <t>per year</t>
  </si>
  <si>
    <t>Real return</t>
  </si>
  <si>
    <t>Weekly rate</t>
  </si>
  <si>
    <t>PVA</t>
  </si>
  <si>
    <t>every Sunday as long as he lived</t>
  </si>
  <si>
    <t>Annual fee</t>
  </si>
  <si>
    <t>Customer base</t>
  </si>
  <si>
    <t>grow at a constant rate of 3 percent for the next 5 years</t>
  </si>
  <si>
    <t>The overall expenses</t>
  </si>
  <si>
    <t>per year are expected to grow at the inflation rate of 2 percent annually</t>
  </si>
  <si>
    <t>Paul plans to buy</t>
  </si>
  <si>
    <t>After 5 years a luxury boat</t>
  </si>
  <si>
    <t>Earns</t>
  </si>
  <si>
    <t>on his savings</t>
  </si>
  <si>
    <t>Effective growth rate</t>
  </si>
  <si>
    <t>Paul plans to raise the annual fee by 6 percent for the next 5 years</t>
  </si>
  <si>
    <t>Current revenue</t>
  </si>
  <si>
    <t>Year</t>
  </si>
  <si>
    <t>Revenue</t>
  </si>
  <si>
    <t> Costs</t>
  </si>
  <si>
    <t> Savings</t>
  </si>
  <si>
    <t>FV</t>
  </si>
  <si>
    <t>Value of account</t>
  </si>
  <si>
    <t>PMT</t>
  </si>
  <si>
    <t xml:space="preserve"> withdraw each year</t>
  </si>
  <si>
    <t>Coupon rate</t>
  </si>
  <si>
    <t>Raise</t>
  </si>
  <si>
    <t>Coupon bonds to sell</t>
  </si>
  <si>
    <t>Zero coupon price</t>
  </si>
  <si>
    <t>Zero coupon bonds to sell</t>
  </si>
  <si>
    <t>Coupon bond principal payment at maturity</t>
  </si>
  <si>
    <t>Zero coupon bond payment at maturity</t>
  </si>
  <si>
    <t>Annual coupon bond payments</t>
  </si>
  <si>
    <t>Aftertax coupon payments</t>
  </si>
  <si>
    <t>Value of zero in one year</t>
  </si>
  <si>
    <t>Zero coupon growth</t>
  </si>
  <si>
    <t>Zero cash flow</t>
  </si>
  <si>
    <t>To give 1$ today is better than tomorrow</t>
  </si>
  <si>
    <t>If the Treasury rate is 4.80 percent, the make-whole call price in seven years</t>
  </si>
  <si>
    <t>if the Treasury rate is 8.20 percent, the make-whole call price in seven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</si>
</sst>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164" formatCode="0.0%"/>
    <numFmt numFmtId="165" formatCode="#,##0.00\ [$€-1]_);[Red]\(#,##0.00\ [$€-1]\)"/>
    <numFmt numFmtId="166" formatCode="&quot;$&quot;#,##0.00"/>
    <numFmt numFmtId="167" formatCode="0.000%"/>
    <numFmt numFmtId="168" formatCode="_([$$-409]* #,##0.00_);_([$$-409]* \(#,##0.00\);_([$$-409]* &quot;-&quot;??_);_(@_)"/>
    <numFmt numFmtId="169" formatCode="&quot;$&quot;#,##0"/>
    <numFmt numFmtId="170" formatCode="#,##0.0000"/>
    <numFmt numFmtId="172" formatCode="&quot;$&quot;#,##0.0_);[Red]\(&quot;$&quot;#,##0.0\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u/>
      <sz val="12"/>
      <color theme="1"/>
      <name val="Arial Narrow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sz val="11"/>
      <color theme="1"/>
      <name val="Calibri"/>
      <family val="2"/>
      <scheme val="minor"/>
    </font>
    <font>
      <sz val="12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92">
    <xf numFmtId="0" fontId="0" fillId="0" borderId="0" xfId="0"/>
    <xf numFmtId="0" fontId="7" fillId="0" borderId="0" xfId="0" applyFont="1"/>
    <xf numFmtId="8" fontId="7" fillId="0" borderId="0" xfId="0" applyNumberFormat="1" applyFont="1"/>
    <xf numFmtId="0" fontId="7" fillId="0" borderId="2" xfId="0" applyFont="1" applyBorder="1"/>
    <xf numFmtId="9" fontId="7" fillId="0" borderId="2" xfId="0" applyNumberFormat="1" applyFont="1" applyBorder="1"/>
    <xf numFmtId="10" fontId="7" fillId="0" borderId="0" xfId="0" applyNumberFormat="1" applyFont="1"/>
    <xf numFmtId="0" fontId="9" fillId="0" borderId="0" xfId="0" applyFont="1"/>
    <xf numFmtId="166" fontId="7" fillId="0" borderId="0" xfId="0" applyNumberFormat="1" applyFont="1"/>
    <xf numFmtId="14" fontId="7" fillId="0" borderId="0" xfId="0" applyNumberFormat="1" applyFont="1"/>
    <xf numFmtId="14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right"/>
    </xf>
    <xf numFmtId="3" fontId="7" fillId="0" borderId="0" xfId="0" applyNumberFormat="1" applyFont="1"/>
    <xf numFmtId="164" fontId="7" fillId="0" borderId="0" xfId="0" applyNumberFormat="1" applyFont="1"/>
    <xf numFmtId="8" fontId="0" fillId="0" borderId="0" xfId="0" applyNumberFormat="1"/>
    <xf numFmtId="9" fontId="7" fillId="0" borderId="0" xfId="0" applyNumberFormat="1" applyFont="1" applyAlignment="1">
      <alignment horizontal="center"/>
    </xf>
    <xf numFmtId="0" fontId="10" fillId="0" borderId="0" xfId="0" applyFont="1"/>
    <xf numFmtId="0" fontId="11" fillId="5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left" vertical="top" wrapText="1" indent="1"/>
    </xf>
    <xf numFmtId="3" fontId="12" fillId="6" borderId="0" xfId="0" applyNumberFormat="1" applyFont="1" applyFill="1" applyAlignment="1">
      <alignment horizontal="left" vertical="top" indent="2" shrinkToFit="1"/>
    </xf>
    <xf numFmtId="10" fontId="12" fillId="6" borderId="0" xfId="0" applyNumberFormat="1" applyFont="1" applyFill="1" applyAlignment="1">
      <alignment horizontal="center" vertical="top" shrinkToFit="1"/>
    </xf>
    <xf numFmtId="14" fontId="12" fillId="6" borderId="0" xfId="0" applyNumberFormat="1" applyFont="1" applyFill="1" applyAlignment="1">
      <alignment horizontal="center" vertical="top" wrapText="1"/>
    </xf>
    <xf numFmtId="164" fontId="12" fillId="6" borderId="0" xfId="0" applyNumberFormat="1" applyFont="1" applyFill="1" applyAlignment="1">
      <alignment horizontal="left" vertical="top" indent="2" shrinkToFit="1"/>
    </xf>
    <xf numFmtId="10" fontId="12" fillId="6" borderId="0" xfId="0" applyNumberFormat="1" applyFont="1" applyFill="1" applyAlignment="1">
      <alignment horizontal="center" vertical="top" wrapText="1"/>
    </xf>
    <xf numFmtId="0" fontId="8" fillId="0" borderId="2" xfId="0" applyFont="1" applyBorder="1"/>
    <xf numFmtId="8" fontId="7" fillId="0" borderId="2" xfId="0" applyNumberFormat="1" applyFont="1" applyBorder="1"/>
    <xf numFmtId="0" fontId="6" fillId="0" borderId="2" xfId="0" applyFont="1" applyBorder="1"/>
    <xf numFmtId="0" fontId="9" fillId="0" borderId="2" xfId="0" applyFont="1" applyBorder="1"/>
    <xf numFmtId="10" fontId="7" fillId="0" borderId="2" xfId="0" applyNumberFormat="1" applyFont="1" applyBorder="1"/>
    <xf numFmtId="164" fontId="0" fillId="0" borderId="0" xfId="0" applyNumberFormat="1"/>
    <xf numFmtId="10" fontId="0" fillId="0" borderId="0" xfId="0" applyNumberFormat="1"/>
    <xf numFmtId="164" fontId="7" fillId="0" borderId="2" xfId="0" applyNumberFormat="1" applyFont="1" applyBorder="1"/>
    <xf numFmtId="6" fontId="7" fillId="0" borderId="2" xfId="0" applyNumberFormat="1" applyFont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0" borderId="2" xfId="0" applyNumberFormat="1" applyFont="1" applyBorder="1"/>
    <xf numFmtId="168" fontId="7" fillId="0" borderId="2" xfId="0" applyNumberFormat="1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9" fillId="0" borderId="3" xfId="0" applyFont="1" applyBorder="1"/>
    <xf numFmtId="168" fontId="9" fillId="0" borderId="2" xfId="0" applyNumberFormat="1" applyFont="1" applyBorder="1"/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wrapText="1"/>
    </xf>
    <xf numFmtId="0" fontId="5" fillId="0" borderId="2" xfId="0" applyFont="1" applyBorder="1"/>
    <xf numFmtId="0" fontId="9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9" fillId="0" borderId="8" xfId="0" applyFont="1" applyBorder="1"/>
    <xf numFmtId="0" fontId="4" fillId="0" borderId="2" xfId="0" applyFont="1" applyBorder="1"/>
    <xf numFmtId="164" fontId="4" fillId="0" borderId="2" xfId="0" applyNumberFormat="1" applyFont="1" applyBorder="1"/>
    <xf numFmtId="6" fontId="4" fillId="0" borderId="2" xfId="0" applyNumberFormat="1" applyFont="1" applyBorder="1"/>
    <xf numFmtId="8" fontId="4" fillId="0" borderId="2" xfId="0" applyNumberFormat="1" applyFont="1" applyBorder="1"/>
    <xf numFmtId="10" fontId="4" fillId="2" borderId="2" xfId="0" applyNumberFormat="1" applyFont="1" applyFill="1" applyBorder="1"/>
    <xf numFmtId="0" fontId="9" fillId="0" borderId="2" xfId="0" applyFont="1" applyBorder="1" applyAlignment="1">
      <alignment horizontal="center"/>
    </xf>
    <xf numFmtId="10" fontId="7" fillId="0" borderId="2" xfId="0" applyNumberFormat="1" applyFont="1" applyBorder="1" applyAlignment="1">
      <alignment horizontal="right"/>
    </xf>
    <xf numFmtId="6" fontId="7" fillId="0" borderId="2" xfId="0" applyNumberFormat="1" applyFont="1" applyBorder="1" applyAlignment="1">
      <alignment horizontal="right"/>
    </xf>
    <xf numFmtId="6" fontId="7" fillId="4" borderId="2" xfId="0" applyNumberFormat="1" applyFont="1" applyFill="1" applyBorder="1"/>
    <xf numFmtId="10" fontId="7" fillId="4" borderId="2" xfId="0" applyNumberFormat="1" applyFont="1" applyFill="1" applyBorder="1"/>
    <xf numFmtId="166" fontId="9" fillId="0" borderId="2" xfId="0" applyNumberFormat="1" applyFont="1" applyBorder="1"/>
    <xf numFmtId="2" fontId="7" fillId="0" borderId="0" xfId="0" applyNumberFormat="1" applyFont="1"/>
    <xf numFmtId="170" fontId="7" fillId="4" borderId="2" xfId="0" applyNumberFormat="1" applyFont="1" applyFill="1" applyBorder="1"/>
    <xf numFmtId="8" fontId="7" fillId="2" borderId="2" xfId="0" applyNumberFormat="1" applyFont="1" applyFill="1" applyBorder="1"/>
    <xf numFmtId="8" fontId="7" fillId="3" borderId="2" xfId="0" applyNumberFormat="1" applyFont="1" applyFill="1" applyBorder="1"/>
    <xf numFmtId="9" fontId="4" fillId="0" borderId="2" xfId="0" applyNumberFormat="1" applyFont="1" applyBorder="1"/>
    <xf numFmtId="3" fontId="4" fillId="0" borderId="2" xfId="0" applyNumberFormat="1" applyFont="1" applyBorder="1"/>
    <xf numFmtId="6" fontId="9" fillId="0" borderId="2" xfId="0" applyNumberFormat="1" applyFont="1" applyBorder="1"/>
    <xf numFmtId="10" fontId="7" fillId="2" borderId="2" xfId="0" applyNumberFormat="1" applyFont="1" applyFill="1" applyBorder="1" applyAlignment="1">
      <alignment horizontal="right"/>
    </xf>
    <xf numFmtId="10" fontId="7" fillId="3" borderId="2" xfId="0" applyNumberFormat="1" applyFont="1" applyFill="1" applyBorder="1" applyAlignment="1">
      <alignment horizontal="right"/>
    </xf>
    <xf numFmtId="8" fontId="7" fillId="4" borderId="2" xfId="0" applyNumberFormat="1" applyFont="1" applyFill="1" applyBorder="1"/>
    <xf numFmtId="0" fontId="3" fillId="0" borderId="2" xfId="0" applyFont="1" applyBorder="1"/>
    <xf numFmtId="8" fontId="9" fillId="0" borderId="2" xfId="0" applyNumberFormat="1" applyFont="1" applyBorder="1"/>
    <xf numFmtId="10" fontId="2" fillId="0" borderId="0" xfId="1" applyNumberFormat="1" applyFont="1"/>
    <xf numFmtId="10" fontId="4" fillId="3" borderId="2" xfId="0" applyNumberFormat="1" applyFont="1" applyFill="1" applyBorder="1"/>
    <xf numFmtId="0" fontId="12" fillId="6" borderId="0" xfId="0" applyNumberFormat="1" applyFont="1" applyFill="1" applyAlignment="1">
      <alignment horizontal="center" vertical="top" shrinkToFit="1"/>
    </xf>
    <xf numFmtId="8" fontId="4" fillId="0" borderId="0" xfId="0" applyNumberFormat="1" applyFont="1"/>
    <xf numFmtId="172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1" fillId="0" borderId="2" xfId="0" applyFont="1" applyBorder="1"/>
    <xf numFmtId="6" fontId="1" fillId="0" borderId="2" xfId="0" applyNumberFormat="1" applyFont="1" applyBorder="1"/>
    <xf numFmtId="10" fontId="1" fillId="0" borderId="2" xfId="0" applyNumberFormat="1" applyFont="1" applyBorder="1"/>
    <xf numFmtId="8" fontId="1" fillId="0" borderId="2" xfId="0" applyNumberFormat="1" applyFont="1" applyBorder="1"/>
    <xf numFmtId="0" fontId="14" fillId="0" borderId="2" xfId="0" applyFont="1" applyBorder="1" applyAlignment="1">
      <alignment horizontal="center" vertical="top" wrapText="1"/>
    </xf>
    <xf numFmtId="1" fontId="14" fillId="0" borderId="2" xfId="0" applyNumberFormat="1" applyFont="1" applyBorder="1" applyAlignment="1">
      <alignment horizontal="center" vertical="top" shrinkToFit="1"/>
    </xf>
    <xf numFmtId="166" fontId="14" fillId="0" borderId="2" xfId="0" applyNumberFormat="1" applyFont="1" applyBorder="1" applyAlignment="1">
      <alignment vertical="top" shrinkToFit="1"/>
    </xf>
    <xf numFmtId="0" fontId="1" fillId="0" borderId="2" xfId="0" applyNumberFormat="1" applyFont="1" applyBorder="1"/>
    <xf numFmtId="9" fontId="1" fillId="0" borderId="2" xfId="0" applyNumberFormat="1" applyFont="1" applyBorder="1"/>
    <xf numFmtId="164" fontId="1" fillId="0" borderId="2" xfId="0" applyNumberFormat="1" applyFont="1" applyBorder="1"/>
    <xf numFmtId="3" fontId="1" fillId="0" borderId="2" xfId="0" applyNumberFormat="1" applyFont="1" applyBorder="1"/>
  </cellXfs>
  <cellStyles count="2">
    <cellStyle name="Normal" xfId="0" builtinId="0"/>
    <cellStyle name="Normal 2" xfId="1" xr:uid="{5C4B74D9-FBA7-4233-A6E9-F9AC3629E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Maturity and Bond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'17.'!$H$1</c:f>
              <c:strCache>
                <c:ptCount val="1"/>
                <c:pt idx="0">
                  <c:v>Price 
Bond Miller: </c:v>
                </c:pt>
              </c:strCache>
            </c:strRef>
          </c:tx>
          <c:spPr>
            <a:ln w="19050" cap="rnd" cmpd="sng">
              <a:solidFill>
                <a:schemeClr val="accent2">
                  <a:alpha val="9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'17.'!$F$3:$F$8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</c:numCache>
            </c:numRef>
          </c:xVal>
          <c:yVal>
            <c:numRef>
              <c:f>'17.'!$H$3:$H$8</c:f>
              <c:numCache>
                <c:formatCode>"$"#,##0.00</c:formatCode>
                <c:ptCount val="6"/>
                <c:pt idx="0">
                  <c:v>1111.7126745243797</c:v>
                </c:pt>
                <c:pt idx="1">
                  <c:v>1105.5528964998564</c:v>
                </c:pt>
                <c:pt idx="2">
                  <c:v>1092.2231942537246</c:v>
                </c:pt>
                <c:pt idx="3">
                  <c:v>1052.1076885372245</c:v>
                </c:pt>
                <c:pt idx="4">
                  <c:v>1011.5393129320927</c:v>
                </c:pt>
                <c:pt idx="5" formatCode="&quot;$&quot;#,##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7F-4C4A-994F-F0AD1449F5D3}"/>
            </c:ext>
          </c:extLst>
        </c:ser>
        <c:ser>
          <c:idx val="1"/>
          <c:order val="1"/>
          <c:tx>
            <c:strRef>
              <c:f>'17.'!$I$1</c:f>
              <c:strCache>
                <c:ptCount val="1"/>
                <c:pt idx="0">
                  <c:v>Price 
Bond Modigliani: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'17.'!$F$3:$F$8</c:f>
              <c:numCache>
                <c:formatCode>#,##0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</c:numCache>
            </c:numRef>
          </c:xVal>
          <c:yVal>
            <c:numRef>
              <c:f>'17.'!$I$3:$I$8</c:f>
              <c:numCache>
                <c:formatCode>"$"#,##0.00</c:formatCode>
                <c:ptCount val="6"/>
                <c:pt idx="0">
                  <c:v>895.76060272822315</c:v>
                </c:pt>
                <c:pt idx="1">
                  <c:v>901.06993904218939</c:v>
                </c:pt>
                <c:pt idx="2">
                  <c:v>912.76392311839481</c:v>
                </c:pt>
                <c:pt idx="3">
                  <c:v>949.46562951730903</c:v>
                </c:pt>
                <c:pt idx="4">
                  <c:v>988.56064114815706</c:v>
                </c:pt>
                <c:pt idx="5" formatCode="&quot;$&quot;#,##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7F-4C4A-994F-F0AD1449F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959424"/>
        <c:axId val="2085957760"/>
      </c:scatterChart>
      <c:valAx>
        <c:axId val="2085959424"/>
        <c:scaling>
          <c:orientation val="minMax"/>
          <c:max val="1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Maturity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957760"/>
        <c:crosses val="autoZero"/>
        <c:crossBetween val="midCat"/>
        <c:majorUnit val="1"/>
        <c:minorUnit val="1"/>
      </c:valAx>
      <c:valAx>
        <c:axId val="2085957760"/>
        <c:scaling>
          <c:orientation val="minMax"/>
          <c:max val="13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Bond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95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958223972003496"/>
          <c:y val="0.37173483522892969"/>
          <c:w val="0.27986220472440942"/>
          <c:h val="0.266205890930300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YTM and Bond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'18.'!$L$1</c:f>
              <c:strCache>
                <c:ptCount val="1"/>
                <c:pt idx="0">
                  <c:v>∆Price Laurel,Inc</c:v>
                </c:pt>
              </c:strCache>
            </c:strRef>
          </c:tx>
          <c:spPr>
            <a:ln w="19050" cap="rnd">
              <a:solidFill>
                <a:schemeClr val="dk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'18.'!$K$2:$K$7</c:f>
              <c:numCache>
                <c:formatCode>0%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xVal>
          <c:yVal>
            <c:numRef>
              <c:f>'18.'!$L$2:$L$7</c:f>
              <c:numCache>
                <c:formatCode>"$"#,##0.00_);[Red]\("$"#,##0.00\)</c:formatCode>
                <c:ptCount val="6"/>
                <c:pt idx="0">
                  <c:v>1174</c:v>
                </c:pt>
                <c:pt idx="1">
                  <c:v>1110.1140530170071</c:v>
                </c:pt>
                <c:pt idx="2">
                  <c:v>1050.4128780162134</c:v>
                </c:pt>
                <c:pt idx="3">
                  <c:v>994.5828085561219</c:v>
                </c:pt>
                <c:pt idx="4">
                  <c:v>942.33649457578986</c:v>
                </c:pt>
                <c:pt idx="5">
                  <c:v>893.41046658738378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66-4139-ADC1-B52964E888E6}"/>
            </c:ext>
          </c:extLst>
        </c:ser>
        <c:ser>
          <c:idx val="1"/>
          <c:order val="1"/>
          <c:tx>
            <c:strRef>
              <c:f>'18.'!$M$1</c:f>
              <c:strCache>
                <c:ptCount val="1"/>
                <c:pt idx="0">
                  <c:v>∆Price Hardy Corp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'18.'!$K$2:$K$7</c:f>
              <c:numCache>
                <c:formatCode>0%</c:formatCode>
                <c:ptCount val="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</c:numCache>
            </c:numRef>
          </c:xVal>
          <c:yVal>
            <c:numRef>
              <c:f>'18.'!$M$2:$M$7</c:f>
              <c:numCache>
                <c:formatCode>"$"#,##0.00_);[Red]\("$"#,##0.00\)</c:formatCode>
                <c:ptCount val="6"/>
                <c:pt idx="0">
                  <c:v>2160.0000000000009</c:v>
                </c:pt>
                <c:pt idx="1">
                  <c:v>1623.8590361651666</c:v>
                </c:pt>
                <c:pt idx="2">
                  <c:v>1246.1993131666438</c:v>
                </c:pt>
                <c:pt idx="3">
                  <c:v>976.88522802579405</c:v>
                </c:pt>
                <c:pt idx="4">
                  <c:v>782.27948728230842</c:v>
                </c:pt>
                <c:pt idx="5">
                  <c:v>639.65918656611666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66-4139-ADC1-B52964E88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79087"/>
        <c:axId val="879570351"/>
      </c:scatterChart>
      <c:valAx>
        <c:axId val="879579087"/>
        <c:scaling>
          <c:orientation val="minMax"/>
          <c:max val="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70351"/>
        <c:crosses val="autoZero"/>
        <c:crossBetween val="midCat"/>
      </c:valAx>
      <c:valAx>
        <c:axId val="879570351"/>
        <c:scaling>
          <c:orientation val="minMax"/>
          <c:max val="25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Bond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79087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70822397200335"/>
          <c:y val="0.42208260425780103"/>
          <c:w val="0.31684733158355205"/>
          <c:h val="0.207177019539224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413971</xdr:colOff>
      <xdr:row>9</xdr:row>
      <xdr:rowOff>53486</xdr:rowOff>
    </xdr:from>
    <xdr:to>
      <xdr:col>6</xdr:col>
      <xdr:colOff>692394</xdr:colOff>
      <xdr:row>23</xdr:row>
      <xdr:rowOff>129686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0E45C-9EDF-4182-ADB3-B8C6AA472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487240</xdr:colOff>
      <xdr:row>8</xdr:row>
      <xdr:rowOff>104775</xdr:rowOff>
    </xdr:from>
    <xdr:to>
      <xdr:col>14</xdr:col>
      <xdr:colOff>164855</xdr:colOff>
      <xdr:row>22</xdr:row>
      <xdr:rowOff>129687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43680-1663-4715-9612-08D54444D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CE7A-5D4A-4CB5-8615-FD5DE0D2C909}">
  <dimension ref="A1:G3"/>
  <sheetViews>
    <sheetView showGridLines="0" zoomScale="145" zoomScaleNormal="145" workbookViewId="0">
      <selection activeCell="E7" sqref="E7"/>
    </sheetView>
  </sheetViews>
  <sheetFormatPr defaultRowHeight="15.05" x14ac:dyDescent="0.3"/>
  <cols>
    <col min="2" max="2" width="5.33203125" bestFit="1" customWidth="1"/>
    <col min="5" max="5" width="8.88671875" bestFit="1" customWidth="1"/>
    <col min="6" max="6" width="9.44140625" customWidth="1"/>
  </cols>
  <sheetData>
    <row r="1" spans="1:7" ht="15.65" x14ac:dyDescent="0.3">
      <c r="A1" s="3" t="s">
        <v>0</v>
      </c>
      <c r="B1" s="4">
        <v>0.06</v>
      </c>
      <c r="C1" s="1"/>
      <c r="D1" s="26" t="s">
        <v>1</v>
      </c>
      <c r="E1" s="25">
        <f>PRICE(DATE(2000,1,1),DATE(2020,1,1),0,$B1,1000,2)</f>
        <v>306.55684077380687</v>
      </c>
      <c r="F1" s="25">
        <f>1000/(1+($B1/2))^(20*2)</f>
        <v>306.55684077380687</v>
      </c>
      <c r="G1" s="14"/>
    </row>
    <row r="2" spans="1:7" ht="15.65" x14ac:dyDescent="0.3">
      <c r="A2" s="3" t="s">
        <v>0</v>
      </c>
      <c r="B2" s="4">
        <v>0.08</v>
      </c>
      <c r="C2" s="1"/>
      <c r="D2" s="26" t="s">
        <v>1</v>
      </c>
      <c r="E2" s="25">
        <f t="shared" ref="E2:E3" si="0">PRICE(DATE(2000,1,1),DATE(2020,1,1),0,$B2,1000,2)</f>
        <v>208.28904466294102</v>
      </c>
      <c r="F2" s="25">
        <f t="shared" ref="F2:F3" si="1">1000/(1+($B2/2))^(20*2)</f>
        <v>208.28904466294102</v>
      </c>
      <c r="G2" s="14"/>
    </row>
    <row r="3" spans="1:7" ht="15.65" x14ac:dyDescent="0.3">
      <c r="A3" s="3" t="s">
        <v>0</v>
      </c>
      <c r="B3" s="4">
        <v>0.1</v>
      </c>
      <c r="C3" s="1"/>
      <c r="D3" s="26" t="s">
        <v>1</v>
      </c>
      <c r="E3" s="25">
        <f t="shared" si="0"/>
        <v>142.04568230027783</v>
      </c>
      <c r="F3" s="25">
        <f t="shared" si="1"/>
        <v>142.04568230027783</v>
      </c>
      <c r="G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38C0-C81A-4D76-86A4-D972905AB711}">
  <dimension ref="A1:F3"/>
  <sheetViews>
    <sheetView showGridLines="0" zoomScale="145" zoomScaleNormal="145" workbookViewId="0">
      <selection activeCell="F1" sqref="F1"/>
    </sheetView>
  </sheetViews>
  <sheetFormatPr defaultRowHeight="15.05" x14ac:dyDescent="0.3"/>
  <cols>
    <col min="5" max="6" width="10.44140625" bestFit="1" customWidth="1"/>
  </cols>
  <sheetData>
    <row r="1" spans="1:6" ht="15.65" x14ac:dyDescent="0.3">
      <c r="A1" s="3" t="s">
        <v>0</v>
      </c>
      <c r="B1" s="4">
        <v>7.0000000000000007E-2</v>
      </c>
      <c r="C1" s="1"/>
      <c r="D1" s="26" t="s">
        <v>1</v>
      </c>
      <c r="E1" s="25">
        <f>PRICE(DATE(2000,1,1),DATE(2015,1,1),0.07,$B1,100,2)*10</f>
        <v>1000.0000000000017</v>
      </c>
      <c r="F1" s="25">
        <f>35*((1-(1/(1+0.035))^30)/0.035)+1000*(1/(1+0.035)^30)</f>
        <v>1000</v>
      </c>
    </row>
    <row r="2" spans="1:6" ht="15.65" x14ac:dyDescent="0.3">
      <c r="A2" s="3" t="s">
        <v>0</v>
      </c>
      <c r="B2" s="4">
        <v>0.09</v>
      </c>
      <c r="C2" s="1"/>
      <c r="D2" s="26" t="s">
        <v>1</v>
      </c>
      <c r="E2" s="25">
        <f t="shared" ref="E2:E3" si="0">PRICE(DATE(2000,1,1),DATE(2015,1,1),0.07,$B2,100,2)*10</f>
        <v>837.11111455711318</v>
      </c>
      <c r="F2" s="25">
        <f>35*((1-(1/(1+0.045))^30)/0.045)+1000*(1/(1+0.045)^30)</f>
        <v>837.1111145571117</v>
      </c>
    </row>
    <row r="3" spans="1:6" ht="15.65" x14ac:dyDescent="0.3">
      <c r="A3" s="3" t="s">
        <v>0</v>
      </c>
      <c r="B3" s="4">
        <v>0.05</v>
      </c>
      <c r="C3" s="1"/>
      <c r="D3" s="26" t="s">
        <v>1</v>
      </c>
      <c r="E3" s="25">
        <f t="shared" si="0"/>
        <v>1209.3029259276134</v>
      </c>
      <c r="F3" s="25">
        <f>35*((1-(1/(1+0.025))^30)/0.025)+1000*(1/(1+0.025)^30)</f>
        <v>1209.3029259276113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22CB-5A09-4EFC-9AF6-D9DC7B06F8F2}">
  <dimension ref="A1:C2"/>
  <sheetViews>
    <sheetView showGridLines="0" zoomScale="145" zoomScaleNormal="145" workbookViewId="0">
      <selection activeCell="E7" sqref="E7"/>
    </sheetView>
  </sheetViews>
  <sheetFormatPr defaultRowHeight="15.05" x14ac:dyDescent="0.3"/>
  <sheetData>
    <row r="1" spans="1:3" ht="15.65" x14ac:dyDescent="0.3">
      <c r="A1" s="27" t="s">
        <v>0</v>
      </c>
      <c r="B1" s="28">
        <f>YIELD(DATE(2000,1,1),DATE(2015-2,1,1),0.062,100*0.98,100,2)</f>
        <v>6.4293164520414073E-2</v>
      </c>
      <c r="C1" s="28">
        <f>RATE(13*2,((1000*0.062)/2),-(1000*0.98),1000)*2</f>
        <v>6.4293164521961432E-2</v>
      </c>
    </row>
    <row r="2" spans="1:3" x14ac:dyDescent="0.3">
      <c r="B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6248-71F1-4BF7-B34E-2AB11C9AD049}">
  <dimension ref="A1:E5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4" bestFit="1" customWidth="1"/>
    <col min="2" max="2" width="8.33203125" bestFit="1" customWidth="1"/>
    <col min="3" max="3" width="7.6640625" customWidth="1"/>
    <col min="4" max="4" width="7" bestFit="1" customWidth="1"/>
    <col min="5" max="5" width="7.6640625" bestFit="1" customWidth="1"/>
  </cols>
  <sheetData>
    <row r="1" spans="1:5" ht="15.65" x14ac:dyDescent="0.3">
      <c r="A1" s="24" t="s">
        <v>3</v>
      </c>
      <c r="B1" s="25">
        <v>37.485401087633363</v>
      </c>
      <c r="C1" s="2"/>
      <c r="D1" s="3" t="s">
        <v>1</v>
      </c>
      <c r="E1" s="32">
        <f>B1*PV(0.068/2,11.5*2,-1)+PV(0.068/2,11.5*2,,-1000)</f>
        <v>1055.00000000006</v>
      </c>
    </row>
    <row r="2" spans="1:5" ht="15.65" x14ac:dyDescent="0.3">
      <c r="A2" s="27" t="s">
        <v>2</v>
      </c>
      <c r="B2" s="31">
        <f>(B1*2)/1000</f>
        <v>7.4970802175266721E-2</v>
      </c>
      <c r="C2" s="13"/>
      <c r="D2" s="1"/>
      <c r="E2" s="1"/>
    </row>
    <row r="4" spans="1:5" x14ac:dyDescent="0.3">
      <c r="D4" s="14"/>
    </row>
    <row r="5" spans="1:5" x14ac:dyDescent="0.3">
      <c r="B5" s="29"/>
      <c r="D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5D2F-52EE-4250-AB04-D8812174094C}">
  <dimension ref="A1:C1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4.109375" bestFit="1" customWidth="1"/>
    <col min="2" max="3" width="10.88671875" bestFit="1" customWidth="1"/>
  </cols>
  <sheetData>
    <row r="1" spans="1:3" ht="15.65" x14ac:dyDescent="0.3">
      <c r="A1" s="27" t="s">
        <v>4</v>
      </c>
      <c r="B1" s="33">
        <f>PRICE(DATE(2000,1,1),DATE(2015,1,1),0.051,0.043,100,1)*10</f>
        <v>1087.1099290663774</v>
      </c>
      <c r="C1" s="33">
        <f>51*((1-(1/(1+0.043))^15)/0.043)+1000*(1/(1+0.043)^15)</f>
        <v>1087.1099290663769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BE73-9EF4-474E-82AC-52E2D8CD178A}">
  <dimension ref="A1:C1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5.88671875" bestFit="1" customWidth="1"/>
    <col min="2" max="2" width="7" bestFit="1" customWidth="1"/>
  </cols>
  <sheetData>
    <row r="1" spans="1:3" ht="15.65" x14ac:dyDescent="0.3">
      <c r="A1" s="27" t="s">
        <v>0</v>
      </c>
      <c r="B1" s="28">
        <f>YIELD(DATE(2000,1,1),DATE(2017,1,1),0.028,100*1.06,100,1)</f>
        <v>2.367186943286308E-2</v>
      </c>
      <c r="C1" s="28">
        <f>RATE(17,100000*0.028,-100000*1.06,100000)</f>
        <v>2.3671869432873242E-2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676C-81A1-46DC-8E28-DAC428695D8F}">
  <dimension ref="A1:D1"/>
  <sheetViews>
    <sheetView showGridLines="0" zoomScale="145" zoomScaleNormal="145" workbookViewId="0">
      <selection activeCell="E7" sqref="E7"/>
    </sheetView>
  </sheetViews>
  <sheetFormatPr defaultRowHeight="15.05" x14ac:dyDescent="0.3"/>
  <cols>
    <col min="2" max="3" width="9.88671875" bestFit="1" customWidth="1"/>
    <col min="4" max="4" width="9.44140625" bestFit="1" customWidth="1"/>
  </cols>
  <sheetData>
    <row r="1" spans="1:4" ht="15.65" x14ac:dyDescent="0.3">
      <c r="A1" s="27" t="s">
        <v>1</v>
      </c>
      <c r="B1" s="34">
        <f>PRICE(DATE(2000,1,1),DATE(2013,1,1),0,0.045,10000,2)</f>
        <v>5607.299665976675</v>
      </c>
      <c r="C1" s="34">
        <f>10000/(1+(0.045/2))^(13*2)</f>
        <v>5607.299665976675</v>
      </c>
      <c r="D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37EE-826D-4E5D-9644-BBC6390EA4DD}">
  <dimension ref="A1:D1"/>
  <sheetViews>
    <sheetView showGridLines="0" zoomScale="145" zoomScaleNormal="145" workbookViewId="0">
      <selection activeCell="E7" sqref="E7"/>
    </sheetView>
  </sheetViews>
  <sheetFormatPr defaultRowHeight="15.05" x14ac:dyDescent="0.3"/>
  <cols>
    <col min="2" max="3" width="9.88671875" bestFit="1" customWidth="1"/>
    <col min="4" max="4" width="9.44140625" bestFit="1" customWidth="1"/>
  </cols>
  <sheetData>
    <row r="1" spans="1:4" ht="15.65" x14ac:dyDescent="0.3">
      <c r="A1" s="27" t="s">
        <v>1</v>
      </c>
      <c r="B1" s="34">
        <f>PRICE(DATE(2000,1,1),DATE(2013,1,1),0.049,0.054,100,2)*2*10</f>
        <v>1907.4497296650418</v>
      </c>
      <c r="C1" s="34">
        <f>(2000*(0.049/2))*((1-(1/(1+(0.054/2)))^26)/(0.054/2))+2000*(1/(1+(0.054/2))^26)</f>
        <v>1907.4497296650386</v>
      </c>
      <c r="D1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81E0-6726-406E-BF35-1EE3E97C0332}">
  <dimension ref="A1:C1"/>
  <sheetViews>
    <sheetView showGridLines="0" zoomScale="145" zoomScaleNormal="145" workbookViewId="0">
      <selection activeCell="E7" sqref="E7"/>
    </sheetView>
  </sheetViews>
  <sheetFormatPr defaultRowHeight="15.05" x14ac:dyDescent="0.3"/>
  <cols>
    <col min="2" max="3" width="9.88671875" bestFit="1" customWidth="1"/>
  </cols>
  <sheetData>
    <row r="1" spans="1:3" ht="15.65" x14ac:dyDescent="0.3">
      <c r="A1" s="27" t="s">
        <v>1</v>
      </c>
      <c r="B1" s="34">
        <f>PRICE(DATE(2000,1,1),DATE(2012,1,1),0.029,0.034,100,2)*50</f>
        <v>4755.3405384893049</v>
      </c>
      <c r="C1" s="34">
        <f>(5000*(0.029/2))*((1-(1/(1+(0.034/2)))^24)/(0.034/2))+5000*(1/(1+(0.034/2))^24)</f>
        <v>4755.3405384893003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8576-3D19-4DE0-96B1-42E63EAB9A97}">
  <dimension ref="A1:B2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3.88671875" bestFit="1" customWidth="1"/>
  </cols>
  <sheetData>
    <row r="1" spans="1:2" ht="15.65" x14ac:dyDescent="0.3">
      <c r="A1" s="3" t="s">
        <v>5</v>
      </c>
      <c r="B1" s="28">
        <f>0.0415-0.027</f>
        <v>1.4500000000000002E-2</v>
      </c>
    </row>
    <row r="2" spans="1:2" ht="15.65" x14ac:dyDescent="0.3">
      <c r="A2" s="3" t="s">
        <v>6</v>
      </c>
      <c r="B2" s="28">
        <f>(1+0.0415)/(1+0.027)-1</f>
        <v>1.4118792599805419E-2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2A5B-DB2D-4C8E-843D-893804BF9809}">
  <dimension ref="A1:C1"/>
  <sheetViews>
    <sheetView showGridLines="0" zoomScale="145" zoomScaleNormal="145" workbookViewId="0">
      <selection activeCell="C1" sqref="C1"/>
    </sheetView>
  </sheetViews>
  <sheetFormatPr defaultRowHeight="15.05" x14ac:dyDescent="0.3"/>
  <sheetData>
    <row r="1" spans="1:3" ht="15.65" x14ac:dyDescent="0.3">
      <c r="A1" s="27" t="s">
        <v>7</v>
      </c>
      <c r="B1" s="28">
        <f>(1+0.0225)*(1+0.032)-1</f>
        <v>5.5220000000000047E-2</v>
      </c>
      <c r="C1" s="74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C5D-7AD1-4518-A304-73F1A3B3D2BA}">
  <dimension ref="A1:E1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7" bestFit="1" customWidth="1"/>
    <col min="4" max="4" width="11.88671875" bestFit="1" customWidth="1"/>
  </cols>
  <sheetData>
    <row r="1" spans="1:5" ht="15.65" x14ac:dyDescent="0.3">
      <c r="A1" s="27" t="s">
        <v>8</v>
      </c>
      <c r="B1" s="4">
        <f>(1+0.12)/(1+E1)-1</f>
        <v>7.005881778793932E-2</v>
      </c>
      <c r="C1" s="1"/>
      <c r="D1" s="3" t="s">
        <v>9</v>
      </c>
      <c r="E1" s="28">
        <v>4.6671436543367521E-2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A02B-4D36-460D-8747-FC15820A409D}">
  <dimension ref="A1:B1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20.6640625" bestFit="1" customWidth="1"/>
  </cols>
  <sheetData>
    <row r="1" spans="1:2" ht="15.65" x14ac:dyDescent="0.3">
      <c r="A1" s="27" t="s">
        <v>10</v>
      </c>
      <c r="B1" s="28">
        <f>(1+0.1208)/(1+0.046)-1</f>
        <v>7.1510516252390133E-2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3E74-32B7-496B-A286-A1DCEEC2F451}">
  <dimension ref="A1:C7"/>
  <sheetViews>
    <sheetView showGridLines="0" zoomScale="145" zoomScaleNormal="145" workbookViewId="0">
      <selection activeCell="B8" sqref="B8"/>
    </sheetView>
  </sheetViews>
  <sheetFormatPr defaultRowHeight="15.05" x14ac:dyDescent="0.3"/>
  <cols>
    <col min="1" max="1" width="24.88671875" bestFit="1" customWidth="1"/>
    <col min="2" max="3" width="10.88671875" bestFit="1" customWidth="1"/>
  </cols>
  <sheetData>
    <row r="1" spans="1:3" ht="15.65" x14ac:dyDescent="0.3">
      <c r="A1" s="3" t="s">
        <v>11</v>
      </c>
      <c r="B1" s="34">
        <f>(129.1328/100)*10000</f>
        <v>12913.28</v>
      </c>
      <c r="C1" s="1"/>
    </row>
    <row r="2" spans="1:3" ht="15.65" x14ac:dyDescent="0.3">
      <c r="A2" s="3" t="s">
        <v>12</v>
      </c>
      <c r="B2" s="3">
        <f>129.1953+0.1484</f>
        <v>129.34370000000001</v>
      </c>
      <c r="C2" s="34">
        <f>(B2/100)*10000</f>
        <v>12934.37</v>
      </c>
    </row>
    <row r="4" spans="1:3" ht="15.65" x14ac:dyDescent="0.3">
      <c r="A4" s="3" t="s">
        <v>13</v>
      </c>
      <c r="B4" s="34">
        <f>(128.4688/100)*10000</f>
        <v>12846.88</v>
      </c>
      <c r="C4" s="1"/>
    </row>
    <row r="5" spans="1:3" ht="15.65" x14ac:dyDescent="0.3">
      <c r="A5" s="3" t="s">
        <v>14</v>
      </c>
      <c r="B5" s="35">
        <f>(10000*0.04375)/B4</f>
        <v>3.4054961204588195E-2</v>
      </c>
      <c r="C5" s="1"/>
    </row>
    <row r="6" spans="1:3" ht="15.65" x14ac:dyDescent="0.3">
      <c r="A6" s="3" t="s">
        <v>0</v>
      </c>
      <c r="B6" s="35">
        <f>0.02665</f>
        <v>2.665E-2</v>
      </c>
      <c r="C6" s="1"/>
    </row>
    <row r="7" spans="1:3" ht="15.65" x14ac:dyDescent="0.3">
      <c r="A7" s="3" t="s">
        <v>15</v>
      </c>
      <c r="B7" s="3">
        <f>128.4688-128.4063</f>
        <v>6.25E-2</v>
      </c>
      <c r="C7" s="34">
        <f>(B7/100)*10000</f>
        <v>6.25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985-E96C-4350-B84B-DC72EA642D91}">
  <dimension ref="A1:E3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5.44140625" bestFit="1" customWidth="1"/>
    <col min="4" max="4" width="1.109375" customWidth="1"/>
    <col min="5" max="5" width="12.33203125" bestFit="1" customWidth="1"/>
  </cols>
  <sheetData>
    <row r="1" spans="1:5" ht="15.65" x14ac:dyDescent="0.3">
      <c r="A1" s="39" t="s">
        <v>17</v>
      </c>
      <c r="B1" s="40"/>
      <c r="C1" s="40"/>
      <c r="D1" s="41"/>
      <c r="E1" s="36">
        <f>PRICE(DATE(2000,1,1),DATE(2020,1,1),0,0.057,1000,2)</f>
        <v>324.95869259595929</v>
      </c>
    </row>
    <row r="2" spans="1:5" ht="15.65" x14ac:dyDescent="0.3">
      <c r="A2" s="39" t="s">
        <v>18</v>
      </c>
      <c r="B2" s="40"/>
      <c r="C2" s="40"/>
      <c r="D2" s="41"/>
      <c r="E2" s="36">
        <f>PRICE(DATE(2000,1,1),DATE(2019,1,1),0,0.057,1000,2)</f>
        <v>343.74528577199004</v>
      </c>
    </row>
    <row r="3" spans="1:5" ht="15.65" x14ac:dyDescent="0.3">
      <c r="A3" s="42" t="s">
        <v>16</v>
      </c>
      <c r="B3" s="37"/>
      <c r="C3" s="37"/>
      <c r="D3" s="38"/>
      <c r="E3" s="43">
        <f>E2-E1</f>
        <v>18.786593176030749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65C2-5935-4F30-8C66-8170E7C948F4}">
  <dimension ref="A1:I8"/>
  <sheetViews>
    <sheetView showGridLines="0" zoomScale="145" zoomScaleNormal="145" workbookViewId="0"/>
  </sheetViews>
  <sheetFormatPr defaultRowHeight="15.05" x14ac:dyDescent="0.3"/>
  <cols>
    <col min="1" max="1" width="15.5546875" bestFit="1" customWidth="1"/>
    <col min="2" max="2" width="10.33203125" bestFit="1" customWidth="1"/>
    <col min="4" max="4" width="11.109375" bestFit="1" customWidth="1"/>
    <col min="7" max="7" width="16.109375" bestFit="1" customWidth="1"/>
    <col min="8" max="8" width="17.44140625" customWidth="1"/>
    <col min="9" max="9" width="17.88671875" bestFit="1" customWidth="1"/>
  </cols>
  <sheetData>
    <row r="1" spans="1:9" ht="30.7" x14ac:dyDescent="0.3">
      <c r="A1" s="27" t="s">
        <v>19</v>
      </c>
      <c r="B1" s="1"/>
      <c r="C1" s="1"/>
      <c r="D1" s="8">
        <v>36526</v>
      </c>
      <c r="G1" s="44" t="s">
        <v>21</v>
      </c>
      <c r="H1" s="45" t="s">
        <v>22</v>
      </c>
      <c r="I1" s="45" t="s">
        <v>23</v>
      </c>
    </row>
    <row r="2" spans="1:9" ht="15.65" x14ac:dyDescent="0.3">
      <c r="A2" s="46" t="s">
        <v>1</v>
      </c>
      <c r="B2" s="34">
        <f>PRICE(D1,DATE(2013,1,1),0.065,0.053,100,2)*10</f>
        <v>1111.7126745243797</v>
      </c>
      <c r="C2" s="1"/>
      <c r="D2" s="1"/>
      <c r="G2" s="1"/>
      <c r="H2" s="7">
        <f>B2</f>
        <v>1111.7126745243797</v>
      </c>
      <c r="I2" s="7">
        <f>B4</f>
        <v>895.76060272822315</v>
      </c>
    </row>
    <row r="3" spans="1:9" ht="15.65" x14ac:dyDescent="0.3">
      <c r="A3" s="27" t="s">
        <v>20</v>
      </c>
      <c r="B3" s="1"/>
      <c r="C3" s="1"/>
      <c r="D3" s="1"/>
      <c r="F3" s="12">
        <v>0</v>
      </c>
      <c r="G3" s="9">
        <v>36526</v>
      </c>
      <c r="H3" s="10">
        <f t="dataTable" ref="H3:I7" dt2D="0" dtr="0" r1="D1"/>
        <v>1111.7126745243797</v>
      </c>
      <c r="I3" s="10">
        <v>895.76060272822315</v>
      </c>
    </row>
    <row r="4" spans="1:9" ht="15.65" x14ac:dyDescent="0.3">
      <c r="A4" s="46" t="s">
        <v>1</v>
      </c>
      <c r="B4" s="34">
        <f>PRICE(D1,DATE(2013,1,1),0.053,0.065,100,2)*10</f>
        <v>895.76060272822315</v>
      </c>
      <c r="C4" s="1"/>
      <c r="D4" s="1"/>
      <c r="F4" s="12">
        <v>1</v>
      </c>
      <c r="G4" s="9">
        <v>36892</v>
      </c>
      <c r="H4" s="10">
        <v>1105.5528964998564</v>
      </c>
      <c r="I4" s="10">
        <v>901.06993904218939</v>
      </c>
    </row>
    <row r="5" spans="1:9" ht="15.65" x14ac:dyDescent="0.3">
      <c r="F5" s="12">
        <v>3</v>
      </c>
      <c r="G5" s="9">
        <v>37622</v>
      </c>
      <c r="H5" s="10">
        <v>1092.2231942537246</v>
      </c>
      <c r="I5" s="10">
        <v>912.76392311839481</v>
      </c>
    </row>
    <row r="6" spans="1:9" ht="15.65" x14ac:dyDescent="0.3">
      <c r="F6" s="12">
        <v>8</v>
      </c>
      <c r="G6" s="9">
        <v>39448</v>
      </c>
      <c r="H6" s="10">
        <v>1052.1076885372245</v>
      </c>
      <c r="I6" s="10">
        <v>949.46562951730903</v>
      </c>
    </row>
    <row r="7" spans="1:9" ht="15.65" x14ac:dyDescent="0.3">
      <c r="F7" s="12">
        <v>12</v>
      </c>
      <c r="G7" s="9">
        <v>40909</v>
      </c>
      <c r="H7" s="10">
        <v>1011.5393129320927</v>
      </c>
      <c r="I7" s="10">
        <v>988.56064114815706</v>
      </c>
    </row>
    <row r="8" spans="1:9" ht="15.65" x14ac:dyDescent="0.3">
      <c r="F8" s="12">
        <v>13</v>
      </c>
      <c r="G8" s="9">
        <v>41275</v>
      </c>
      <c r="H8" s="11">
        <v>1000</v>
      </c>
      <c r="I8" s="11">
        <v>1000</v>
      </c>
    </row>
  </sheetData>
  <conditionalFormatting sqref="H3:H8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8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BB8C-4CE3-4639-904A-2DE3C4211BD5}">
  <dimension ref="A1:M11"/>
  <sheetViews>
    <sheetView showGridLines="0" zoomScale="145" zoomScaleNormal="145" workbookViewId="0">
      <selection activeCell="H11" sqref="H11"/>
    </sheetView>
  </sheetViews>
  <sheetFormatPr defaultRowHeight="15.05" x14ac:dyDescent="0.3"/>
  <cols>
    <col min="1" max="1" width="10.5546875" bestFit="1" customWidth="1"/>
    <col min="2" max="2" width="7" bestFit="1" customWidth="1"/>
    <col min="6" max="6" width="14.44140625" customWidth="1"/>
    <col min="7" max="7" width="10.6640625" customWidth="1"/>
    <col min="8" max="8" width="9" bestFit="1" customWidth="1"/>
    <col min="11" max="11" width="4.6640625" bestFit="1" customWidth="1"/>
    <col min="12" max="12" width="15.44140625" bestFit="1" customWidth="1"/>
    <col min="13" max="13" width="16.6640625" bestFit="1" customWidth="1"/>
  </cols>
  <sheetData>
    <row r="1" spans="1:13" ht="15.65" x14ac:dyDescent="0.3">
      <c r="A1" s="50" t="s">
        <v>24</v>
      </c>
      <c r="B1" s="48"/>
      <c r="D1" s="8">
        <v>36526</v>
      </c>
      <c r="E1" s="1"/>
      <c r="F1" s="48" t="s">
        <v>26</v>
      </c>
      <c r="G1" s="48"/>
      <c r="H1" s="48"/>
      <c r="K1" s="47" t="s">
        <v>0</v>
      </c>
      <c r="L1" s="47" t="s">
        <v>29</v>
      </c>
      <c r="M1" s="47" t="s">
        <v>30</v>
      </c>
    </row>
    <row r="2" spans="1:13" ht="15.65" x14ac:dyDescent="0.3">
      <c r="A2" s="51" t="s">
        <v>0</v>
      </c>
      <c r="B2" s="52">
        <f>YIELD(D1,DATE(2003,1,1),0.058,100,100,2)</f>
        <v>5.800000000000001E-2</v>
      </c>
      <c r="D2" s="1"/>
      <c r="E2" s="1"/>
      <c r="F2" s="50" t="s">
        <v>24</v>
      </c>
      <c r="G2" s="48"/>
      <c r="H2" s="56" t="s">
        <v>28</v>
      </c>
      <c r="K2" s="15">
        <v>0</v>
      </c>
      <c r="L2" s="2">
        <f>PRICE(DATE(2000,1,1),DATE(2003,1,1),$B$2,$K2,100,2)*10</f>
        <v>1174</v>
      </c>
      <c r="M2" s="2">
        <f>PRICE(DATE(2000,1,1),DATE(2020,1,1),$B$4,$K2,100,2)*10</f>
        <v>2160.0000000000009</v>
      </c>
    </row>
    <row r="3" spans="1:13" ht="15.65" x14ac:dyDescent="0.3">
      <c r="A3" s="50" t="s">
        <v>25</v>
      </c>
      <c r="B3" s="49"/>
      <c r="D3" s="1"/>
      <c r="E3" s="1"/>
      <c r="F3" s="51" t="s">
        <v>1</v>
      </c>
      <c r="G3" s="54">
        <f>PRICE($D$1,DATE(2003,1,1),$B$2,$B$2+0.02,100,2)*10</f>
        <v>947.40754270097659</v>
      </c>
      <c r="H3" s="55">
        <f>($G3-$B7)/$B7</f>
        <v>-5.2592457299023836E-2</v>
      </c>
      <c r="I3" s="30"/>
      <c r="K3" s="15">
        <v>0.02</v>
      </c>
      <c r="L3" s="2">
        <f t="shared" ref="L3:L7" si="0">PRICE(DATE(2000,1,1),DATE(2003,1,1),$B$2,$K3,100,2)*10</f>
        <v>1110.1140530170071</v>
      </c>
      <c r="M3" s="2">
        <f t="shared" ref="M3:M7" si="1">PRICE(DATE(2000,1,1),DATE(2020,1,1),$B$4,$K3,100,2)*10</f>
        <v>1623.8590361651666</v>
      </c>
    </row>
    <row r="4" spans="1:13" ht="15.65" x14ac:dyDescent="0.3">
      <c r="A4" s="51" t="s">
        <v>0</v>
      </c>
      <c r="B4" s="52">
        <f>YIELD(D1,DATE(2020,1,1),0.058,100,100,2)</f>
        <v>5.800000000000001E-2</v>
      </c>
      <c r="D4" s="1"/>
      <c r="E4" s="1"/>
      <c r="F4" s="50" t="s">
        <v>25</v>
      </c>
      <c r="G4" s="48"/>
      <c r="H4" s="56"/>
      <c r="K4" s="15">
        <v>0.04</v>
      </c>
      <c r="L4" s="2">
        <f t="shared" si="0"/>
        <v>1050.4128780162134</v>
      </c>
      <c r="M4" s="2">
        <f t="shared" si="1"/>
        <v>1246.1993131666438</v>
      </c>
    </row>
    <row r="5" spans="1:13" ht="15.65" x14ac:dyDescent="0.3">
      <c r="D5" s="1"/>
      <c r="E5" s="1"/>
      <c r="F5" s="51" t="s">
        <v>1</v>
      </c>
      <c r="G5" s="54">
        <f>PRICE($D$1,DATE(2020,1,1),$B$4,$B$4+0.02,100,2)*10</f>
        <v>799.09236438440769</v>
      </c>
      <c r="H5" s="55">
        <f>($G5-$B9)/$B9</f>
        <v>-0.20090763561559269</v>
      </c>
      <c r="K5" s="15">
        <v>0.06</v>
      </c>
      <c r="L5" s="2">
        <f t="shared" si="0"/>
        <v>994.5828085561219</v>
      </c>
      <c r="M5" s="2">
        <f t="shared" si="1"/>
        <v>976.88522802579405</v>
      </c>
    </row>
    <row r="6" spans="1:13" ht="15.65" x14ac:dyDescent="0.3">
      <c r="A6" s="50" t="s">
        <v>24</v>
      </c>
      <c r="B6" s="48"/>
      <c r="D6" s="1"/>
      <c r="E6" s="1"/>
      <c r="F6" s="48"/>
      <c r="G6" s="48"/>
      <c r="H6" s="48"/>
      <c r="K6" s="15">
        <v>0.08</v>
      </c>
      <c r="L6" s="2">
        <f t="shared" si="0"/>
        <v>942.33649457578986</v>
      </c>
      <c r="M6" s="2">
        <f t="shared" si="1"/>
        <v>782.27948728230842</v>
      </c>
    </row>
    <row r="7" spans="1:13" ht="15.65" x14ac:dyDescent="0.3">
      <c r="A7" s="51" t="s">
        <v>1</v>
      </c>
      <c r="B7" s="53">
        <f>PRICE($D$1,DATE(2003,1,1),B2,B2,100,2)*10</f>
        <v>1000.0000000000005</v>
      </c>
      <c r="D7" s="1"/>
      <c r="E7" s="1"/>
      <c r="F7" s="48" t="s">
        <v>27</v>
      </c>
      <c r="G7" s="48"/>
      <c r="H7" s="48"/>
      <c r="K7" s="15">
        <v>0.1</v>
      </c>
      <c r="L7" s="2">
        <f t="shared" si="0"/>
        <v>893.41046658738378</v>
      </c>
      <c r="M7" s="2">
        <f t="shared" si="1"/>
        <v>639.65918656611666</v>
      </c>
    </row>
    <row r="8" spans="1:13" ht="15.65" x14ac:dyDescent="0.3">
      <c r="A8" s="50" t="s">
        <v>25</v>
      </c>
      <c r="B8" s="48"/>
      <c r="D8" s="1"/>
      <c r="E8" s="1"/>
      <c r="F8" s="50" t="s">
        <v>24</v>
      </c>
      <c r="G8" s="48"/>
      <c r="H8" s="56" t="s">
        <v>28</v>
      </c>
      <c r="L8" s="14"/>
    </row>
    <row r="9" spans="1:13" ht="15.65" x14ac:dyDescent="0.3">
      <c r="A9" s="51" t="s">
        <v>1</v>
      </c>
      <c r="B9" s="53">
        <f>PRICE($D$1,DATE(2003,1,1),B4,B4,100,2)*10</f>
        <v>1000.0000000000005</v>
      </c>
      <c r="D9" s="1"/>
      <c r="E9" s="1"/>
      <c r="F9" s="51" t="s">
        <v>1</v>
      </c>
      <c r="G9" s="54">
        <f>PRICE($D$1,DATE(2003,1,1),$B$2,$B$2-0.02,100,2)*10</f>
        <v>1056.2038349907725</v>
      </c>
      <c r="H9" s="75">
        <f>($G9-$B7)/$B7</f>
        <v>5.6203834990772042E-2</v>
      </c>
    </row>
    <row r="10" spans="1:13" ht="15.65" x14ac:dyDescent="0.3">
      <c r="D10" s="1"/>
      <c r="E10" s="1"/>
      <c r="F10" s="50" t="s">
        <v>25</v>
      </c>
      <c r="G10" s="48"/>
      <c r="H10" s="56"/>
    </row>
    <row r="11" spans="1:13" ht="15.65" x14ac:dyDescent="0.3">
      <c r="D11" s="1"/>
      <c r="E11" s="1"/>
      <c r="F11" s="51" t="s">
        <v>1</v>
      </c>
      <c r="G11" s="54">
        <f>PRICE($D$1,DATE(2020,1,1),$B$4,$B$4-0.02,100,2)*10</f>
        <v>1278.4143555799715</v>
      </c>
      <c r="H11" s="75">
        <f>($G11-$B9)/$B9</f>
        <v>0.27841435557997091</v>
      </c>
    </row>
  </sheetData>
  <conditionalFormatting sqref="L2:L7">
    <cfRule type="colorScale" priority="2">
      <colorScale>
        <cfvo type="min"/>
        <cfvo type="max"/>
        <color rgb="FFFFEF9C"/>
        <color rgb="FF63BE7B"/>
      </colorScale>
    </cfRule>
  </conditionalFormatting>
  <conditionalFormatting sqref="M2:M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39E8-6C50-4900-9130-F172E5A8C4B1}">
  <dimension ref="A1:C11"/>
  <sheetViews>
    <sheetView showGridLines="0" zoomScale="145" zoomScaleNormal="145" workbookViewId="0">
      <selection activeCell="F10" sqref="F10"/>
    </sheetView>
  </sheetViews>
  <sheetFormatPr defaultRowHeight="15.05" x14ac:dyDescent="0.3"/>
  <cols>
    <col min="1" max="1" width="14.5546875" customWidth="1"/>
    <col min="2" max="2" width="10.44140625" bestFit="1" customWidth="1"/>
    <col min="3" max="3" width="8.88671875" bestFit="1" customWidth="1"/>
  </cols>
  <sheetData>
    <row r="1" spans="1:3" ht="15.65" x14ac:dyDescent="0.3">
      <c r="A1" s="1" t="s">
        <v>26</v>
      </c>
      <c r="B1" s="1"/>
      <c r="C1" s="1"/>
    </row>
    <row r="2" spans="1:3" ht="15.65" x14ac:dyDescent="0.3">
      <c r="A2" s="50" t="s">
        <v>31</v>
      </c>
      <c r="B2" s="48"/>
      <c r="C2" s="56" t="s">
        <v>28</v>
      </c>
    </row>
    <row r="3" spans="1:3" ht="15.65" x14ac:dyDescent="0.3">
      <c r="A3" s="51" t="s">
        <v>1</v>
      </c>
      <c r="B3" s="54">
        <f>PRICE(DATE(2000,1,1),DATE(2012,1,1),0.07,0.09+0.02,100,2)*10</f>
        <v>736.9660209504475</v>
      </c>
      <c r="C3" s="55">
        <f>($B3-PRICE(DATE(2000,1,1),DATE(2012,1,1),0.07,0.09,100,2)*10)/(PRICE(DATE(2000,1,1),DATE(2012,1,1),0.07,0.09,100,2)*10)</f>
        <v>-0.13809701888595965</v>
      </c>
    </row>
    <row r="4" spans="1:3" ht="15.65" x14ac:dyDescent="0.3">
      <c r="A4" s="50" t="s">
        <v>32</v>
      </c>
      <c r="B4" s="48"/>
      <c r="C4" s="56"/>
    </row>
    <row r="5" spans="1:3" ht="15.65" x14ac:dyDescent="0.3">
      <c r="A5" s="51" t="s">
        <v>1</v>
      </c>
      <c r="B5" s="54">
        <f>PRICE(DATE(2000,1,1),DATE(2012,1,1),0.11,0.09+0.02,100,2)*10</f>
        <v>1000.0000000000006</v>
      </c>
      <c r="C5" s="55">
        <f>($B5-PRICE(DATE(2000,1,1),DATE(2012,1,1),0.11,0.09,100,2)*10)/(PRICE(DATE(2000,1,1),DATE(2012,1,1),0.11,0.09,100,2)*10)</f>
        <v>-0.1266030639192032</v>
      </c>
    </row>
    <row r="6" spans="1:3" ht="15.65" x14ac:dyDescent="0.3">
      <c r="A6" s="48"/>
      <c r="B6" s="48"/>
      <c r="C6" s="48"/>
    </row>
    <row r="7" spans="1:3" ht="15.65" x14ac:dyDescent="0.3">
      <c r="A7" s="48" t="s">
        <v>27</v>
      </c>
      <c r="B7" s="48"/>
      <c r="C7" s="48"/>
    </row>
    <row r="8" spans="1:3" ht="15.65" x14ac:dyDescent="0.3">
      <c r="A8" s="50" t="s">
        <v>24</v>
      </c>
      <c r="B8" s="48"/>
      <c r="C8" s="56" t="s">
        <v>28</v>
      </c>
    </row>
    <row r="9" spans="1:3" ht="15.65" x14ac:dyDescent="0.3">
      <c r="A9" s="51" t="s">
        <v>1</v>
      </c>
      <c r="B9" s="54">
        <f>PRICE(DATE(2000,1,1),DATE(2012,1,1),0.07,0.09-0.02,100,2)*10</f>
        <v>1000.0000000000014</v>
      </c>
      <c r="C9" s="75">
        <f>($B9-PRICE(DATE(2000,1,1),DATE(2012,1,1),0.07,0.09,100,2)*10)/(PRICE(DATE(2000,1,1),DATE(2012,1,1),0.07,0.09,100,2)*10)</f>
        <v>0.1695287932033363</v>
      </c>
    </row>
    <row r="10" spans="1:3" ht="15.65" x14ac:dyDescent="0.3">
      <c r="A10" s="50" t="s">
        <v>25</v>
      </c>
      <c r="B10" s="48"/>
      <c r="C10" s="56"/>
    </row>
    <row r="11" spans="1:3" ht="15.65" x14ac:dyDescent="0.3">
      <c r="A11" s="51" t="s">
        <v>1</v>
      </c>
      <c r="B11" s="54">
        <f>PRICE(DATE(2000,1,1),DATE(2012,1,1),0.11,0.09-0.02,100,2)*10</f>
        <v>1321.1673520603231</v>
      </c>
      <c r="C11" s="75">
        <f>($B11-PRICE(DATE(2000,1,1),DATE(2012,1,1),0.11,0.09,100,2)*10)/(PRICE(DATE(2000,1,1),DATE(2012,1,1),0.11,0.09,100,2)*10)</f>
        <v>0.15390351733946492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8562-A489-4990-954F-5F30CA7F05F1}">
  <dimension ref="A1:B4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21.5546875" bestFit="1" customWidth="1"/>
    <col min="2" max="2" width="10.44140625" bestFit="1" customWidth="1"/>
  </cols>
  <sheetData>
    <row r="1" spans="1:2" ht="15.65" x14ac:dyDescent="0.3">
      <c r="A1" s="3" t="s">
        <v>0</v>
      </c>
      <c r="B1" s="57">
        <f>YIELD(DATE(2000,1,1),DATE(2013,1,1),0.059,100*1.04,100,2)</f>
        <v>5.4661291072246092E-2</v>
      </c>
    </row>
    <row r="2" spans="1:2" ht="15.65" x14ac:dyDescent="0.3">
      <c r="A2" s="3" t="s">
        <v>1</v>
      </c>
      <c r="B2" s="58">
        <f>PRICE(DATE(2000,1,1),DATE(2013,1,1),0.059,B1,100,2)*10</f>
        <v>1040.0000000004334</v>
      </c>
    </row>
    <row r="3" spans="1:2" ht="15.65" x14ac:dyDescent="0.3">
      <c r="A3" s="3" t="s">
        <v>14</v>
      </c>
      <c r="B3" s="57">
        <f>(0.059*1000)/B2</f>
        <v>5.673076923074559E-2</v>
      </c>
    </row>
    <row r="4" spans="1:2" ht="15.65" x14ac:dyDescent="0.3">
      <c r="A4" s="3" t="s">
        <v>33</v>
      </c>
      <c r="B4" s="57">
        <f>EFFECT(B1,2)</f>
        <v>5.5408255257667349E-2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A1A3-3DBE-42D3-ABB8-DD698305BA0E}">
  <dimension ref="A1:F3"/>
  <sheetViews>
    <sheetView showGridLines="0" zoomScale="145" zoomScaleNormal="145" workbookViewId="0">
      <selection activeCell="B3" sqref="B3"/>
    </sheetView>
  </sheetViews>
  <sheetFormatPr defaultRowHeight="15.05" x14ac:dyDescent="0.3"/>
  <cols>
    <col min="2" max="2" width="7.6640625" bestFit="1" customWidth="1"/>
    <col min="5" max="5" width="14.109375" customWidth="1"/>
    <col min="6" max="6" width="7" bestFit="1" customWidth="1"/>
  </cols>
  <sheetData>
    <row r="1" spans="1:6" ht="15.65" x14ac:dyDescent="0.3">
      <c r="A1" s="3" t="s">
        <v>0</v>
      </c>
      <c r="B1" s="28">
        <f>YIELD(DATE(2000,1,1),DATE(2020,1,1),0.057,100*1.048,100,2)</f>
        <v>5.3076008232247375E-2</v>
      </c>
      <c r="C1" s="1"/>
      <c r="D1" s="1"/>
      <c r="E1" s="3" t="s">
        <v>2</v>
      </c>
      <c r="F1" s="60">
        <v>5.30760082323809E-2</v>
      </c>
    </row>
    <row r="2" spans="1:6" ht="15.65" x14ac:dyDescent="0.3">
      <c r="A2" s="3" t="s">
        <v>1</v>
      </c>
      <c r="B2" s="32">
        <f>PRICE(DATE(2000,1,1),DATE(2020,1,1),0.057,B1,100,2)*10</f>
        <v>1048.0000000146424</v>
      </c>
      <c r="C2" s="1"/>
      <c r="D2" s="1"/>
      <c r="E2" s="1"/>
      <c r="F2" s="1"/>
    </row>
    <row r="3" spans="1:6" ht="15.65" x14ac:dyDescent="0.3">
      <c r="A3" s="3" t="s">
        <v>1</v>
      </c>
      <c r="B3" s="59">
        <f>PRICE(DATE(2000,1,1),DATE(2020,1,1),F1,B1,100,2)*10</f>
        <v>1000.0000000016354</v>
      </c>
      <c r="C3" s="1"/>
      <c r="D3" s="1"/>
      <c r="E3" s="1"/>
      <c r="F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8680-8245-41BA-B5B0-ED16B5E39F82}">
  <dimension ref="A1:B2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7.5546875" bestFit="1" customWidth="1"/>
  </cols>
  <sheetData>
    <row r="1" spans="1:2" ht="15.65" x14ac:dyDescent="0.3">
      <c r="A1" s="51" t="s">
        <v>34</v>
      </c>
      <c r="B1" s="34">
        <f>ACCRINT(DATE(2000,1,1),DATE(2000,6,1),DATE(2000,4,31),0.064,1000,2,,TRUE)</f>
        <v>21.333333333333332</v>
      </c>
    </row>
    <row r="2" spans="1:2" ht="15.65" x14ac:dyDescent="0.3">
      <c r="A2" s="27" t="s">
        <v>35</v>
      </c>
      <c r="B2" s="61">
        <f>943-B1</f>
        <v>921.66666666666663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D49B-6848-4280-A6CE-0784E2B6BB1F}">
  <dimension ref="A1:B2"/>
  <sheetViews>
    <sheetView showGridLines="0" zoomScale="145" zoomScaleNormal="145" workbookViewId="0">
      <selection activeCell="E7" sqref="E7"/>
    </sheetView>
  </sheetViews>
  <sheetFormatPr defaultRowHeight="15.05" x14ac:dyDescent="0.3"/>
  <cols>
    <col min="1" max="1" width="16.5546875" bestFit="1" customWidth="1"/>
    <col min="2" max="2" width="9.88671875" bestFit="1" customWidth="1"/>
  </cols>
  <sheetData>
    <row r="1" spans="1:2" ht="15.65" x14ac:dyDescent="0.3">
      <c r="A1" s="51" t="s">
        <v>34</v>
      </c>
      <c r="B1" s="34">
        <f>ACCRINT(DATE(2000,1,1),DATE(2000,6,1),DATE(2000,2,30),0.071,1000,2,,TRUE)</f>
        <v>11.833333333333332</v>
      </c>
    </row>
    <row r="2" spans="1:2" ht="15.65" x14ac:dyDescent="0.3">
      <c r="A2" s="27" t="s">
        <v>36</v>
      </c>
      <c r="B2" s="61">
        <f>992+B1</f>
        <v>1003.8333333333334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700F-8EC5-4B1F-9EFC-BDDF1DFB0B6A}">
  <dimension ref="A1:H4"/>
  <sheetViews>
    <sheetView showGridLines="0" zoomScale="145" zoomScaleNormal="145" workbookViewId="0">
      <selection activeCell="E7" sqref="E7"/>
    </sheetView>
  </sheetViews>
  <sheetFormatPr defaultRowHeight="15.05" x14ac:dyDescent="0.3"/>
  <cols>
    <col min="2" max="2" width="10.44140625" bestFit="1" customWidth="1"/>
    <col min="7" max="7" width="4.88671875" bestFit="1" customWidth="1"/>
  </cols>
  <sheetData>
    <row r="1" spans="1:8" ht="15.65" x14ac:dyDescent="0.3">
      <c r="A1" s="3" t="s">
        <v>1</v>
      </c>
      <c r="B1" s="25">
        <f>(1000*0.09)/0.0842</f>
        <v>1068.8836104513064</v>
      </c>
      <c r="C1" s="1"/>
      <c r="D1" s="1"/>
      <c r="E1" s="1"/>
      <c r="F1" s="1"/>
      <c r="G1" s="62"/>
      <c r="H1" s="1"/>
    </row>
    <row r="2" spans="1:8" ht="15.65" x14ac:dyDescent="0.3">
      <c r="A2" s="51" t="s">
        <v>70</v>
      </c>
      <c r="B2" s="63">
        <f>NPER(0.0781,1000*0.09,-B1,1000)</f>
        <v>8.0004390857797283</v>
      </c>
      <c r="C2" s="48" t="s">
        <v>38</v>
      </c>
      <c r="D2" s="1"/>
      <c r="E2" s="1"/>
      <c r="F2" s="1"/>
      <c r="G2" s="1"/>
      <c r="H2" s="1"/>
    </row>
    <row r="3" spans="1:8" ht="15.65" x14ac:dyDescent="0.3">
      <c r="A3" s="1"/>
      <c r="B3" s="1"/>
      <c r="C3" s="1"/>
      <c r="D3" s="1"/>
      <c r="E3" s="1"/>
      <c r="F3" s="1"/>
      <c r="G3" s="1"/>
      <c r="H3" s="1"/>
    </row>
    <row r="4" spans="1:8" ht="15.65" x14ac:dyDescent="0.3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DE8D-56B9-4BD6-9259-442F0FCFF7A9}">
  <dimension ref="A1:G2"/>
  <sheetViews>
    <sheetView showGridLines="0" zoomScale="145" zoomScaleNormal="145" workbookViewId="0">
      <selection activeCell="D2" sqref="D2"/>
    </sheetView>
  </sheetViews>
  <sheetFormatPr defaultRowHeight="15.05" x14ac:dyDescent="0.3"/>
  <cols>
    <col min="1" max="1" width="16" bestFit="1" customWidth="1"/>
    <col min="2" max="2" width="7.77734375" bestFit="1" customWidth="1"/>
    <col min="3" max="3" width="8.88671875" bestFit="1" customWidth="1"/>
    <col min="4" max="4" width="8" bestFit="1" customWidth="1"/>
    <col min="5" max="5" width="7.33203125" bestFit="1" customWidth="1"/>
    <col min="6" max="6" width="8.109375" bestFit="1" customWidth="1"/>
    <col min="7" max="7" width="7.6640625" bestFit="1" customWidth="1"/>
  </cols>
  <sheetData>
    <row r="1" spans="1:7" ht="30.05" x14ac:dyDescent="0.3">
      <c r="A1" s="17" t="s">
        <v>39</v>
      </c>
      <c r="B1" s="17" t="s">
        <v>40</v>
      </c>
      <c r="C1" s="17" t="s">
        <v>37</v>
      </c>
      <c r="D1" s="17" t="s">
        <v>41</v>
      </c>
      <c r="E1" s="17" t="s">
        <v>14</v>
      </c>
      <c r="F1" s="17" t="s">
        <v>42</v>
      </c>
      <c r="G1" s="17" t="s">
        <v>0</v>
      </c>
    </row>
    <row r="2" spans="1:7" x14ac:dyDescent="0.3">
      <c r="A2" s="18" t="s">
        <v>43</v>
      </c>
      <c r="B2" s="20">
        <v>7.2400000000000006E-2</v>
      </c>
      <c r="C2" s="21">
        <v>47953</v>
      </c>
      <c r="D2" s="76">
        <v>96.412000000000006</v>
      </c>
      <c r="E2" s="23">
        <f>(1000*B2)/(D2*10)</f>
        <v>7.5094386590880802E-2</v>
      </c>
      <c r="F2" s="19">
        <v>1827</v>
      </c>
      <c r="G2" s="22">
        <f>YIELD(DATE(2019,4,15),C2,B2,D2,100,2)</f>
        <v>7.7035354991595167E-2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12B2-A1BD-4C9B-B619-F7D87F85F43B}">
  <dimension ref="A1:G5"/>
  <sheetViews>
    <sheetView showGridLines="0" zoomScale="145" zoomScaleNormal="145" workbookViewId="0">
      <selection activeCell="E7" sqref="E7"/>
    </sheetView>
  </sheetViews>
  <sheetFormatPr defaultRowHeight="15.05" x14ac:dyDescent="0.3"/>
  <cols>
    <col min="2" max="2" width="22.21875" bestFit="1" customWidth="1"/>
    <col min="6" max="6" width="21.44140625" bestFit="1" customWidth="1"/>
  </cols>
  <sheetData>
    <row r="1" spans="1:7" ht="15.65" x14ac:dyDescent="0.3">
      <c r="A1" s="6" t="s">
        <v>44</v>
      </c>
      <c r="B1" s="3" t="s">
        <v>1</v>
      </c>
      <c r="C1" s="25">
        <f>PRICE(DATE(2000,1,1),DATE(2025,1,1),0,0.059,1000,2)</f>
        <v>233.71277512777581</v>
      </c>
      <c r="D1" s="1"/>
      <c r="E1" s="6" t="s">
        <v>48</v>
      </c>
      <c r="F1" s="3" t="s">
        <v>49</v>
      </c>
      <c r="G1" s="25">
        <f>1000-C1</f>
        <v>766.28722487222421</v>
      </c>
    </row>
    <row r="2" spans="1:7" ht="15.65" x14ac:dyDescent="0.3">
      <c r="A2" s="6" t="s">
        <v>45</v>
      </c>
      <c r="B2" s="3" t="s">
        <v>1</v>
      </c>
      <c r="C2" s="25">
        <f>PRICE(DATE(2000,1,1),DATE(2024,1,1),0,0.059,1000,2)</f>
        <v>247.70521740286958</v>
      </c>
      <c r="D2" s="1"/>
      <c r="E2" s="1"/>
      <c r="F2" s="3" t="s">
        <v>50</v>
      </c>
      <c r="G2" s="65">
        <f>G1/25</f>
        <v>30.651488994888968</v>
      </c>
    </row>
    <row r="3" spans="1:7" ht="15.65" x14ac:dyDescent="0.3">
      <c r="A3" s="1"/>
      <c r="B3" s="3" t="s">
        <v>46</v>
      </c>
      <c r="C3" s="64">
        <f>C2-C1</f>
        <v>13.992442275093765</v>
      </c>
      <c r="D3" s="1"/>
      <c r="E3" s="1"/>
      <c r="F3" s="1"/>
      <c r="G3" s="1"/>
    </row>
    <row r="4" spans="1:7" ht="15.65" x14ac:dyDescent="0.3">
      <c r="A4" s="1"/>
      <c r="B4" s="3" t="s">
        <v>1</v>
      </c>
      <c r="C4" s="25">
        <f>PRICE(DATE(2024,1,1),DATE(2025,1,1),0,0.059,1000,2)</f>
        <v>943.51171758995963</v>
      </c>
      <c r="D4" s="1"/>
      <c r="E4" s="1"/>
      <c r="F4" s="1"/>
      <c r="G4" s="1"/>
    </row>
    <row r="5" spans="1:7" ht="15.65" x14ac:dyDescent="0.3">
      <c r="A5" s="1"/>
      <c r="B5" s="3" t="s">
        <v>47</v>
      </c>
      <c r="C5" s="64">
        <f>1000-C4</f>
        <v>56.48828241004037</v>
      </c>
      <c r="D5" s="1"/>
      <c r="E5" s="1"/>
      <c r="F5" s="1"/>
      <c r="G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8755-B143-40A2-A205-444FB9972760}">
  <dimension ref="A1:C17"/>
  <sheetViews>
    <sheetView showGridLines="0" topLeftCell="A7" zoomScale="145" zoomScaleNormal="145" workbookViewId="0">
      <selection activeCell="B14" sqref="B14:B17"/>
    </sheetView>
  </sheetViews>
  <sheetFormatPr defaultRowHeight="15.05" x14ac:dyDescent="0.3"/>
  <cols>
    <col min="1" max="1" width="33.5546875" bestFit="1" customWidth="1"/>
    <col min="2" max="2" width="16.5546875" bestFit="1" customWidth="1"/>
    <col min="3" max="3" width="15" bestFit="1" customWidth="1"/>
  </cols>
  <sheetData>
    <row r="1" spans="1:3" ht="15.65" x14ac:dyDescent="0.3">
      <c r="A1" s="51" t="s">
        <v>72</v>
      </c>
      <c r="B1" s="53">
        <v>50000000</v>
      </c>
      <c r="C1" s="48"/>
    </row>
    <row r="2" spans="1:3" ht="15.65" x14ac:dyDescent="0.3">
      <c r="A2" s="51" t="s">
        <v>70</v>
      </c>
      <c r="B2" s="51">
        <v>30</v>
      </c>
      <c r="C2" s="48" t="s">
        <v>38</v>
      </c>
    </row>
    <row r="3" spans="1:3" ht="15.65" x14ac:dyDescent="0.3">
      <c r="A3" s="51" t="s">
        <v>71</v>
      </c>
      <c r="B3" s="66">
        <v>7.0000000000000007E-2</v>
      </c>
      <c r="C3" s="48" t="s">
        <v>73</v>
      </c>
    </row>
    <row r="4" spans="1:3" ht="15.65" x14ac:dyDescent="0.3">
      <c r="A4" s="51" t="s">
        <v>74</v>
      </c>
      <c r="B4" s="53">
        <v>1000</v>
      </c>
      <c r="C4" s="48"/>
    </row>
    <row r="5" spans="1:3" ht="15.65" x14ac:dyDescent="0.3">
      <c r="A5" s="51" t="s">
        <v>75</v>
      </c>
      <c r="B5" s="66">
        <v>0.21</v>
      </c>
      <c r="C5" s="48"/>
    </row>
    <row r="6" spans="1:3" ht="15.65" x14ac:dyDescent="0.3">
      <c r="A6" s="51" t="s">
        <v>0</v>
      </c>
      <c r="B6" s="66">
        <v>7.0000000000000007E-2</v>
      </c>
      <c r="C6" s="48"/>
    </row>
    <row r="7" spans="1:3" ht="15.65" x14ac:dyDescent="0.3">
      <c r="A7" s="48"/>
      <c r="B7" s="48"/>
      <c r="C7" s="48"/>
    </row>
    <row r="8" spans="1:3" ht="15.65" x14ac:dyDescent="0.3">
      <c r="A8" s="51" t="s">
        <v>76</v>
      </c>
      <c r="B8" s="67">
        <f>B1/B4</f>
        <v>50000</v>
      </c>
      <c r="C8" s="48" t="s">
        <v>77</v>
      </c>
    </row>
    <row r="9" spans="1:3" ht="15.65" x14ac:dyDescent="0.3">
      <c r="A9" s="51" t="s">
        <v>78</v>
      </c>
      <c r="B9" s="54">
        <f>PV(B6/2,B2*2,0,-B4)</f>
        <v>126.93430586130278</v>
      </c>
      <c r="C9" s="48"/>
    </row>
    <row r="10" spans="1:3" ht="15.65" x14ac:dyDescent="0.3">
      <c r="A10" s="51" t="s">
        <v>79</v>
      </c>
      <c r="B10" s="67">
        <f>B1/B9</f>
        <v>393904.54503791488</v>
      </c>
      <c r="C10" s="48" t="s">
        <v>77</v>
      </c>
    </row>
    <row r="11" spans="1:3" ht="15.65" x14ac:dyDescent="0.3">
      <c r="A11" s="51" t="s">
        <v>80</v>
      </c>
      <c r="B11" s="53">
        <f>B8*(B4+((B4*B3)/2))</f>
        <v>51750000</v>
      </c>
      <c r="C11" s="77"/>
    </row>
    <row r="12" spans="1:3" ht="15.65" x14ac:dyDescent="0.3">
      <c r="A12" s="51" t="s">
        <v>81</v>
      </c>
      <c r="B12" s="53">
        <f>B10*B4</f>
        <v>393904545.03791487</v>
      </c>
      <c r="C12" s="48"/>
    </row>
    <row r="13" spans="1:3" ht="15.65" x14ac:dyDescent="0.3">
      <c r="A13" s="48"/>
      <c r="B13" s="48"/>
      <c r="C13" s="48"/>
    </row>
    <row r="14" spans="1:3" ht="15.65" x14ac:dyDescent="0.3">
      <c r="A14" s="27" t="s">
        <v>82</v>
      </c>
      <c r="B14" s="68">
        <f>(B8*(B4*B3))*(1-B5)</f>
        <v>2765000</v>
      </c>
      <c r="C14" s="48"/>
    </row>
    <row r="15" spans="1:3" ht="15.65" x14ac:dyDescent="0.3">
      <c r="A15" s="51" t="s">
        <v>83</v>
      </c>
      <c r="B15" s="54">
        <f>PV(B6/2,(B2-1)*2,0,-B4)</f>
        <v>135.97520179627406</v>
      </c>
      <c r="C15" s="48"/>
    </row>
    <row r="16" spans="1:3" ht="15.65" x14ac:dyDescent="0.3">
      <c r="A16" s="51" t="s">
        <v>84</v>
      </c>
      <c r="B16" s="54">
        <f>B15-B9</f>
        <v>9.0408959349712887</v>
      </c>
      <c r="C16" s="48"/>
    </row>
    <row r="17" spans="1:3" ht="15.65" x14ac:dyDescent="0.3">
      <c r="A17" s="27" t="s">
        <v>85</v>
      </c>
      <c r="B17" s="68">
        <f>(B12*B16)*(B5)</f>
        <v>747862499.99999988</v>
      </c>
      <c r="C17" s="4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73D3-8F26-4E74-AC68-CA6AD8E36CC4}">
  <dimension ref="A1:B6"/>
  <sheetViews>
    <sheetView showGridLines="0" zoomScale="145" zoomScaleNormal="145" workbookViewId="0">
      <selection activeCell="B4" sqref="B4"/>
    </sheetView>
  </sheetViews>
  <sheetFormatPr defaultRowHeight="15.05" x14ac:dyDescent="0.3"/>
  <cols>
    <col min="1" max="1" width="21.5546875" customWidth="1"/>
    <col min="2" max="2" width="11.33203125" bestFit="1" customWidth="1"/>
  </cols>
  <sheetData>
    <row r="1" spans="1:2" ht="15.65" x14ac:dyDescent="0.3">
      <c r="A1" s="3" t="s">
        <v>51</v>
      </c>
      <c r="B1" s="25">
        <f>PRICE(DATE(2000,1,1),DATE(2010,1,1),0.08,0.065,100,1)*10</f>
        <v>1107.832453341417</v>
      </c>
    </row>
    <row r="2" spans="1:2" ht="15.65" x14ac:dyDescent="0.3">
      <c r="A2" s="3" t="s">
        <v>52</v>
      </c>
      <c r="B2" s="25">
        <f>PRICE(DATE(2000,1,1),DATE(2010,1,1),0.05,0.065,100,1)*10</f>
        <v>892.167546658584</v>
      </c>
    </row>
    <row r="3" spans="1:2" ht="15.65" x14ac:dyDescent="0.3">
      <c r="A3" s="3" t="s">
        <v>53</v>
      </c>
      <c r="B3" s="57">
        <f>(0.08*1000)/$B1</f>
        <v>7.2213085795334808E-2</v>
      </c>
    </row>
    <row r="4" spans="1:2" ht="15.65" x14ac:dyDescent="0.3">
      <c r="A4" s="3" t="s">
        <v>55</v>
      </c>
      <c r="B4" s="69">
        <f>(PRICE(DATE(2000,1,1),DATE(2009,1,1),0.08,0.065,100,1)*10-B1)/B1</f>
        <v>-7.2130857953348676E-3</v>
      </c>
    </row>
    <row r="5" spans="1:2" ht="15.65" x14ac:dyDescent="0.3">
      <c r="A5" s="3" t="s">
        <v>54</v>
      </c>
      <c r="B5" s="57">
        <f>(0.05*1000)/$B2</f>
        <v>5.6043284904571937E-2</v>
      </c>
    </row>
    <row r="6" spans="1:2" ht="15.65" x14ac:dyDescent="0.3">
      <c r="A6" s="3" t="s">
        <v>56</v>
      </c>
      <c r="B6" s="70">
        <f>(PRICE(DATE(2000,1,1),DATE(2009,1,1),0.05,0.065,100,1)*10-B2)/B2</f>
        <v>8.9567150954279265E-3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BEEF-CCDE-4A28-8BA1-2B96B02A61FD}">
  <dimension ref="A1:B3"/>
  <sheetViews>
    <sheetView showGridLines="0" zoomScale="145" zoomScaleNormal="145" workbookViewId="0">
      <selection activeCell="B3" sqref="B3"/>
    </sheetView>
  </sheetViews>
  <sheetFormatPr defaultRowHeight="15.05" x14ac:dyDescent="0.3"/>
  <cols>
    <col min="1" max="1" width="12.5546875" customWidth="1"/>
    <col min="2" max="2" width="10.44140625" bestFit="1" customWidth="1"/>
  </cols>
  <sheetData>
    <row r="1" spans="1:2" ht="15.65" x14ac:dyDescent="0.3">
      <c r="A1" s="27" t="s">
        <v>0</v>
      </c>
      <c r="B1" s="28">
        <f>YIELD(DATE(2000,1,1),DATE(2010,1,1),0.054,100*0.94,100,1)</f>
        <v>6.2238763379508212E-2</v>
      </c>
    </row>
    <row r="2" spans="1:2" ht="15.65" x14ac:dyDescent="0.3">
      <c r="A2" s="3" t="s">
        <v>1</v>
      </c>
      <c r="B2" s="25">
        <f>PRICE(DATE(2000,1,1),DATE(2008,1,1),0.054,B1-0.01,100,1)*10</f>
        <v>1011.2809358231146</v>
      </c>
    </row>
    <row r="3" spans="1:2" ht="15.65" x14ac:dyDescent="0.3">
      <c r="A3" s="27" t="s">
        <v>57</v>
      </c>
      <c r="B3" s="28">
        <f>RATE(2,(1000*0.054),-940,B2)</f>
        <v>9.3665949773532459E-2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4A7D-EF01-4685-B2D7-BA8D5DD58712}">
  <dimension ref="A1:D2"/>
  <sheetViews>
    <sheetView showGridLines="0" zoomScale="145" zoomScaleNormal="145" workbookViewId="0">
      <selection activeCell="C1" sqref="C1"/>
    </sheetView>
  </sheetViews>
  <sheetFormatPr defaultRowHeight="15.05" x14ac:dyDescent="0.3"/>
  <cols>
    <col min="1" max="1" width="9.6640625" customWidth="1"/>
    <col min="2" max="2" width="11.5546875" customWidth="1"/>
    <col min="3" max="3" width="11.5546875" bestFit="1" customWidth="1"/>
  </cols>
  <sheetData>
    <row r="1" spans="1:4" ht="15.65" x14ac:dyDescent="0.3">
      <c r="A1" s="3" t="s">
        <v>58</v>
      </c>
      <c r="B1" s="25">
        <f>800*PV(0.056/2,8*2,-1)*(1/(1+(0.056/2))^(6*2))+1000*PV(0.056/2,6*2,-1)*(1/(1+(0.056/2))^(14*2))+30000*(1/(1+(0.056/2))^(20*2))</f>
        <v>21915.520840620153</v>
      </c>
      <c r="C1" s="71">
        <f>PV(0.056/2,2*8,-800)*PV(0.056/2,6*2,,-1)+PV(0.056/2,6*2,-1000)*PV(0.056/2,14*2,,-1)+PV(0.056/2,20*2,,-30000)</f>
        <v>21915.520840620153</v>
      </c>
      <c r="D1" t="s">
        <v>87</v>
      </c>
    </row>
    <row r="2" spans="1:4" ht="15.65" x14ac:dyDescent="0.3">
      <c r="A2" s="3" t="s">
        <v>59</v>
      </c>
      <c r="B2" s="25">
        <f>PRICE(DATE(2000,1,1),DATE(2020,1,1),0,0.056,30000,2)</f>
        <v>9940.2353787537322</v>
      </c>
      <c r="C2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C4CE-ED47-4726-8A4C-8BA220B9A958}">
  <dimension ref="A1:C8"/>
  <sheetViews>
    <sheetView showGridLines="0" zoomScale="145" zoomScaleNormal="145" workbookViewId="0">
      <selection activeCell="C3" sqref="C3"/>
    </sheetView>
  </sheetViews>
  <sheetFormatPr defaultRowHeight="15.05" x14ac:dyDescent="0.3"/>
  <cols>
    <col min="1" max="1" width="10.77734375" bestFit="1" customWidth="1"/>
    <col min="2" max="2" width="9.5546875" bestFit="1" customWidth="1"/>
  </cols>
  <sheetData>
    <row r="1" spans="1:3" ht="15.65" x14ac:dyDescent="0.3">
      <c r="A1" s="81" t="s">
        <v>88</v>
      </c>
      <c r="B1" s="82">
        <v>8</v>
      </c>
      <c r="C1" s="79"/>
    </row>
    <row r="2" spans="1:3" ht="15.65" x14ac:dyDescent="0.3">
      <c r="A2" s="81" t="s">
        <v>70</v>
      </c>
      <c r="B2" s="81">
        <v>30</v>
      </c>
      <c r="C2" s="79" t="s">
        <v>95</v>
      </c>
    </row>
    <row r="3" spans="1:3" ht="15.65" x14ac:dyDescent="0.3">
      <c r="A3" s="81" t="s">
        <v>89</v>
      </c>
      <c r="B3" s="83">
        <v>7.4999999999999997E-2</v>
      </c>
      <c r="C3" s="79"/>
    </row>
    <row r="4" spans="1:3" ht="15.65" x14ac:dyDescent="0.3">
      <c r="A4" s="81" t="s">
        <v>90</v>
      </c>
      <c r="B4" s="83">
        <v>3.2000000000000001E-2</v>
      </c>
      <c r="C4" s="79" t="s">
        <v>91</v>
      </c>
    </row>
    <row r="5" spans="1:3" ht="15.65" x14ac:dyDescent="0.3">
      <c r="A5" s="81" t="s">
        <v>92</v>
      </c>
      <c r="B5" s="83">
        <f>(1+B3)/(1+B4)-1</f>
        <v>4.1666666666666519E-2</v>
      </c>
      <c r="C5" s="79"/>
    </row>
    <row r="6" spans="1:3" ht="15.65" x14ac:dyDescent="0.3">
      <c r="A6" s="81" t="s">
        <v>62</v>
      </c>
      <c r="B6" s="83">
        <f>NOMINAL(B5,52)</f>
        <v>4.0838022129809914E-2</v>
      </c>
      <c r="C6" s="79"/>
    </row>
    <row r="7" spans="1:3" ht="15.65" x14ac:dyDescent="0.3">
      <c r="A7" s="81" t="s">
        <v>93</v>
      </c>
      <c r="B7" s="83">
        <f>B6/52</f>
        <v>7.8534657941942143E-4</v>
      </c>
      <c r="C7" s="79"/>
    </row>
    <row r="8" spans="1:3" ht="15.65" x14ac:dyDescent="0.3">
      <c r="A8" s="81" t="s">
        <v>94</v>
      </c>
      <c r="B8" s="84">
        <f>PV(B7,B2*52,-B1)</f>
        <v>7193.1794219190679</v>
      </c>
      <c r="C8" s="79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0E1B-4DDB-4BBD-82DC-F4FD15E31A21}">
  <dimension ref="A1:B21"/>
  <sheetViews>
    <sheetView showGridLines="0" topLeftCell="A12" zoomScale="145" zoomScaleNormal="145" workbookViewId="0">
      <selection activeCell="E7" sqref="E7"/>
    </sheetView>
  </sheetViews>
  <sheetFormatPr defaultRowHeight="15.05" x14ac:dyDescent="0.3"/>
  <cols>
    <col min="1" max="1" width="39.21875" bestFit="1" customWidth="1"/>
    <col min="2" max="2" width="14.44140625" bestFit="1" customWidth="1"/>
  </cols>
  <sheetData>
    <row r="1" spans="1:2" ht="15.65" x14ac:dyDescent="0.3">
      <c r="A1" s="50" t="s">
        <v>60</v>
      </c>
      <c r="B1" s="5"/>
    </row>
    <row r="2" spans="1:2" ht="15.65" x14ac:dyDescent="0.3">
      <c r="A2" s="72" t="s">
        <v>61</v>
      </c>
      <c r="B2" s="28">
        <f>(1+0.12)/(1+0.04)-1</f>
        <v>7.6923076923077094E-2</v>
      </c>
    </row>
    <row r="3" spans="1:2" ht="15.65" x14ac:dyDescent="0.3">
      <c r="A3" s="3" t="s">
        <v>62</v>
      </c>
      <c r="B3" s="28">
        <f>NOMINAL(B2,12)</f>
        <v>7.4337276927831653E-2</v>
      </c>
    </row>
    <row r="4" spans="1:2" ht="15.65" x14ac:dyDescent="0.3">
      <c r="A4" s="3" t="s">
        <v>63</v>
      </c>
      <c r="B4" s="28">
        <f>B3/12</f>
        <v>6.1947730773193044E-3</v>
      </c>
    </row>
    <row r="5" spans="1:2" ht="15.65" x14ac:dyDescent="0.3">
      <c r="A5" s="27" t="s">
        <v>65</v>
      </c>
      <c r="B5" s="25">
        <f>FV(B4,30*12,-900)</f>
        <v>1196731.9642359309</v>
      </c>
    </row>
    <row r="6" spans="1:2" ht="15.65" x14ac:dyDescent="0.3">
      <c r="A6" s="1"/>
      <c r="B6" s="1"/>
    </row>
    <row r="7" spans="1:2" ht="15.65" x14ac:dyDescent="0.3">
      <c r="A7" s="50" t="s">
        <v>64</v>
      </c>
      <c r="B7" s="5"/>
    </row>
    <row r="8" spans="1:2" ht="15.65" x14ac:dyDescent="0.3">
      <c r="A8" s="72" t="s">
        <v>61</v>
      </c>
      <c r="B8" s="28">
        <f>(1+0.07)/(1+0.04)-1</f>
        <v>2.8846153846153966E-2</v>
      </c>
    </row>
    <row r="9" spans="1:2" ht="15.65" x14ac:dyDescent="0.3">
      <c r="A9" s="3" t="s">
        <v>62</v>
      </c>
      <c r="B9" s="28">
        <f>NOMINAL(B8,12)</f>
        <v>2.8471658461505456E-2</v>
      </c>
    </row>
    <row r="10" spans="1:2" ht="15.65" x14ac:dyDescent="0.3">
      <c r="A10" s="3" t="s">
        <v>63</v>
      </c>
      <c r="B10" s="28">
        <f>B9/12</f>
        <v>2.3726382051254546E-3</v>
      </c>
    </row>
    <row r="11" spans="1:2" ht="15.65" x14ac:dyDescent="0.3">
      <c r="A11" s="27" t="s">
        <v>65</v>
      </c>
      <c r="B11" s="25">
        <f>FV(B10,30*12,-300)</f>
        <v>170316.78055056653</v>
      </c>
    </row>
    <row r="12" spans="1:2" ht="15.65" x14ac:dyDescent="0.3">
      <c r="A12" s="1"/>
      <c r="B12" s="1"/>
    </row>
    <row r="13" spans="1:2" ht="15.65" x14ac:dyDescent="0.3">
      <c r="A13" s="27" t="s">
        <v>66</v>
      </c>
      <c r="B13" s="73">
        <f>B5+B11</f>
        <v>1367048.7447864974</v>
      </c>
    </row>
    <row r="14" spans="1:2" ht="15.65" x14ac:dyDescent="0.3">
      <c r="A14" s="16"/>
      <c r="B14" s="2"/>
    </row>
    <row r="15" spans="1:2" ht="15.65" x14ac:dyDescent="0.3">
      <c r="A15" s="50" t="s">
        <v>67</v>
      </c>
      <c r="B15" s="5"/>
    </row>
    <row r="16" spans="1:2" ht="15.65" x14ac:dyDescent="0.3">
      <c r="A16" s="3" t="s">
        <v>61</v>
      </c>
      <c r="B16" s="28">
        <f>(1+0.08)/(1+0.04)-1</f>
        <v>3.8461538461538547E-2</v>
      </c>
    </row>
    <row r="17" spans="1:2" ht="15.65" x14ac:dyDescent="0.3">
      <c r="A17" s="3" t="s">
        <v>62</v>
      </c>
      <c r="B17" s="28">
        <f>NOMINAL(B16,12)</f>
        <v>3.7799737429474511E-2</v>
      </c>
    </row>
    <row r="18" spans="1:2" ht="15.65" x14ac:dyDescent="0.3">
      <c r="A18" s="3" t="s">
        <v>63</v>
      </c>
      <c r="B18" s="28">
        <f>B17/12</f>
        <v>3.149978119122876E-3</v>
      </c>
    </row>
    <row r="19" spans="1:2" ht="15.65" x14ac:dyDescent="0.3">
      <c r="A19" s="1"/>
      <c r="B19" s="1"/>
    </row>
    <row r="20" spans="1:2" ht="15.65" x14ac:dyDescent="0.3">
      <c r="A20" s="27" t="s">
        <v>68</v>
      </c>
      <c r="B20" s="73">
        <f>PMT(B18,25*12,-B13)</f>
        <v>7050.7457793487702</v>
      </c>
    </row>
    <row r="21" spans="1:2" ht="15.65" x14ac:dyDescent="0.3">
      <c r="A21" s="27" t="s">
        <v>69</v>
      </c>
      <c r="B21" s="73">
        <f>B20*(1+0.04)^(25+30)</f>
        <v>60963.335065685817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110A-0D5D-478E-9959-8659A27D8168}">
  <dimension ref="A1:N21"/>
  <sheetViews>
    <sheetView showGridLines="0" topLeftCell="G1" zoomScale="160" zoomScaleNormal="160" workbookViewId="0">
      <selection activeCell="M2" sqref="M2"/>
    </sheetView>
  </sheetViews>
  <sheetFormatPr defaultRowHeight="15.05" x14ac:dyDescent="0.3"/>
  <cols>
    <col min="1" max="1" width="18.109375" bestFit="1" customWidth="1"/>
    <col min="2" max="2" width="11.5546875" bestFit="1" customWidth="1"/>
    <col min="4" max="4" width="8.88671875" customWidth="1"/>
    <col min="10" max="10" width="4.5546875" bestFit="1" customWidth="1"/>
    <col min="11" max="13" width="10.88671875" bestFit="1" customWidth="1"/>
    <col min="14" max="14" width="12.88671875" bestFit="1" customWidth="1"/>
  </cols>
  <sheetData>
    <row r="1" spans="1:14" ht="15.65" x14ac:dyDescent="0.3">
      <c r="A1" s="81" t="s">
        <v>96</v>
      </c>
      <c r="B1" s="82">
        <v>400</v>
      </c>
      <c r="C1" s="79" t="s">
        <v>106</v>
      </c>
      <c r="D1" s="79"/>
      <c r="E1" s="79"/>
      <c r="F1" s="79"/>
      <c r="G1" s="79"/>
      <c r="H1" s="79"/>
      <c r="I1" s="79"/>
      <c r="J1" s="85" t="s">
        <v>108</v>
      </c>
      <c r="K1" s="85" t="s">
        <v>109</v>
      </c>
      <c r="L1" s="85" t="s">
        <v>110</v>
      </c>
      <c r="M1" s="85" t="s">
        <v>111</v>
      </c>
      <c r="N1" s="85" t="s">
        <v>112</v>
      </c>
    </row>
    <row r="2" spans="1:14" ht="15.65" x14ac:dyDescent="0.3">
      <c r="A2" s="81" t="s">
        <v>97</v>
      </c>
      <c r="B2" s="81">
        <v>700</v>
      </c>
      <c r="C2" s="79" t="s">
        <v>98</v>
      </c>
      <c r="D2" s="79"/>
      <c r="E2" s="79"/>
      <c r="F2" s="79"/>
      <c r="G2" s="79"/>
      <c r="H2" s="79"/>
      <c r="I2" s="79"/>
      <c r="J2" s="86">
        <v>1</v>
      </c>
      <c r="K2" s="87">
        <f>FV($B$8,$J2,,-$B$9)</f>
        <v>305704</v>
      </c>
      <c r="L2" s="87">
        <f>FV(0.02,$J2,,-$B$3)</f>
        <v>127500</v>
      </c>
      <c r="M2" s="87">
        <f>$K2-$L2</f>
        <v>178204</v>
      </c>
      <c r="N2" s="84">
        <f>FV($B$6,$J$6-$J2,,-$M2)</f>
        <v>251549.48922844004</v>
      </c>
    </row>
    <row r="3" spans="1:14" ht="15.65" x14ac:dyDescent="0.3">
      <c r="A3" s="81" t="s">
        <v>99</v>
      </c>
      <c r="B3" s="82">
        <v>125000</v>
      </c>
      <c r="C3" s="79" t="s">
        <v>100</v>
      </c>
      <c r="D3" s="79"/>
      <c r="E3" s="79"/>
      <c r="F3" s="79"/>
      <c r="G3" s="79"/>
      <c r="H3" s="79"/>
      <c r="I3" s="79"/>
      <c r="J3" s="86">
        <v>2</v>
      </c>
      <c r="K3" s="87">
        <f t="shared" ref="K3:K6" si="0">FV($B$8,$J3,,-$B$9)</f>
        <v>333767.62720000005</v>
      </c>
      <c r="L3" s="87">
        <f t="shared" ref="L3:L6" si="1">FV(0.02,$J3,,-$B$3)</f>
        <v>130050</v>
      </c>
      <c r="M3" s="87">
        <f t="shared" ref="M3:M6" si="2">$K3-$L3</f>
        <v>203717.62720000005</v>
      </c>
      <c r="N3" s="84">
        <f>FV($B$6,$J$6-$J3,,-$M3)</f>
        <v>263820.2350351889</v>
      </c>
    </row>
    <row r="4" spans="1:14" ht="15.65" x14ac:dyDescent="0.3">
      <c r="A4" s="81" t="s">
        <v>101</v>
      </c>
      <c r="B4" s="82">
        <v>500000</v>
      </c>
      <c r="C4" s="79" t="s">
        <v>102</v>
      </c>
      <c r="D4" s="79"/>
      <c r="E4" s="79"/>
      <c r="F4" s="79"/>
      <c r="G4" s="79"/>
      <c r="H4" s="79"/>
      <c r="I4" s="79"/>
      <c r="J4" s="86">
        <v>3</v>
      </c>
      <c r="K4" s="87">
        <f t="shared" si="0"/>
        <v>364407.49537696014</v>
      </c>
      <c r="L4" s="87">
        <f t="shared" si="1"/>
        <v>132651</v>
      </c>
      <c r="M4" s="87">
        <f t="shared" si="2"/>
        <v>231756.49537696014</v>
      </c>
      <c r="N4" s="84">
        <f>FV($B$6,$J$6-$J4,,-$M4)</f>
        <v>275349.89215736638</v>
      </c>
    </row>
    <row r="5" spans="1:14" ht="15.65" x14ac:dyDescent="0.3">
      <c r="A5" s="81" t="s">
        <v>70</v>
      </c>
      <c r="B5" s="88">
        <v>25</v>
      </c>
      <c r="C5" s="79"/>
      <c r="D5" s="79"/>
      <c r="E5" s="79"/>
      <c r="F5" s="79"/>
      <c r="G5" s="79"/>
      <c r="H5" s="79"/>
      <c r="I5" s="79"/>
      <c r="J5" s="86">
        <v>4</v>
      </c>
      <c r="K5" s="87">
        <f t="shared" si="0"/>
        <v>397860.10345256509</v>
      </c>
      <c r="L5" s="87">
        <f t="shared" si="1"/>
        <v>135304.01999999999</v>
      </c>
      <c r="M5" s="87">
        <f t="shared" si="2"/>
        <v>262556.08345256513</v>
      </c>
      <c r="N5" s="84">
        <f>FV($B$6,$J$6-$J5,,-$M5)</f>
        <v>286186.13096329599</v>
      </c>
    </row>
    <row r="6" spans="1:14" ht="15.65" x14ac:dyDescent="0.3">
      <c r="A6" s="81" t="s">
        <v>103</v>
      </c>
      <c r="B6" s="89">
        <v>0.09</v>
      </c>
      <c r="C6" s="79" t="s">
        <v>104</v>
      </c>
      <c r="D6" s="79"/>
      <c r="E6" s="79"/>
      <c r="F6" s="79"/>
      <c r="G6" s="79"/>
      <c r="H6" s="79"/>
      <c r="I6" s="79"/>
      <c r="J6" s="86">
        <v>5</v>
      </c>
      <c r="K6" s="87">
        <f t="shared" si="0"/>
        <v>434383.66094951058</v>
      </c>
      <c r="L6" s="87">
        <f t="shared" si="1"/>
        <v>138010.1004</v>
      </c>
      <c r="M6" s="87">
        <f t="shared" si="2"/>
        <v>296373.56054951058</v>
      </c>
      <c r="N6" s="84">
        <f>FV($B$6,$J$6-$J6,,-$M6)</f>
        <v>296373.56054951058</v>
      </c>
    </row>
    <row r="7" spans="1:14" ht="15.65" x14ac:dyDescent="0.3">
      <c r="A7" s="79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3">
        <f>SUM(N2:N6)</f>
        <v>1373279.307933802</v>
      </c>
    </row>
    <row r="8" spans="1:14" ht="15.65" x14ac:dyDescent="0.3">
      <c r="A8" s="81" t="s">
        <v>105</v>
      </c>
      <c r="B8" s="83">
        <f>(1+0.06)*(1+0.03)-1</f>
        <v>9.1800000000000104E-2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</row>
    <row r="9" spans="1:14" ht="15.65" x14ac:dyDescent="0.3">
      <c r="A9" s="81" t="s">
        <v>107</v>
      </c>
      <c r="B9" s="82">
        <f>B1*B2</f>
        <v>280000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</row>
    <row r="10" spans="1:14" ht="15.65" x14ac:dyDescent="0.3">
      <c r="A10" s="81" t="s">
        <v>113</v>
      </c>
      <c r="B10" s="84">
        <f>N7-B4</f>
        <v>873279.30793380202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</row>
    <row r="11" spans="1:14" ht="15.65" x14ac:dyDescent="0.3">
      <c r="A11" s="81" t="s">
        <v>114</v>
      </c>
      <c r="B11" s="84">
        <f>PMT(B6,B5,-B10)</f>
        <v>88905.291996193686</v>
      </c>
      <c r="C11" s="79" t="s">
        <v>115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spans="1:14" ht="15.65" x14ac:dyDescent="0.3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</row>
    <row r="13" spans="1:14" ht="15.65" x14ac:dyDescent="0.3">
      <c r="A13" s="79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</row>
    <row r="14" spans="1:14" ht="15.65" x14ac:dyDescent="0.3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</row>
    <row r="15" spans="1:14" ht="15.65" x14ac:dyDescent="0.3">
      <c r="A15" s="79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</row>
    <row r="16" spans="1:14" ht="15.65" x14ac:dyDescent="0.3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spans="1:14" ht="15.65" x14ac:dyDescent="0.3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</row>
    <row r="18" spans="1:14" ht="15.65" x14ac:dyDescent="0.3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</row>
    <row r="19" spans="1:14" ht="15.65" x14ac:dyDescent="0.3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</row>
    <row r="20" spans="1:14" ht="15.65" x14ac:dyDescent="0.3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spans="1:14" ht="15.65" x14ac:dyDescent="0.3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31F1-5E50-4488-87F8-6FB4C9E26C2B}">
  <dimension ref="A1:D18"/>
  <sheetViews>
    <sheetView showGridLines="0" tabSelected="1" zoomScale="160" zoomScaleNormal="160" workbookViewId="0"/>
  </sheetViews>
  <sheetFormatPr defaultRowHeight="15.05" x14ac:dyDescent="0.3"/>
  <cols>
    <col min="1" max="1" width="34.6640625" bestFit="1" customWidth="1"/>
    <col min="2" max="2" width="12.44140625" bestFit="1" customWidth="1"/>
    <col min="3" max="3" width="11.44140625" bestFit="1" customWidth="1"/>
  </cols>
  <sheetData>
    <row r="1" spans="1:4" ht="15.65" x14ac:dyDescent="0.3">
      <c r="A1" s="81" t="s">
        <v>0</v>
      </c>
      <c r="B1" s="90">
        <v>7.4999999999999997E-2</v>
      </c>
      <c r="C1" s="79"/>
    </row>
    <row r="2" spans="1:4" ht="15.65" x14ac:dyDescent="0.3">
      <c r="A2" s="81" t="s">
        <v>116</v>
      </c>
      <c r="B2" s="90">
        <v>6.5000000000000002E-2</v>
      </c>
      <c r="C2" s="79"/>
    </row>
    <row r="3" spans="1:4" ht="15.65" x14ac:dyDescent="0.3">
      <c r="A3" s="81" t="s">
        <v>75</v>
      </c>
      <c r="B3" s="89">
        <v>0.21</v>
      </c>
      <c r="C3" s="79"/>
    </row>
    <row r="4" spans="1:4" ht="15.65" x14ac:dyDescent="0.3">
      <c r="A4" s="81" t="s">
        <v>74</v>
      </c>
      <c r="B4" s="82">
        <v>1000</v>
      </c>
      <c r="C4" s="79"/>
    </row>
    <row r="5" spans="1:4" ht="15.65" x14ac:dyDescent="0.3">
      <c r="A5" s="81" t="s">
        <v>117</v>
      </c>
      <c r="B5" s="82">
        <v>50000000</v>
      </c>
      <c r="C5" s="79"/>
      <c r="D5" s="78"/>
    </row>
    <row r="6" spans="1:4" ht="15.65" x14ac:dyDescent="0.3">
      <c r="A6" s="81" t="s">
        <v>70</v>
      </c>
      <c r="B6" s="88">
        <v>20</v>
      </c>
      <c r="C6" s="79"/>
      <c r="D6" s="14"/>
    </row>
    <row r="7" spans="1:4" ht="15.65" x14ac:dyDescent="0.3">
      <c r="A7" s="81" t="s">
        <v>118</v>
      </c>
      <c r="B7" s="81">
        <f>B5/B4</f>
        <v>50000</v>
      </c>
      <c r="C7" s="79" t="s">
        <v>77</v>
      </c>
    </row>
    <row r="8" spans="1:4" ht="15.65" x14ac:dyDescent="0.3">
      <c r="A8" s="81" t="s">
        <v>119</v>
      </c>
      <c r="B8" s="84">
        <f>PV(B1/2,B6*2,,-B4)</f>
        <v>229.33787528100049</v>
      </c>
      <c r="C8" s="79"/>
    </row>
    <row r="9" spans="1:4" ht="15.65" x14ac:dyDescent="0.3">
      <c r="A9" s="81" t="s">
        <v>120</v>
      </c>
      <c r="B9" s="91">
        <f>B5/B8</f>
        <v>218018.9379479363</v>
      </c>
      <c r="C9" s="79" t="s">
        <v>77</v>
      </c>
    </row>
    <row r="10" spans="1:4" ht="15.65" x14ac:dyDescent="0.3">
      <c r="A10" s="81" t="s">
        <v>121</v>
      </c>
      <c r="B10" s="82">
        <f>B7*B4</f>
        <v>50000000</v>
      </c>
      <c r="C10" s="79"/>
    </row>
    <row r="11" spans="1:4" ht="15.65" x14ac:dyDescent="0.3">
      <c r="A11" s="81" t="s">
        <v>122</v>
      </c>
      <c r="B11" s="82">
        <f>B9*B4</f>
        <v>218018937.9479363</v>
      </c>
      <c r="C11" s="79"/>
    </row>
    <row r="12" spans="1:4" ht="15.65" x14ac:dyDescent="0.3">
      <c r="A12" s="81" t="s">
        <v>123</v>
      </c>
      <c r="B12" s="82">
        <f>(B7*B4)*B1</f>
        <v>3750000</v>
      </c>
      <c r="C12" s="80" t="s">
        <v>91</v>
      </c>
    </row>
    <row r="13" spans="1:4" ht="15.65" x14ac:dyDescent="0.3">
      <c r="A13" s="81" t="s">
        <v>124</v>
      </c>
      <c r="B13" s="82">
        <f>B12*(1-B3)</f>
        <v>2962500</v>
      </c>
      <c r="C13" s="80" t="s">
        <v>91</v>
      </c>
    </row>
    <row r="14" spans="1:4" ht="15.65" x14ac:dyDescent="0.3">
      <c r="A14" s="81" t="s">
        <v>125</v>
      </c>
      <c r="B14" s="84">
        <f>PV(B1/2,(B6-1)*2,,-B4)</f>
        <v>246.8607223141895</v>
      </c>
      <c r="C14" s="79"/>
    </row>
    <row r="15" spans="1:4" ht="15.65" x14ac:dyDescent="0.3">
      <c r="A15" s="81" t="s">
        <v>126</v>
      </c>
      <c r="B15" s="84">
        <f>B14-B8</f>
        <v>17.522847033189009</v>
      </c>
      <c r="C15" s="79"/>
    </row>
    <row r="16" spans="1:4" ht="15.65" x14ac:dyDescent="0.3">
      <c r="A16" s="81" t="s">
        <v>127</v>
      </c>
      <c r="B16" s="84">
        <f>(B9*B15)*B3</f>
        <v>802265.62500000303</v>
      </c>
      <c r="C16" s="79" t="s">
        <v>128</v>
      </c>
    </row>
    <row r="17" spans="1:3" ht="15.65" x14ac:dyDescent="0.3">
      <c r="A17" s="81" t="s">
        <v>1</v>
      </c>
      <c r="B17" s="84">
        <f>PRICE(DATE(2000,1,1),DATE(2000+$B$6-7,1,1),$B$1,0.048+0.004,100,2)*10</f>
        <v>1215.3770657564323</v>
      </c>
      <c r="C17" s="79" t="s">
        <v>129</v>
      </c>
    </row>
    <row r="18" spans="1:3" ht="15.65" x14ac:dyDescent="0.3">
      <c r="A18" s="81" t="s">
        <v>1</v>
      </c>
      <c r="B18" s="84">
        <f>PRICE(DATE(2000,1,1),DATE(2000+$B$6-7,1,1),$B$1,0.082+0.004,100,2)*10</f>
        <v>914.89878351566642</v>
      </c>
      <c r="C18" s="7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11.</vt:lpstr>
      <vt:lpstr>12.</vt:lpstr>
      <vt:lpstr>13.</vt:lpstr>
      <vt:lpstr>14. &amp; 15.</vt:lpstr>
      <vt:lpstr>16.</vt:lpstr>
      <vt:lpstr>17.</vt:lpstr>
      <vt:lpstr>18.</vt:lpstr>
      <vt:lpstr>19.</vt:lpstr>
      <vt:lpstr>20.</vt:lpstr>
      <vt:lpstr>21.</vt:lpstr>
      <vt:lpstr>22.</vt:lpstr>
      <vt:lpstr>23.</vt:lpstr>
      <vt:lpstr>24.</vt:lpstr>
      <vt:lpstr>25.</vt:lpstr>
      <vt:lpstr>27.</vt:lpstr>
      <vt:lpstr>28.</vt:lpstr>
      <vt:lpstr>29.</vt:lpstr>
      <vt:lpstr>30.</vt:lpstr>
      <vt:lpstr>31.</vt:lpstr>
      <vt:lpstr>33.</vt:lpstr>
      <vt:lpstr>34.</vt:lpstr>
      <vt:lpstr>35.</vt:lpstr>
      <vt:lpstr>FINANCING EAST COAST YACHT’S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PC-5985614</dc:creator>
  <cp:lastModifiedBy>BusinessLearn365</cp:lastModifiedBy>
  <dcterms:created xsi:type="dcterms:W3CDTF">2022-01-24T07:13:18Z</dcterms:created>
  <dcterms:modified xsi:type="dcterms:W3CDTF">2023-02-06T09:07:20Z</dcterms:modified>
</cp:coreProperties>
</file>