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re\Corporate. Finance(As result)\Corporate Finance [12]\Excel\"/>
    </mc:Choice>
  </mc:AlternateContent>
  <xr:revisionPtr revIDLastSave="0" documentId="13_ncr:1_{C72581EA-3C3F-4FB7-B539-E7CEA5736BEA}" xr6:coauthVersionLast="47" xr6:coauthVersionMax="47" xr10:uidLastSave="{00000000-0000-0000-0000-000000000000}"/>
  <bookViews>
    <workbookView xWindow="-113" yWindow="-113" windowWidth="17330" windowHeight="9842" firstSheet="25" activeTab="31" xr2:uid="{45BD10DE-E256-49FB-8753-1008D5AAC071}"/>
  </bookViews>
  <sheets>
    <sheet name="1." sheetId="1" r:id="rId1"/>
    <sheet name="2." sheetId="2" r:id="rId2"/>
    <sheet name="3." sheetId="3" r:id="rId3"/>
    <sheet name="4." sheetId="4" r:id="rId4"/>
    <sheet name="5." sheetId="5" r:id="rId5"/>
    <sheet name="6." sheetId="6" r:id="rId6"/>
    <sheet name="7." sheetId="7" r:id="rId7"/>
    <sheet name="8." sheetId="8" r:id="rId8"/>
    <sheet name="9." sheetId="9" r:id="rId9"/>
    <sheet name="11." sheetId="10" r:id="rId10"/>
    <sheet name="10." sheetId="32" r:id="rId11"/>
    <sheet name="12." sheetId="11" r:id="rId12"/>
    <sheet name="13." sheetId="12" r:id="rId13"/>
    <sheet name="14." sheetId="13" r:id="rId14"/>
    <sheet name="15." sheetId="14" r:id="rId15"/>
    <sheet name="16." sheetId="31" r:id="rId16"/>
    <sheet name="17." sheetId="16" r:id="rId17"/>
    <sheet name="18." sheetId="17" r:id="rId18"/>
    <sheet name="19." sheetId="18" r:id="rId19"/>
    <sheet name="20." sheetId="19" r:id="rId20"/>
    <sheet name="21." sheetId="20" r:id="rId21"/>
    <sheet name="22." sheetId="21" r:id="rId22"/>
    <sheet name="23." sheetId="22" r:id="rId23"/>
    <sheet name="24." sheetId="23" r:id="rId24"/>
    <sheet name="25." sheetId="24" r:id="rId25"/>
    <sheet name="26." sheetId="25" r:id="rId26"/>
    <sheet name="27." sheetId="33" r:id="rId27"/>
    <sheet name="28." sheetId="26" r:id="rId28"/>
    <sheet name="29." sheetId="27" r:id="rId29"/>
    <sheet name="30." sheetId="28" r:id="rId30"/>
    <sheet name="31. &amp; 32." sheetId="29" r:id="rId31"/>
    <sheet name="STOCK VALUATION AT RAGAN ENGINE" sheetId="34" r:id="rId32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4" l="1"/>
  <c r="D5" i="34"/>
  <c r="E5" i="34"/>
  <c r="F5" i="34"/>
  <c r="B28" i="34" s="1"/>
  <c r="B5" i="34"/>
  <c r="B24" i="34"/>
  <c r="B19" i="34"/>
  <c r="B15" i="34"/>
  <c r="B16" i="34"/>
  <c r="B17" i="34" s="1"/>
  <c r="B14" i="34"/>
  <c r="B10" i="34"/>
  <c r="B32" i="34" s="1"/>
  <c r="B9" i="34"/>
  <c r="B11" i="34" l="1"/>
  <c r="C20" i="34" l="1"/>
  <c r="D20" i="34"/>
  <c r="E20" i="34" s="1"/>
  <c r="F20" i="34" s="1"/>
  <c r="G20" i="34" s="1"/>
  <c r="B12" i="34"/>
  <c r="B13" i="34" s="1"/>
  <c r="B25" i="34" s="1"/>
  <c r="H20" i="34" l="1"/>
  <c r="B20" i="34" s="1"/>
  <c r="B21" i="34" s="1"/>
  <c r="B22" i="34" l="1"/>
  <c r="B26" i="34" s="1"/>
  <c r="D29" i="34"/>
  <c r="D30" i="34" s="1"/>
  <c r="C5" i="29" l="1"/>
  <c r="C1" i="29"/>
  <c r="C2" i="29" s="1"/>
  <c r="B5" i="29"/>
  <c r="C13" i="27"/>
  <c r="B11" i="27"/>
  <c r="B1" i="27"/>
  <c r="C2" i="27" s="1"/>
  <c r="B11" i="33"/>
  <c r="B10" i="33"/>
  <c r="B9" i="33"/>
  <c r="B8" i="33"/>
  <c r="C1" i="23"/>
  <c r="C2" i="20"/>
  <c r="B3" i="17"/>
  <c r="B5" i="17" s="1"/>
  <c r="C1" i="16"/>
  <c r="C1" i="13" l="1"/>
  <c r="B1" i="13"/>
  <c r="B2" i="13"/>
  <c r="E1" i="10"/>
  <c r="F1" i="10"/>
  <c r="E2" i="10"/>
  <c r="F2" i="10"/>
  <c r="E3" i="10"/>
  <c r="F3" i="10"/>
  <c r="C3" i="32"/>
  <c r="C2" i="32"/>
  <c r="B6" i="32"/>
  <c r="B5" i="32"/>
  <c r="B3" i="6"/>
  <c r="B1" i="21"/>
  <c r="J2" i="19"/>
  <c r="H2" i="19"/>
  <c r="B1" i="31"/>
  <c r="B1" i="14"/>
  <c r="B2" i="14" s="1"/>
  <c r="B1" i="12"/>
  <c r="D1" i="1"/>
  <c r="F2" i="31"/>
  <c r="B1" i="29"/>
  <c r="B2" i="29" s="1"/>
  <c r="C3" i="28"/>
  <c r="C2" i="28"/>
  <c r="C1" i="28"/>
  <c r="B13" i="27"/>
  <c r="B14" i="27" s="1"/>
  <c r="B15" i="27" s="1"/>
  <c r="B16" i="27" s="1"/>
  <c r="B9" i="27"/>
  <c r="B10" i="27" s="1"/>
  <c r="B5" i="27"/>
  <c r="B6" i="27" s="1"/>
  <c r="B2" i="27"/>
  <c r="B3" i="27" s="1"/>
  <c r="C7" i="26"/>
  <c r="D7" i="26" s="1"/>
  <c r="E7" i="26" s="1"/>
  <c r="F7" i="26" s="1"/>
  <c r="G7" i="26" s="1"/>
  <c r="B4" i="26"/>
  <c r="C3" i="26"/>
  <c r="D3" i="26" s="1"/>
  <c r="E3" i="26" s="1"/>
  <c r="F3" i="26" s="1"/>
  <c r="G3" i="26" s="1"/>
  <c r="C2" i="26"/>
  <c r="B2" i="25"/>
  <c r="B1" i="25"/>
  <c r="C2" i="25" s="1"/>
  <c r="C5" i="24"/>
  <c r="C6" i="24" s="1"/>
  <c r="C3" i="24"/>
  <c r="C4" i="24" s="1"/>
  <c r="C1" i="24"/>
  <c r="C2" i="24" s="1"/>
  <c r="B1" i="23"/>
  <c r="B2" i="23" s="1"/>
  <c r="B2" i="22"/>
  <c r="B1" i="22"/>
  <c r="B2" i="20"/>
  <c r="B1" i="20"/>
  <c r="K2" i="19"/>
  <c r="G2" i="19"/>
  <c r="I2" i="19" s="1"/>
  <c r="B1" i="18"/>
  <c r="B2" i="18" s="1"/>
  <c r="B1" i="17"/>
  <c r="B1" i="16"/>
  <c r="E1" i="11"/>
  <c r="E2" i="11" s="1"/>
  <c r="B1" i="9"/>
  <c r="B2" i="9" s="1"/>
  <c r="B1" i="8"/>
  <c r="B1" i="7"/>
  <c r="B1" i="6"/>
  <c r="D1" i="5"/>
  <c r="B1" i="4"/>
  <c r="B2" i="3"/>
  <c r="B1" i="3"/>
  <c r="D1" i="2"/>
  <c r="B3" i="20" l="1"/>
  <c r="B3" i="22"/>
  <c r="B3" i="25"/>
  <c r="C4" i="26"/>
  <c r="D2" i="26"/>
  <c r="B5" i="26"/>
  <c r="B6" i="26"/>
  <c r="B8" i="26" s="1"/>
  <c r="C4" i="28"/>
  <c r="C5" i="28" s="1"/>
  <c r="D3" i="1"/>
  <c r="D2" i="1"/>
  <c r="D4" i="26" l="1"/>
  <c r="E2" i="26"/>
  <c r="C5" i="26"/>
  <c r="C6" i="26"/>
  <c r="C8" i="26" s="1"/>
  <c r="E4" i="26" l="1"/>
  <c r="F2" i="26"/>
  <c r="D5" i="26"/>
  <c r="D6" i="26"/>
  <c r="D8" i="26" s="1"/>
  <c r="F4" i="26" l="1"/>
  <c r="G2" i="26"/>
  <c r="G4" i="26" s="1"/>
  <c r="E5" i="26"/>
  <c r="E6" i="26"/>
  <c r="E8" i="26" s="1"/>
  <c r="G5" i="26" l="1"/>
  <c r="G6" i="26"/>
  <c r="F5" i="26"/>
  <c r="F6" i="26"/>
  <c r="F8" i="26" s="1"/>
  <c r="G8" i="26" l="1"/>
  <c r="B14" i="26"/>
  <c r="B15" i="26" l="1"/>
  <c r="B16" i="26" s="1"/>
  <c r="B10" i="26"/>
  <c r="B11" i="26" s="1"/>
  <c r="B12" i="26" s="1"/>
</calcChain>
</file>

<file path=xl/sharedStrings.xml><?xml version="1.0" encoding="utf-8"?>
<sst xmlns="http://schemas.openxmlformats.org/spreadsheetml/2006/main" count="177" uniqueCount="137">
  <si>
    <t>The price of the stock today is:</t>
  </si>
  <si>
    <t>The price of the stock year_3  is:</t>
  </si>
  <si>
    <t>The price of the stock year_15  is:</t>
  </si>
  <si>
    <t>The required return of the stock is :</t>
  </si>
  <si>
    <t>Dividend yield</t>
  </si>
  <si>
    <t>Capital gains yield</t>
  </si>
  <si>
    <t>Price_stock_today</t>
  </si>
  <si>
    <t>The current dividend</t>
  </si>
  <si>
    <t>Price_today</t>
  </si>
  <si>
    <t>R</t>
  </si>
  <si>
    <t>The growth rate of earnings is :</t>
  </si>
  <si>
    <t>Next year’s earnings</t>
  </si>
  <si>
    <t>The price of the stock in Year 6 will be :</t>
  </si>
  <si>
    <t>The price of the stock in Year 3 will be :</t>
  </si>
  <si>
    <t>The price of the stock in Year 0 will be :</t>
  </si>
  <si>
    <t>The price of the stock in Year 9 will be:</t>
  </si>
  <si>
    <t>The price of the stock today will be:</t>
  </si>
  <si>
    <t>Price_year_4</t>
  </si>
  <si>
    <t>Price_year_0</t>
  </si>
  <si>
    <t>Price_year_3</t>
  </si>
  <si>
    <t>Dividend_year_0</t>
  </si>
  <si>
    <t>YTD %Chg</t>
  </si>
  <si>
    <t>Stock</t>
  </si>
  <si>
    <t>SYM</t>
  </si>
  <si>
    <t>YLD</t>
  </si>
  <si>
    <t>PE</t>
  </si>
  <si>
    <t>Last</t>
  </si>
  <si>
    <t>Net Chg</t>
  </si>
  <si>
    <t>RWJJ Enterp.</t>
  </si>
  <si>
    <t>RWJ</t>
  </si>
  <si>
    <t>Dividend</t>
  </si>
  <si>
    <t>Yesterday’s closing price</t>
  </si>
  <si>
    <t>EPS</t>
  </si>
  <si>
    <t>Net income</t>
  </si>
  <si>
    <t>PVA</t>
  </si>
  <si>
    <t>Price_quarter_12</t>
  </si>
  <si>
    <t>Next year’s dividend payment</t>
  </si>
  <si>
    <t>g</t>
  </si>
  <si>
    <t>Dividend per share</t>
  </si>
  <si>
    <t>D_7</t>
  </si>
  <si>
    <t>a.</t>
  </si>
  <si>
    <t>P</t>
  </si>
  <si>
    <t>times</t>
  </si>
  <si>
    <t>GP</t>
  </si>
  <si>
    <t>b.</t>
  </si>
  <si>
    <t>c.</t>
  </si>
  <si>
    <t>The current stock price</t>
  </si>
  <si>
    <t>Target stock price in one year</t>
  </si>
  <si>
    <t>The implied return over the next year</t>
  </si>
  <si>
    <t>Year 1</t>
  </si>
  <si>
    <t>Year 2</t>
  </si>
  <si>
    <t>Year 3</t>
  </si>
  <si>
    <t>Year 4</t>
  </si>
  <si>
    <t>Year 5</t>
  </si>
  <si>
    <t>Year 6</t>
  </si>
  <si>
    <t>Sales</t>
  </si>
  <si>
    <t>Costs</t>
  </si>
  <si>
    <t>EBT</t>
  </si>
  <si>
    <t>Taxes</t>
  </si>
  <si>
    <t>Tax Rate</t>
  </si>
  <si>
    <t>Terminal value</t>
  </si>
  <si>
    <t>Company value today</t>
  </si>
  <si>
    <t>Share price</t>
  </si>
  <si>
    <t>Price_W</t>
  </si>
  <si>
    <t>Dividend yield_W</t>
  </si>
  <si>
    <t>Capital gains yield_W</t>
  </si>
  <si>
    <t>Price_X</t>
  </si>
  <si>
    <t>Dividend yield_X</t>
  </si>
  <si>
    <t>Capital gains yield_X</t>
  </si>
  <si>
    <t>Price_Y</t>
  </si>
  <si>
    <t>Dividend yield_Y</t>
  </si>
  <si>
    <t>Capital gains yield_Y</t>
  </si>
  <si>
    <t>Price_2 year_Z</t>
  </si>
  <si>
    <t>Price_0 year_Z</t>
  </si>
  <si>
    <t>Dividend yield_Z</t>
  </si>
  <si>
    <t>Capital gains yield_Z</t>
  </si>
  <si>
    <t>Price</t>
  </si>
  <si>
    <t>Quarterly dividend</t>
  </si>
  <si>
    <t>Effective quarterly rate</t>
  </si>
  <si>
    <t>Effective _D1</t>
  </si>
  <si>
    <t>Price_3 year</t>
  </si>
  <si>
    <t>Price_0 year</t>
  </si>
  <si>
    <t>Price_Year 0</t>
  </si>
  <si>
    <t>Dividend_ Year 0</t>
  </si>
  <si>
    <t>Dividend_ Year 1</t>
  </si>
  <si>
    <t xml:space="preserve">Net Investment </t>
  </si>
  <si>
    <t>Cash flows</t>
  </si>
  <si>
    <t>Required return</t>
  </si>
  <si>
    <t>Price_18</t>
  </si>
  <si>
    <t>Price_21</t>
  </si>
  <si>
    <t>CurrentPrice</t>
  </si>
  <si>
    <t>CurrentDividend</t>
  </si>
  <si>
    <t xml:space="preserve">Yearly sales </t>
  </si>
  <si>
    <t>Debt</t>
  </si>
  <si>
    <t>Shares outstanding</t>
  </si>
  <si>
    <t>EV/EBITDA multiple</t>
  </si>
  <si>
    <t xml:space="preserve">Cash </t>
  </si>
  <si>
    <t>EBITDA</t>
  </si>
  <si>
    <t>Enterprise value</t>
  </si>
  <si>
    <t>Equity value</t>
  </si>
  <si>
    <t>Stock price</t>
  </si>
  <si>
    <t>DPS</t>
  </si>
  <si>
    <t>Stock Price</t>
  </si>
  <si>
    <t>ROE</t>
  </si>
  <si>
    <t>Blue Ribband Motors Corp.</t>
  </si>
  <si>
    <t>Bon Voyage Marine, Inc.</t>
  </si>
  <si>
    <t>Nautilus Marine Engines</t>
  </si>
  <si>
    <t>Industry average</t>
  </si>
  <si>
    <t>N/A</t>
  </si>
  <si>
    <t xml:space="preserve">Ragan </t>
  </si>
  <si>
    <t>Dividends</t>
  </si>
  <si>
    <t>each</t>
  </si>
  <si>
    <t>Shares of stock</t>
  </si>
  <si>
    <t>Total earnings</t>
  </si>
  <si>
    <t>Payback ratio</t>
  </si>
  <si>
    <t>Total equity value</t>
  </si>
  <si>
    <t>Value per share</t>
  </si>
  <si>
    <t>Industry EPS</t>
  </si>
  <si>
    <t>Industry payout ratio</t>
  </si>
  <si>
    <t>Industry retention ratio</t>
  </si>
  <si>
    <t>D1</t>
  </si>
  <si>
    <t>D2</t>
  </si>
  <si>
    <t>D3</t>
  </si>
  <si>
    <t>D4</t>
  </si>
  <si>
    <t>D5</t>
  </si>
  <si>
    <t>D6</t>
  </si>
  <si>
    <t>D0</t>
  </si>
  <si>
    <t>Stock value in Year 5</t>
  </si>
  <si>
    <t>Value of stock today</t>
  </si>
  <si>
    <t>Industry PE</t>
  </si>
  <si>
    <t>Ragan PE</t>
  </si>
  <si>
    <t>original assumptions</t>
  </si>
  <si>
    <t>revised assumptions</t>
  </si>
  <si>
    <t>Cash cow value</t>
  </si>
  <si>
    <t>Percentage of value not attributable to growth opportunities</t>
  </si>
  <si>
    <t>Percentage of value attributable to growth opportunities</t>
  </si>
  <si>
    <r>
      <t xml:space="preserve">Industry </t>
    </r>
    <r>
      <rPr>
        <i/>
        <sz val="12"/>
        <color theme="1"/>
        <rFont val="Arial Narrow"/>
        <family val="2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</si>
</sst>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164" formatCode="0.0%"/>
    <numFmt numFmtId="165" formatCode="&quot;$&quot;#,##0.000_);[Red]\(&quot;$&quot;#,##0.000\)"/>
    <numFmt numFmtId="166" formatCode="&quot;$&quot;#,##0"/>
    <numFmt numFmtId="167" formatCode="&quot;$&quot;#,##0.00"/>
    <numFmt numFmtId="168" formatCode="&quot;$&quot;#,##0.0000_);[Red]\(&quot;$&quot;#,##0.0000\)"/>
    <numFmt numFmtId="169" formatCode="&quot;$&quot;#,##0.0_);[Red]\(&quot;$&quot;#,##0.0\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indexed="9"/>
      <name val="Arial Narrow"/>
      <family val="2"/>
    </font>
    <font>
      <sz val="12"/>
      <color indexed="63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theme="1"/>
      <name val="Calibri"/>
      <family val="2"/>
      <scheme val="minor"/>
    </font>
    <font>
      <u/>
      <sz val="12"/>
      <color indexed="63"/>
      <name val="Arial Narrow"/>
      <family val="2"/>
    </font>
    <font>
      <i/>
      <sz val="12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D5622A"/>
        <bgColor indexed="64"/>
      </patternFill>
    </fill>
    <fill>
      <patternFill patternType="solid">
        <fgColor rgb="FFFFE1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0D8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98">
    <xf numFmtId="0" fontId="0" fillId="0" borderId="0" xfId="0"/>
    <xf numFmtId="0" fontId="7" fillId="0" borderId="0" xfId="0" applyFont="1"/>
    <xf numFmtId="0" fontId="7" fillId="0" borderId="2" xfId="0" applyFont="1" applyBorder="1"/>
    <xf numFmtId="0" fontId="7" fillId="0" borderId="1" xfId="0" applyFont="1" applyBorder="1"/>
    <xf numFmtId="0" fontId="7" fillId="0" borderId="4" xfId="0" applyFont="1" applyBorder="1"/>
    <xf numFmtId="0" fontId="7" fillId="0" borderId="3" xfId="0" applyFont="1" applyBorder="1"/>
    <xf numFmtId="0" fontId="8" fillId="0" borderId="0" xfId="0" applyFont="1"/>
    <xf numFmtId="0" fontId="9" fillId="2" borderId="0" xfId="0" applyFont="1" applyFill="1" applyAlignment="1">
      <alignment horizontal="center" vertical="top" wrapText="1"/>
    </xf>
    <xf numFmtId="0" fontId="10" fillId="3" borderId="0" xfId="0" applyFont="1" applyFill="1" applyAlignment="1">
      <alignment horizontal="center" vertical="top" wrapText="1"/>
    </xf>
    <xf numFmtId="1" fontId="10" fillId="3" borderId="0" xfId="0" applyNumberFormat="1" applyFont="1" applyFill="1" applyAlignment="1">
      <alignment horizontal="center" vertical="top" shrinkToFit="1"/>
    </xf>
    <xf numFmtId="8" fontId="10" fillId="3" borderId="0" xfId="0" applyNumberFormat="1" applyFont="1" applyFill="1" applyAlignment="1">
      <alignment horizontal="center" vertical="top" shrinkToFit="1"/>
    </xf>
    <xf numFmtId="8" fontId="10" fillId="3" borderId="0" xfId="0" applyNumberFormat="1" applyFont="1" applyFill="1" applyAlignment="1">
      <alignment horizontal="center" vertical="top" wrapText="1"/>
    </xf>
    <xf numFmtId="164" fontId="10" fillId="3" borderId="0" xfId="0" applyNumberFormat="1" applyFont="1" applyFill="1" applyAlignment="1">
      <alignment horizontal="left" vertical="top" indent="2" shrinkToFit="1"/>
    </xf>
    <xf numFmtId="6" fontId="10" fillId="3" borderId="0" xfId="0" applyNumberFormat="1" applyFont="1" applyFill="1" applyAlignment="1">
      <alignment horizontal="center" vertical="top" wrapText="1"/>
    </xf>
    <xf numFmtId="164" fontId="10" fillId="3" borderId="0" xfId="0" applyNumberFormat="1" applyFont="1" applyFill="1" applyAlignment="1">
      <alignment horizontal="center" vertical="top" shrinkToFit="1"/>
    </xf>
    <xf numFmtId="8" fontId="0" fillId="0" borderId="0" xfId="0" applyNumberFormat="1"/>
    <xf numFmtId="165" fontId="7" fillId="4" borderId="0" xfId="0" applyNumberFormat="1" applyFont="1" applyFill="1"/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vertical="top" wrapText="1" indent="1"/>
    </xf>
    <xf numFmtId="166" fontId="12" fillId="0" borderId="0" xfId="0" applyNumberFormat="1" applyFont="1" applyAlignment="1">
      <alignment horizontal="right" vertical="top" shrinkToFit="1"/>
    </xf>
    <xf numFmtId="3" fontId="12" fillId="0" borderId="0" xfId="0" applyNumberFormat="1" applyFont="1" applyAlignment="1">
      <alignment horizontal="right" vertical="top" shrinkToFit="1"/>
    </xf>
    <xf numFmtId="3" fontId="12" fillId="0" borderId="5" xfId="0" applyNumberFormat="1" applyFont="1" applyBorder="1" applyAlignment="1">
      <alignment horizontal="right" vertical="top" shrinkToFit="1"/>
    </xf>
    <xf numFmtId="10" fontId="0" fillId="0" borderId="0" xfId="0" applyNumberFormat="1"/>
    <xf numFmtId="8" fontId="7" fillId="0" borderId="7" xfId="0" applyNumberFormat="1" applyFont="1" applyBorder="1"/>
    <xf numFmtId="8" fontId="7" fillId="0" borderId="7" xfId="0" applyNumberFormat="1" applyFont="1" applyBorder="1" applyAlignment="1">
      <alignment horizontal="right"/>
    </xf>
    <xf numFmtId="0" fontId="7" fillId="0" borderId="8" xfId="0" applyFont="1" applyBorder="1"/>
    <xf numFmtId="10" fontId="7" fillId="0" borderId="7" xfId="0" applyNumberFormat="1" applyFont="1" applyBorder="1"/>
    <xf numFmtId="0" fontId="7" fillId="0" borderId="7" xfId="0" applyFont="1" applyBorder="1"/>
    <xf numFmtId="164" fontId="7" fillId="0" borderId="7" xfId="0" applyNumberFormat="1" applyFont="1" applyBorder="1"/>
    <xf numFmtId="0" fontId="6" fillId="0" borderId="7" xfId="0" applyFont="1" applyBorder="1"/>
    <xf numFmtId="8" fontId="6" fillId="0" borderId="7" xfId="0" applyNumberFormat="1" applyFont="1" applyBorder="1"/>
    <xf numFmtId="169" fontId="7" fillId="0" borderId="7" xfId="0" applyNumberFormat="1" applyFont="1" applyBorder="1"/>
    <xf numFmtId="0" fontId="8" fillId="0" borderId="7" xfId="0" applyFont="1" applyBorder="1"/>
    <xf numFmtId="6" fontId="7" fillId="0" borderId="7" xfId="0" applyNumberFormat="1" applyFont="1" applyBorder="1"/>
    <xf numFmtId="8" fontId="7" fillId="4" borderId="7" xfId="0" applyNumberFormat="1" applyFont="1" applyFill="1" applyBorder="1"/>
    <xf numFmtId="4" fontId="7" fillId="0" borderId="7" xfId="0" applyNumberFormat="1" applyFont="1" applyBorder="1"/>
    <xf numFmtId="0" fontId="8" fillId="0" borderId="0" xfId="0" applyFont="1" applyBorder="1"/>
    <xf numFmtId="0" fontId="7" fillId="0" borderId="9" xfId="0" applyFont="1" applyBorder="1"/>
    <xf numFmtId="8" fontId="7" fillId="0" borderId="9" xfId="0" applyNumberFormat="1" applyFont="1" applyBorder="1"/>
    <xf numFmtId="0" fontId="0" fillId="0" borderId="0" xfId="0" applyBorder="1"/>
    <xf numFmtId="0" fontId="7" fillId="0" borderId="0" xfId="0" applyFont="1" applyBorder="1"/>
    <xf numFmtId="165" fontId="7" fillId="4" borderId="7" xfId="0" applyNumberFormat="1" applyFont="1" applyFill="1" applyBorder="1"/>
    <xf numFmtId="9" fontId="7" fillId="0" borderId="7" xfId="0" applyNumberFormat="1" applyFont="1" applyBorder="1"/>
    <xf numFmtId="0" fontId="12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 wrapText="1" indent="1"/>
    </xf>
    <xf numFmtId="166" fontId="13" fillId="0" borderId="6" xfId="0" applyNumberFormat="1" applyFont="1" applyBorder="1" applyAlignment="1">
      <alignment horizontal="right" vertical="top" shrinkToFit="1"/>
    </xf>
    <xf numFmtId="0" fontId="12" fillId="0" borderId="7" xfId="0" applyFont="1" applyBorder="1" applyAlignment="1">
      <alignment horizontal="left" vertical="top" wrapText="1"/>
    </xf>
    <xf numFmtId="166" fontId="12" fillId="0" borderId="7" xfId="0" applyNumberFormat="1" applyFont="1" applyBorder="1" applyAlignment="1">
      <alignment horizontal="right" vertical="top" shrinkToFit="1"/>
    </xf>
    <xf numFmtId="167" fontId="12" fillId="0" borderId="7" xfId="0" applyNumberFormat="1" applyFont="1" applyBorder="1" applyAlignment="1">
      <alignment horizontal="right" vertical="top" shrinkToFit="1"/>
    </xf>
    <xf numFmtId="0" fontId="12" fillId="0" borderId="7" xfId="0" applyFont="1" applyBorder="1" applyAlignment="1">
      <alignment horizontal="left" vertical="top" wrapText="1" indent="2"/>
    </xf>
    <xf numFmtId="0" fontId="7" fillId="0" borderId="7" xfId="0" applyFont="1" applyBorder="1" applyAlignment="1">
      <alignment horizontal="left"/>
    </xf>
    <xf numFmtId="8" fontId="7" fillId="0" borderId="7" xfId="0" applyNumberFormat="1" applyFont="1" applyBorder="1" applyAlignment="1"/>
    <xf numFmtId="9" fontId="7" fillId="0" borderId="7" xfId="0" applyNumberFormat="1" applyFont="1" applyBorder="1" applyAlignment="1"/>
    <xf numFmtId="168" fontId="7" fillId="0" borderId="7" xfId="0" applyNumberFormat="1" applyFont="1" applyBorder="1"/>
    <xf numFmtId="10" fontId="7" fillId="4" borderId="7" xfId="0" applyNumberFormat="1" applyFont="1" applyFill="1" applyBorder="1"/>
    <xf numFmtId="0" fontId="5" fillId="0" borderId="7" xfId="1" applyFont="1" applyBorder="1"/>
    <xf numFmtId="8" fontId="5" fillId="0" borderId="7" xfId="1" applyNumberFormat="1" applyFont="1" applyBorder="1"/>
    <xf numFmtId="164" fontId="5" fillId="0" borderId="7" xfId="1" applyNumberFormat="1" applyFont="1" applyBorder="1"/>
    <xf numFmtId="0" fontId="4" fillId="0" borderId="0" xfId="0" applyFont="1"/>
    <xf numFmtId="0" fontId="4" fillId="0" borderId="7" xfId="0" applyFont="1" applyBorder="1"/>
    <xf numFmtId="8" fontId="4" fillId="0" borderId="7" xfId="0" applyNumberFormat="1" applyFont="1" applyBorder="1"/>
    <xf numFmtId="8" fontId="14" fillId="0" borderId="0" xfId="1" applyNumberFormat="1"/>
    <xf numFmtId="0" fontId="3" fillId="0" borderId="7" xfId="1" applyFont="1" applyBorder="1"/>
    <xf numFmtId="164" fontId="3" fillId="0" borderId="7" xfId="1" applyNumberFormat="1" applyFont="1" applyBorder="1"/>
    <xf numFmtId="8" fontId="3" fillId="0" borderId="7" xfId="1" applyNumberFormat="1" applyFont="1" applyBorder="1"/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10" fontId="2" fillId="0" borderId="7" xfId="1" applyNumberFormat="1" applyFont="1" applyBorder="1"/>
    <xf numFmtId="0" fontId="2" fillId="0" borderId="0" xfId="0" applyFont="1"/>
    <xf numFmtId="0" fontId="2" fillId="0" borderId="7" xfId="0" applyFont="1" applyBorder="1"/>
    <xf numFmtId="6" fontId="2" fillId="0" borderId="7" xfId="0" applyNumberFormat="1" applyFont="1" applyBorder="1"/>
    <xf numFmtId="0" fontId="2" fillId="0" borderId="7" xfId="0" applyNumberFormat="1" applyFont="1" applyBorder="1"/>
    <xf numFmtId="8" fontId="2" fillId="0" borderId="7" xfId="0" applyNumberFormat="1" applyFont="1" applyBorder="1"/>
    <xf numFmtId="0" fontId="9" fillId="2" borderId="0" xfId="0" applyFont="1" applyFill="1" applyAlignment="1">
      <alignment vertical="top" wrapText="1"/>
    </xf>
    <xf numFmtId="0" fontId="10" fillId="5" borderId="0" xfId="0" applyFont="1" applyFill="1" applyAlignment="1">
      <alignment vertical="top" wrapText="1"/>
    </xf>
    <xf numFmtId="8" fontId="10" fillId="5" borderId="0" xfId="0" applyNumberFormat="1" applyFont="1" applyFill="1" applyAlignment="1">
      <alignment vertical="top" shrinkToFit="1"/>
    </xf>
    <xf numFmtId="8" fontId="15" fillId="5" borderId="0" xfId="0" applyNumberFormat="1" applyFont="1" applyFill="1" applyAlignment="1">
      <alignment vertical="top" wrapText="1"/>
    </xf>
    <xf numFmtId="9" fontId="10" fillId="5" borderId="0" xfId="0" applyNumberFormat="1" applyFont="1" applyFill="1" applyAlignment="1">
      <alignment vertical="top" shrinkToFit="1"/>
    </xf>
    <xf numFmtId="9" fontId="10" fillId="5" borderId="0" xfId="0" applyNumberFormat="1" applyFont="1" applyFill="1" applyAlignment="1">
      <alignment horizontal="center" vertical="top" shrinkToFit="1"/>
    </xf>
    <xf numFmtId="6" fontId="10" fillId="5" borderId="0" xfId="0" applyNumberFormat="1" applyFont="1" applyFill="1" applyAlignment="1">
      <alignment vertical="top" shrinkToFit="1"/>
    </xf>
    <xf numFmtId="0" fontId="10" fillId="5" borderId="0" xfId="0" applyNumberFormat="1" applyFont="1" applyFill="1" applyAlignment="1">
      <alignment vertical="top" shrinkToFit="1"/>
    </xf>
    <xf numFmtId="0" fontId="1" fillId="0" borderId="0" xfId="0" applyFont="1"/>
    <xf numFmtId="8" fontId="1" fillId="0" borderId="0" xfId="0" applyNumberFormat="1" applyFont="1"/>
    <xf numFmtId="10" fontId="10" fillId="5" borderId="0" xfId="0" applyNumberFormat="1" applyFont="1" applyFill="1" applyAlignment="1">
      <alignment vertical="top" wrapText="1"/>
    </xf>
    <xf numFmtId="8" fontId="10" fillId="5" borderId="0" xfId="0" applyNumberFormat="1" applyFont="1" applyFill="1" applyAlignment="1">
      <alignment vertical="top" wrapText="1"/>
    </xf>
    <xf numFmtId="0" fontId="1" fillId="0" borderId="7" xfId="0" applyFont="1" applyBorder="1"/>
    <xf numFmtId="6" fontId="1" fillId="0" borderId="7" xfId="0" applyNumberFormat="1" applyFont="1" applyBorder="1"/>
    <xf numFmtId="0" fontId="16" fillId="0" borderId="7" xfId="0" applyFont="1" applyBorder="1" applyAlignment="1">
      <alignment horizontal="center"/>
    </xf>
    <xf numFmtId="8" fontId="1" fillId="0" borderId="7" xfId="0" applyNumberFormat="1" applyFont="1" applyBorder="1"/>
    <xf numFmtId="2" fontId="1" fillId="0" borderId="7" xfId="0" applyNumberFormat="1" applyFont="1" applyBorder="1"/>
    <xf numFmtId="4" fontId="1" fillId="0" borderId="7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0" fontId="1" fillId="0" borderId="7" xfId="0" applyNumberFormat="1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3" xfId="0" applyFont="1" applyBorder="1"/>
  </cellXfs>
  <cellStyles count="2">
    <cellStyle name="Normal" xfId="0" builtinId="0"/>
    <cellStyle name="Normal 2" xfId="1" xr:uid="{1BEFD64D-8900-455D-B0B4-5B0CCE180C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DCF-4A78-47C7-8BC3-2878F073C52A}">
  <dimension ref="A1:D3"/>
  <sheetViews>
    <sheetView showGridLines="0" zoomScale="145" zoomScaleNormal="145" workbookViewId="0">
      <selection activeCell="C3" sqref="C3"/>
    </sheetView>
  </sheetViews>
  <sheetFormatPr defaultRowHeight="15.05" x14ac:dyDescent="0.3"/>
  <cols>
    <col min="3" max="3" width="8.88671875" customWidth="1"/>
    <col min="4" max="5" width="7.6640625" bestFit="1" customWidth="1"/>
  </cols>
  <sheetData>
    <row r="1" spans="1:4" ht="15.65" x14ac:dyDescent="0.3">
      <c r="A1" s="2" t="s">
        <v>0</v>
      </c>
      <c r="B1" s="2"/>
      <c r="C1" s="3"/>
      <c r="D1" s="24">
        <f>FV(0.043,1,,-2.07)/(0.11-0.043)</f>
        <v>32.224029850746263</v>
      </c>
    </row>
    <row r="2" spans="1:4" ht="15.65" x14ac:dyDescent="0.3">
      <c r="A2" s="4" t="s">
        <v>1</v>
      </c>
      <c r="B2" s="4"/>
      <c r="C2" s="5"/>
      <c r="D2" s="24">
        <f>FV(0.043,3,,-D1)</f>
        <v>36.562238431015956</v>
      </c>
    </row>
    <row r="3" spans="1:4" ht="15.65" x14ac:dyDescent="0.3">
      <c r="A3" s="4" t="s">
        <v>2</v>
      </c>
      <c r="B3" s="4"/>
      <c r="C3" s="5"/>
      <c r="D3" s="24">
        <f>FV(0.043,15,,-D1)</f>
        <v>60.596072646802575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2CF0-D451-4862-B56D-9ACB84C60BA4}">
  <dimension ref="A1:F3"/>
  <sheetViews>
    <sheetView showGridLines="0" zoomScale="145" zoomScaleNormal="145" workbookViewId="0">
      <selection activeCell="E3" sqref="E3"/>
    </sheetView>
  </sheetViews>
  <sheetFormatPr defaultRowHeight="15.05" x14ac:dyDescent="0.3"/>
  <cols>
    <col min="4" max="4" width="4.44140625" customWidth="1"/>
  </cols>
  <sheetData>
    <row r="1" spans="1:6" ht="15.65" x14ac:dyDescent="0.3">
      <c r="A1" s="27" t="s">
        <v>12</v>
      </c>
      <c r="B1" s="27"/>
      <c r="C1" s="27"/>
      <c r="D1" s="27"/>
      <c r="E1" s="23">
        <f>3.15*(1+0.04)^7/(0.11-0.04)</f>
        <v>59.216930065612807</v>
      </c>
      <c r="F1" s="23">
        <f>FV(0.04,7,,-3.15)/(0.11-0.04)</f>
        <v>59.216930065612807</v>
      </c>
    </row>
    <row r="2" spans="1:6" ht="15.65" x14ac:dyDescent="0.3">
      <c r="A2" s="27" t="s">
        <v>13</v>
      </c>
      <c r="B2" s="27"/>
      <c r="C2" s="27"/>
      <c r="D2" s="27"/>
      <c r="E2" s="23">
        <f>PV(0.13,1,,FV(0.04,4,,3.15))+PV(0.13,2,,FV(0.04,5,,3.15))+PV(0.13,3,,FV(0.04,6,,3.15))+PV(0.13,3,,-E1)</f>
        <v>50.06511693145778</v>
      </c>
      <c r="F2" s="23">
        <f>FV(0.04,4,,-3.15)*PV(0.13,1,,-1)+FV(0.04,5,,-3.15)*PV(0.13,2,,-1)+FV(0.04,6,,-3.15)*PV(0.13,3,,-1)+PV(0.13,3,,-E1)</f>
        <v>50.06511693145778</v>
      </c>
    </row>
    <row r="3" spans="1:6" ht="15.65" x14ac:dyDescent="0.3">
      <c r="A3" s="27" t="s">
        <v>14</v>
      </c>
      <c r="B3" s="27"/>
      <c r="C3" s="27"/>
      <c r="D3" s="27"/>
      <c r="E3" s="23">
        <f>PV(0.15,1,,FV(0.04,1,,3.15))+PV(0.15,2,,FV(0.04,2,,3.15))+PV(0.15,3,,FV(0.04,3,,3.15))+PV(0.15,3,,-E2)</f>
        <v>40.67332590216671</v>
      </c>
      <c r="F3" s="23">
        <f>FV(0.04,1,,-3.15)*PV(0.15,1,,-1)+FV(0.04,2,,-3.15)*PV(0.15,2,,-1)+FV(0.04,3,,-3.15)*PV(0.15,3,,-1)+PV(0.15,3,,-E2)</f>
        <v>40.67332590216671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1FA5-6F7C-4A9D-8D3F-B88E75949613}">
  <dimension ref="A1:C6"/>
  <sheetViews>
    <sheetView showGridLines="0" zoomScale="145" zoomScaleNormal="145" workbookViewId="0">
      <selection activeCell="D5" sqref="D5"/>
    </sheetView>
  </sheetViews>
  <sheetFormatPr defaultRowHeight="15.05" x14ac:dyDescent="0.3"/>
  <cols>
    <col min="3" max="3" width="3" bestFit="1" customWidth="1"/>
  </cols>
  <sheetData>
    <row r="1" spans="1:3" ht="15.65" x14ac:dyDescent="0.3">
      <c r="A1" s="59" t="s">
        <v>32</v>
      </c>
      <c r="B1" s="60">
        <v>3.41</v>
      </c>
      <c r="C1" s="58"/>
    </row>
    <row r="2" spans="1:3" ht="15.65" x14ac:dyDescent="0.3">
      <c r="A2" s="59" t="s">
        <v>25</v>
      </c>
      <c r="B2" s="59">
        <v>18</v>
      </c>
      <c r="C2" s="58">
        <f>$B5/$B$1</f>
        <v>18</v>
      </c>
    </row>
    <row r="3" spans="1:3" ht="15.65" x14ac:dyDescent="0.3">
      <c r="A3" s="59" t="s">
        <v>25</v>
      </c>
      <c r="B3" s="59">
        <v>21</v>
      </c>
      <c r="C3" s="58">
        <f>$B6/$B$1</f>
        <v>21</v>
      </c>
    </row>
    <row r="4" spans="1:3" ht="15.65" x14ac:dyDescent="0.3">
      <c r="A4" s="58"/>
      <c r="B4" s="58"/>
      <c r="C4" s="58"/>
    </row>
    <row r="5" spans="1:3" ht="15.65" x14ac:dyDescent="0.3">
      <c r="A5" s="59" t="s">
        <v>88</v>
      </c>
      <c r="B5" s="60">
        <f>$B2*$B$1</f>
        <v>61.38</v>
      </c>
      <c r="C5" s="58"/>
    </row>
    <row r="6" spans="1:3" ht="15.65" x14ac:dyDescent="0.3">
      <c r="A6" s="59" t="s">
        <v>89</v>
      </c>
      <c r="B6" s="60">
        <f>$B3*$B$1</f>
        <v>71.61</v>
      </c>
      <c r="C6" s="58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2199-102B-44E4-981F-1E8812FB82B1}">
  <dimension ref="A1:E2"/>
  <sheetViews>
    <sheetView showGridLines="0" zoomScale="145" zoomScaleNormal="145" workbookViewId="0">
      <selection activeCell="B1" sqref="B1"/>
    </sheetView>
  </sheetViews>
  <sheetFormatPr defaultRowHeight="15.05" x14ac:dyDescent="0.3"/>
  <cols>
    <col min="4" max="4" width="3.6640625" customWidth="1"/>
  </cols>
  <sheetData>
    <row r="1" spans="1:5" ht="15.65" x14ac:dyDescent="0.3">
      <c r="A1" s="27" t="s">
        <v>15</v>
      </c>
      <c r="B1" s="27"/>
      <c r="C1" s="27"/>
      <c r="D1" s="27"/>
      <c r="E1" s="23">
        <f>15.75/(0.12-0.048)</f>
        <v>218.75000000000003</v>
      </c>
    </row>
    <row r="2" spans="1:5" ht="15.65" x14ac:dyDescent="0.3">
      <c r="A2" s="27" t="s">
        <v>16</v>
      </c>
      <c r="B2" s="27"/>
      <c r="C2" s="27"/>
      <c r="D2" s="27"/>
      <c r="E2" s="23">
        <f>PV(0.12,9,,-E1)</f>
        <v>78.883442964720544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2345-34CC-4C13-8C66-5BD044438314}">
  <dimension ref="A1:B1"/>
  <sheetViews>
    <sheetView showGridLines="0" zoomScale="145" zoomScaleNormal="145" workbookViewId="0"/>
  </sheetViews>
  <sheetFormatPr defaultRowHeight="15.05" x14ac:dyDescent="0.3"/>
  <cols>
    <col min="1" max="1" width="17.33203125" bestFit="1" customWidth="1"/>
  </cols>
  <sheetData>
    <row r="1" spans="1:2" ht="15.65" x14ac:dyDescent="0.3">
      <c r="A1" s="27" t="s">
        <v>6</v>
      </c>
      <c r="B1" s="23">
        <f>NPV(0.11,15+3,18+3,21+3,24+3,27+3)</f>
        <v>86.398156609235912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E8E7-D143-4269-9163-9FDA4C43123B}">
  <dimension ref="A1:C2"/>
  <sheetViews>
    <sheetView showGridLines="0" zoomScale="145" zoomScaleNormal="145" workbookViewId="0">
      <selection activeCell="B2" sqref="B2"/>
    </sheetView>
  </sheetViews>
  <sheetFormatPr defaultRowHeight="15.05" x14ac:dyDescent="0.3"/>
  <cols>
    <col min="1" max="1" width="13.33203125" customWidth="1"/>
    <col min="2" max="2" width="7.6640625" bestFit="1" customWidth="1"/>
  </cols>
  <sheetData>
    <row r="1" spans="1:3" ht="15.65" x14ac:dyDescent="0.3">
      <c r="A1" s="27" t="s">
        <v>17</v>
      </c>
      <c r="B1" s="23">
        <f>2.55*(1+0.045)/(0.1-0.045)</f>
        <v>48.449999999999989</v>
      </c>
      <c r="C1" s="23">
        <f>FV(0.045,1,,-2.55)/(0.1-0.045)</f>
        <v>48.449999999999989</v>
      </c>
    </row>
    <row r="2" spans="1:3" ht="15.65" x14ac:dyDescent="0.3">
      <c r="A2" s="27" t="s">
        <v>18</v>
      </c>
      <c r="B2" s="23">
        <f>NPV(0.1,9,7,5.75,2.55+B1)</f>
        <v>53.120688477562986</v>
      </c>
      <c r="C2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A1F4-3AB2-406F-8C46-2FFD9F85A0A0}">
  <dimension ref="A1:C2"/>
  <sheetViews>
    <sheetView showGridLines="0" zoomScale="145" zoomScaleNormal="145" workbookViewId="0">
      <selection activeCell="B2" sqref="B2"/>
    </sheetView>
  </sheetViews>
  <sheetFormatPr defaultRowHeight="15.05" x14ac:dyDescent="0.3"/>
  <cols>
    <col min="1" max="1" width="12.5546875" bestFit="1" customWidth="1"/>
  </cols>
  <sheetData>
    <row r="1" spans="1:3" ht="15.65" x14ac:dyDescent="0.3">
      <c r="A1" s="27" t="s">
        <v>19</v>
      </c>
      <c r="B1" s="23">
        <f>3.24*(1+0.2)^3*(1+0.05)/(0.11-0.05)</f>
        <v>97.97760000000001</v>
      </c>
      <c r="C1" s="15"/>
    </row>
    <row r="2" spans="1:3" ht="15.65" x14ac:dyDescent="0.3">
      <c r="A2" s="27" t="s">
        <v>18</v>
      </c>
      <c r="B2" s="23">
        <f>NPV(0.11,FV(0.2,1,,-3.24),FV(0.2,2,,-3.24),FV(0.2,3,,-3.24)+B1)</f>
        <v>83.023520818115401</v>
      </c>
      <c r="C2" s="6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59E4-C7CB-4E5F-8524-DA248A970041}">
  <dimension ref="A1:F2"/>
  <sheetViews>
    <sheetView showGridLines="0" zoomScale="145" zoomScaleNormal="145" workbookViewId="0">
      <selection activeCell="B1" sqref="B1"/>
    </sheetView>
  </sheetViews>
  <sheetFormatPr defaultRowHeight="15.05" x14ac:dyDescent="0.3"/>
  <cols>
    <col min="1" max="1" width="14.33203125" customWidth="1"/>
    <col min="2" max="2" width="7.6640625" bestFit="1" customWidth="1"/>
    <col min="5" max="5" width="14.6640625" bestFit="1" customWidth="1"/>
  </cols>
  <sheetData>
    <row r="1" spans="1:6" ht="15.65" x14ac:dyDescent="0.3">
      <c r="A1" s="27" t="s">
        <v>82</v>
      </c>
      <c r="B1" s="23">
        <f>NPV(0.11,FV(0.25,1,,-F1),FV(0.25,2,,-F1),FV(0.25,3,,-F1),FV(0.25,3,,-F1)*1.17+F1*(1.25)^3*(1.17)*(1.05)/(0.11-0.05))</f>
        <v>65</v>
      </c>
      <c r="C1" s="1"/>
      <c r="D1" s="1"/>
      <c r="E1" s="27" t="s">
        <v>83</v>
      </c>
      <c r="F1" s="23">
        <v>2.0523828996979878</v>
      </c>
    </row>
    <row r="2" spans="1:6" ht="15.65" x14ac:dyDescent="0.3">
      <c r="A2" s="1"/>
      <c r="B2" s="1"/>
      <c r="C2" s="1"/>
      <c r="D2" s="1"/>
      <c r="E2" s="27" t="s">
        <v>84</v>
      </c>
      <c r="F2" s="23">
        <f>FV(0.25,1,,-F1)</f>
        <v>2.565478624622485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386B-7946-446E-BA92-3AA42EF442E8}">
  <dimension ref="A1:C1"/>
  <sheetViews>
    <sheetView showGridLines="0" zoomScale="145" zoomScaleNormal="145" workbookViewId="0">
      <selection activeCell="B1" sqref="B1"/>
    </sheetView>
  </sheetViews>
  <sheetFormatPr defaultRowHeight="15.05" x14ac:dyDescent="0.3"/>
  <cols>
    <col min="1" max="1" width="12.5546875" bestFit="1" customWidth="1"/>
  </cols>
  <sheetData>
    <row r="1" spans="1:3" ht="15.65" x14ac:dyDescent="0.3">
      <c r="A1" s="27" t="s">
        <v>18</v>
      </c>
      <c r="B1" s="23">
        <f>12*(1+-(0.04))/(0.09--(0.04))</f>
        <v>88.615384615384613</v>
      </c>
      <c r="C1" s="23">
        <f>FV(-0.04,1,,-12)/(0.09--(0.04))</f>
        <v>88.615384615384613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A8C3-2D48-4770-ADA1-27F354529D02}">
  <dimension ref="A1:B5"/>
  <sheetViews>
    <sheetView showGridLines="0" zoomScale="145" zoomScaleNormal="145" workbookViewId="0">
      <selection activeCell="B5" sqref="B5"/>
    </sheetView>
  </sheetViews>
  <sheetFormatPr defaultRowHeight="15.05" x14ac:dyDescent="0.3"/>
  <cols>
    <col min="1" max="1" width="14.44140625" bestFit="1" customWidth="1"/>
  </cols>
  <sheetData>
    <row r="1" spans="1:2" ht="15.65" x14ac:dyDescent="0.3">
      <c r="A1" s="27" t="s">
        <v>20</v>
      </c>
      <c r="B1" s="23">
        <f>74.32*(0.105-0.04)/(1+0.04)</f>
        <v>4.6449999999999996</v>
      </c>
    </row>
    <row r="3" spans="1:2" ht="15.65" x14ac:dyDescent="0.3">
      <c r="A3" s="62" t="s">
        <v>4</v>
      </c>
      <c r="B3" s="63">
        <f>0.105-0.04</f>
        <v>6.5000000000000002E-2</v>
      </c>
    </row>
    <row r="4" spans="1:2" ht="15.65" x14ac:dyDescent="0.3">
      <c r="A4" s="62" t="s">
        <v>90</v>
      </c>
      <c r="B4" s="64">
        <v>74.319999999999993</v>
      </c>
    </row>
    <row r="5" spans="1:2" ht="15.65" x14ac:dyDescent="0.3">
      <c r="A5" s="62" t="s">
        <v>91</v>
      </c>
      <c r="B5" s="64">
        <f>PV(0.04,1,,-(B3*B4))</f>
        <v>4.6449999999999996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F0A0-BAF2-43F7-BCED-57908C9B92CC}">
  <dimension ref="A1:B2"/>
  <sheetViews>
    <sheetView showGridLines="0" zoomScale="145" zoomScaleNormal="145" workbookViewId="0">
      <selection activeCell="B1" sqref="B1"/>
    </sheetView>
  </sheetViews>
  <sheetFormatPr defaultRowHeight="15.05" x14ac:dyDescent="0.3"/>
  <cols>
    <col min="1" max="1" width="12.5546875" bestFit="1" customWidth="1"/>
  </cols>
  <sheetData>
    <row r="1" spans="1:2" ht="15.65" x14ac:dyDescent="0.3">
      <c r="A1" s="27" t="s">
        <v>17</v>
      </c>
      <c r="B1" s="23">
        <f>4/0.043</f>
        <v>93.023255813953497</v>
      </c>
    </row>
    <row r="2" spans="1:2" ht="15.65" x14ac:dyDescent="0.3">
      <c r="A2" s="27" t="s">
        <v>18</v>
      </c>
      <c r="B2" s="23">
        <f>PV(0.043,4,,-B1)</f>
        <v>78.60574751277187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FEEB-11C2-40BE-B7CC-695249BFBB38}">
  <dimension ref="A1:D1"/>
  <sheetViews>
    <sheetView showGridLines="0" zoomScale="145" zoomScaleNormal="145" workbookViewId="0">
      <selection activeCell="B1" sqref="B1"/>
    </sheetView>
  </sheetViews>
  <sheetFormatPr defaultRowHeight="15.05" x14ac:dyDescent="0.3"/>
  <cols>
    <col min="4" max="4" width="7.33203125" bestFit="1" customWidth="1"/>
  </cols>
  <sheetData>
    <row r="1" spans="1:4" ht="15.65" x14ac:dyDescent="0.3">
      <c r="A1" s="25" t="s">
        <v>3</v>
      </c>
      <c r="B1" s="4"/>
      <c r="C1" s="5"/>
      <c r="D1" s="26">
        <f>(2.95/53.1)+0.048</f>
        <v>0.10355555555555557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1981-606F-4AFB-87E2-F35CDD149B12}">
  <dimension ref="A1:K2"/>
  <sheetViews>
    <sheetView showGridLines="0" topLeftCell="B1" zoomScale="145" zoomScaleNormal="145" workbookViewId="0">
      <selection activeCell="E4" sqref="E4"/>
    </sheetView>
  </sheetViews>
  <sheetFormatPr defaultRowHeight="15.05" x14ac:dyDescent="0.3"/>
  <cols>
    <col min="1" max="1" width="6.44140625" bestFit="1" customWidth="1"/>
    <col min="2" max="2" width="12.88671875" bestFit="1" customWidth="1"/>
    <col min="3" max="3" width="5.109375" bestFit="1" customWidth="1"/>
    <col min="4" max="4" width="8.44140625" bestFit="1" customWidth="1"/>
    <col min="5" max="5" width="3.5546875" bestFit="1" customWidth="1"/>
    <col min="6" max="6" width="7.6640625" bestFit="1" customWidth="1"/>
    <col min="7" max="7" width="8.44140625" bestFit="1" customWidth="1"/>
    <col min="8" max="8" width="9.33203125" bestFit="1" customWidth="1"/>
    <col min="9" max="9" width="13.33203125" bestFit="1" customWidth="1"/>
    <col min="10" max="10" width="6.5546875" bestFit="1" customWidth="1"/>
    <col min="11" max="11" width="12.5546875" bestFit="1" customWidth="1"/>
  </cols>
  <sheetData>
    <row r="1" spans="1:11" ht="30.05" x14ac:dyDescent="0.3">
      <c r="A1" s="7" t="s">
        <v>21</v>
      </c>
      <c r="B1" s="65" t="s">
        <v>22</v>
      </c>
      <c r="C1" s="65" t="s">
        <v>23</v>
      </c>
      <c r="D1" s="66" t="s">
        <v>24</v>
      </c>
      <c r="E1" s="65" t="s">
        <v>25</v>
      </c>
      <c r="F1" s="65" t="s">
        <v>26</v>
      </c>
      <c r="G1" s="65" t="s">
        <v>27</v>
      </c>
      <c r="H1" s="65" t="s">
        <v>30</v>
      </c>
      <c r="I1" s="65" t="s">
        <v>31</v>
      </c>
      <c r="J1" s="65" t="s">
        <v>32</v>
      </c>
      <c r="K1" s="65" t="s">
        <v>33</v>
      </c>
    </row>
    <row r="2" spans="1:11" x14ac:dyDescent="0.3">
      <c r="A2" s="14">
        <v>8.6999999999999994E-2</v>
      </c>
      <c r="B2" s="8" t="s">
        <v>28</v>
      </c>
      <c r="C2" s="8" t="s">
        <v>29</v>
      </c>
      <c r="D2" s="12">
        <v>1.9E-2</v>
      </c>
      <c r="E2" s="9">
        <v>23</v>
      </c>
      <c r="F2" s="10">
        <v>45.18</v>
      </c>
      <c r="G2" s="11">
        <f>-0.13</f>
        <v>-0.13</v>
      </c>
      <c r="H2" s="11">
        <f>F2*D2</f>
        <v>0.85841999999999996</v>
      </c>
      <c r="I2" s="11">
        <f>F2+(1+-G2)</f>
        <v>46.31</v>
      </c>
      <c r="J2" s="11">
        <f>F2/E2</f>
        <v>1.9643478260869565</v>
      </c>
      <c r="K2" s="13">
        <f>J2*30000000</f>
        <v>58930434.782608695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7631-B245-4359-97E2-0E9D826FBEE8}">
  <dimension ref="A1:C3"/>
  <sheetViews>
    <sheetView showGridLines="0" zoomScale="145" zoomScaleNormal="145" workbookViewId="0">
      <selection activeCell="C2" sqref="C2"/>
    </sheetView>
  </sheetViews>
  <sheetFormatPr defaultRowHeight="15.05" x14ac:dyDescent="0.3"/>
  <cols>
    <col min="1" max="1" width="14.6640625" bestFit="1" customWidth="1"/>
  </cols>
  <sheetData>
    <row r="1" spans="1:3" ht="15.65" x14ac:dyDescent="0.3">
      <c r="A1" s="27" t="s">
        <v>34</v>
      </c>
      <c r="B1" s="23">
        <f>PV(0.1/4,12,-0.85)</f>
        <v>8.7190999084595138</v>
      </c>
    </row>
    <row r="2" spans="1:3" ht="15.65" x14ac:dyDescent="0.3">
      <c r="A2" s="27" t="s">
        <v>35</v>
      </c>
      <c r="B2" s="23">
        <f>0.85*(1+0.01)/((0.1/4)-0.01)</f>
        <v>57.233333333333327</v>
      </c>
      <c r="C2" s="23">
        <f>FV(0.01,1,,-0.85)/((0.1/4)-0.01)</f>
        <v>57.233333333333327</v>
      </c>
    </row>
    <row r="3" spans="1:3" ht="15.65" x14ac:dyDescent="0.3">
      <c r="A3" s="27" t="s">
        <v>18</v>
      </c>
      <c r="B3" s="23">
        <f>PV(0.1/4,12,,-B2)+B1</f>
        <v>51.275281729219323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80A3-5E94-4B87-B5B0-F6D49B478C89}">
  <dimension ref="A1:F2"/>
  <sheetViews>
    <sheetView showGridLines="0" zoomScale="145" zoomScaleNormal="145" workbookViewId="0">
      <selection activeCell="B1" sqref="B1"/>
    </sheetView>
  </sheetViews>
  <sheetFormatPr defaultRowHeight="15.05" x14ac:dyDescent="0.3"/>
  <cols>
    <col min="1" max="1" width="18.44140625" bestFit="1" customWidth="1"/>
    <col min="5" max="5" width="26.44140625" bestFit="1" customWidth="1"/>
  </cols>
  <sheetData>
    <row r="1" spans="1:6" ht="15.65" x14ac:dyDescent="0.3">
      <c r="A1" s="27" t="s">
        <v>18</v>
      </c>
      <c r="B1" s="33">
        <f>NPV(0.11,F1,F1+F1*((1.035)/(0.11-0.035)))</f>
        <v>59.000000000000014</v>
      </c>
      <c r="C1" s="1"/>
      <c r="D1" s="1"/>
      <c r="E1" s="32" t="s">
        <v>36</v>
      </c>
      <c r="F1" s="34">
        <v>4.5690697674418619</v>
      </c>
    </row>
    <row r="2" spans="1:6" x14ac:dyDescent="0.3">
      <c r="B2" s="1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DBB1-179F-4CE6-A2E5-2EA220450857}">
  <dimension ref="A1:B3"/>
  <sheetViews>
    <sheetView showGridLines="0" zoomScale="145" zoomScaleNormal="145" workbookViewId="0">
      <selection activeCell="B2" sqref="B2"/>
    </sheetView>
  </sheetViews>
  <sheetFormatPr defaultRowHeight="15.05" x14ac:dyDescent="0.3"/>
  <cols>
    <col min="1" max="1" width="16" bestFit="1" customWidth="1"/>
  </cols>
  <sheetData>
    <row r="1" spans="1:2" ht="15.65" x14ac:dyDescent="0.3">
      <c r="A1" s="27" t="s">
        <v>37</v>
      </c>
      <c r="B1" s="28">
        <f>0.11*0.7</f>
        <v>7.6999999999999999E-2</v>
      </c>
    </row>
    <row r="2" spans="1:2" ht="15.65" x14ac:dyDescent="0.3">
      <c r="A2" s="27" t="s">
        <v>38</v>
      </c>
      <c r="B2" s="23">
        <f>(29000000*0.3)/2600000</f>
        <v>3.3461538461538463</v>
      </c>
    </row>
    <row r="3" spans="1:2" ht="15.65" x14ac:dyDescent="0.3">
      <c r="A3" s="32" t="s">
        <v>9</v>
      </c>
      <c r="B3" s="26">
        <f>B2*(1+B1)/105+B1</f>
        <v>0.11132197802197802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E464-BE49-4F3B-B3A1-436B0334F29F}">
  <dimension ref="A1:C2"/>
  <sheetViews>
    <sheetView showGridLines="0" zoomScale="145" zoomScaleNormal="145" workbookViewId="0">
      <selection activeCell="C1" sqref="C1"/>
    </sheetView>
  </sheetViews>
  <sheetFormatPr defaultRowHeight="15.05" x14ac:dyDescent="0.3"/>
  <cols>
    <col min="1" max="1" width="4.109375" bestFit="1" customWidth="1"/>
  </cols>
  <sheetData>
    <row r="1" spans="1:3" ht="15.65" x14ac:dyDescent="0.3">
      <c r="A1" s="32" t="s">
        <v>9</v>
      </c>
      <c r="B1" s="26">
        <f>(2.1/1.65)^(1/4)-1</f>
        <v>6.2145069957740162E-2</v>
      </c>
      <c r="C1" s="67">
        <f>RATE(4,,-1.65,2.1)</f>
        <v>6.2145069957740058E-2</v>
      </c>
    </row>
    <row r="2" spans="1:3" ht="15.65" x14ac:dyDescent="0.3">
      <c r="A2" s="27" t="s">
        <v>39</v>
      </c>
      <c r="B2" s="23">
        <f>FV(B1,5,,-2.1)*FV(0.05,2,,-1)</f>
        <v>3.1298035659159296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8744-96D4-470E-9EE9-B0687091E688}">
  <dimension ref="A1:D6"/>
  <sheetViews>
    <sheetView showGridLines="0" zoomScale="145" zoomScaleNormal="145" workbookViewId="0">
      <selection activeCell="C1" sqref="C1"/>
    </sheetView>
  </sheetViews>
  <sheetFormatPr defaultRowHeight="15.05" x14ac:dyDescent="0.3"/>
  <cols>
    <col min="2" max="2" width="5.44140625" customWidth="1"/>
    <col min="3" max="3" width="14.44140625" bestFit="1" customWidth="1"/>
    <col min="4" max="4" width="5.5546875" bestFit="1" customWidth="1"/>
  </cols>
  <sheetData>
    <row r="1" spans="1:4" ht="15.65" x14ac:dyDescent="0.3">
      <c r="A1" s="36" t="s">
        <v>40</v>
      </c>
      <c r="B1" s="27" t="s">
        <v>41</v>
      </c>
      <c r="C1" s="23">
        <f>720000/0.11</f>
        <v>6545454.5454545459</v>
      </c>
      <c r="D1" s="1"/>
    </row>
    <row r="2" spans="1:4" ht="15.65" x14ac:dyDescent="0.3">
      <c r="A2" s="39"/>
      <c r="B2" s="27" t="s">
        <v>25</v>
      </c>
      <c r="C2" s="35">
        <f>C1/720000</f>
        <v>9.0909090909090917</v>
      </c>
      <c r="D2" s="1" t="s">
        <v>42</v>
      </c>
    </row>
    <row r="3" spans="1:4" ht="15.65" x14ac:dyDescent="0.3">
      <c r="A3" s="6" t="s">
        <v>44</v>
      </c>
      <c r="B3" s="37" t="s">
        <v>43</v>
      </c>
      <c r="C3" s="38">
        <f>(720000+150000)/0.11</f>
        <v>7909090.9090909092</v>
      </c>
      <c r="D3" s="1"/>
    </row>
    <row r="4" spans="1:4" ht="15.65" x14ac:dyDescent="0.3">
      <c r="A4" s="40"/>
      <c r="B4" s="27" t="s">
        <v>25</v>
      </c>
      <c r="C4" s="35">
        <f>C3/720000</f>
        <v>10.984848484848484</v>
      </c>
      <c r="D4" s="1" t="s">
        <v>42</v>
      </c>
    </row>
    <row r="5" spans="1:4" ht="15.65" x14ac:dyDescent="0.3">
      <c r="A5" s="36" t="s">
        <v>45</v>
      </c>
      <c r="B5" s="27" t="s">
        <v>43</v>
      </c>
      <c r="C5" s="23">
        <f>(720000+300000)/0.11</f>
        <v>9272727.2727272734</v>
      </c>
      <c r="D5" s="1"/>
    </row>
    <row r="6" spans="1:4" ht="15.65" x14ac:dyDescent="0.3">
      <c r="A6" s="1"/>
      <c r="B6" s="27" t="s">
        <v>25</v>
      </c>
      <c r="C6" s="35">
        <f>C5/720000</f>
        <v>12.878787878787879</v>
      </c>
      <c r="D6" s="1" t="s">
        <v>42</v>
      </c>
    </row>
  </sheetData>
  <pageMargins left="0.7" right="0.7" top="0.75" bottom="0.75" header="0.3" footer="0.3"/>
  <ignoredErrors>
    <ignoredError sqref="C3 C5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9F33-FC0F-4865-B049-0051CD246CBB}">
  <dimension ref="A1:C3"/>
  <sheetViews>
    <sheetView showGridLines="0" zoomScale="145" zoomScaleNormal="145" workbookViewId="0">
      <selection activeCell="C2" sqref="C2"/>
    </sheetView>
  </sheetViews>
  <sheetFormatPr defaultRowHeight="15.05" x14ac:dyDescent="0.3"/>
  <cols>
    <col min="1" max="1" width="30.5546875" bestFit="1" customWidth="1"/>
  </cols>
  <sheetData>
    <row r="1" spans="1:3" ht="15.65" x14ac:dyDescent="0.3">
      <c r="A1" s="27" t="s">
        <v>46</v>
      </c>
      <c r="B1" s="23">
        <f>19*3.47</f>
        <v>65.930000000000007</v>
      </c>
      <c r="C1" s="1"/>
    </row>
    <row r="2" spans="1:3" ht="15.65" x14ac:dyDescent="0.3">
      <c r="A2" s="27" t="s">
        <v>47</v>
      </c>
      <c r="B2" s="41">
        <f>FV(0.06,1,,-3.47)*19</f>
        <v>69.885800000000003</v>
      </c>
      <c r="C2" s="16">
        <f>FV(0.06,1,,-B1)</f>
        <v>69.885800000000017</v>
      </c>
    </row>
    <row r="3" spans="1:3" ht="15.65" x14ac:dyDescent="0.3">
      <c r="A3" s="27" t="s">
        <v>48</v>
      </c>
      <c r="B3" s="42">
        <f>B2/B1-1</f>
        <v>5.9999999999999831E-2</v>
      </c>
      <c r="C3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B735D-C0B8-4BC0-B64C-4B9722EDBB0F}">
  <dimension ref="A1:B11"/>
  <sheetViews>
    <sheetView showGridLines="0" zoomScale="160" zoomScaleNormal="160" workbookViewId="0">
      <selection activeCell="C1" sqref="C1"/>
    </sheetView>
  </sheetViews>
  <sheetFormatPr defaultRowHeight="15.05" x14ac:dyDescent="0.3"/>
  <cols>
    <col min="1" max="1" width="16.44140625" bestFit="1" customWidth="1"/>
    <col min="2" max="2" width="14.109375" bestFit="1" customWidth="1"/>
  </cols>
  <sheetData>
    <row r="1" spans="1:2" ht="15.65" x14ac:dyDescent="0.3">
      <c r="A1" s="69" t="s">
        <v>92</v>
      </c>
      <c r="B1" s="70">
        <v>48000000</v>
      </c>
    </row>
    <row r="2" spans="1:2" ht="15.65" x14ac:dyDescent="0.3">
      <c r="A2" s="69" t="s">
        <v>56</v>
      </c>
      <c r="B2" s="70">
        <v>15000000</v>
      </c>
    </row>
    <row r="3" spans="1:2" ht="15.65" x14ac:dyDescent="0.3">
      <c r="A3" s="69" t="s">
        <v>93</v>
      </c>
      <c r="B3" s="70">
        <v>64000000</v>
      </c>
    </row>
    <row r="4" spans="1:2" ht="15.65" x14ac:dyDescent="0.3">
      <c r="A4" s="69" t="s">
        <v>96</v>
      </c>
      <c r="B4" s="70">
        <v>23000000</v>
      </c>
    </row>
    <row r="5" spans="1:2" ht="15.65" x14ac:dyDescent="0.3">
      <c r="A5" s="69" t="s">
        <v>94</v>
      </c>
      <c r="B5" s="71">
        <v>1950000</v>
      </c>
    </row>
    <row r="6" spans="1:2" ht="15.65" x14ac:dyDescent="0.3">
      <c r="A6" s="69" t="s">
        <v>95</v>
      </c>
      <c r="B6" s="71">
        <v>6.4</v>
      </c>
    </row>
    <row r="7" spans="1:2" ht="15.65" x14ac:dyDescent="0.3">
      <c r="A7" s="68"/>
      <c r="B7" s="68"/>
    </row>
    <row r="8" spans="1:2" ht="15.65" x14ac:dyDescent="0.3">
      <c r="A8" s="69" t="s">
        <v>97</v>
      </c>
      <c r="B8" s="70">
        <f>B1-B2</f>
        <v>33000000</v>
      </c>
    </row>
    <row r="9" spans="1:2" ht="15.65" x14ac:dyDescent="0.3">
      <c r="A9" s="69" t="s">
        <v>98</v>
      </c>
      <c r="B9" s="70">
        <f>B8*B6</f>
        <v>211200000</v>
      </c>
    </row>
    <row r="10" spans="1:2" ht="15.65" x14ac:dyDescent="0.3">
      <c r="A10" s="69" t="s">
        <v>99</v>
      </c>
      <c r="B10" s="70">
        <f>(B9-B3)+B4</f>
        <v>170200000</v>
      </c>
    </row>
    <row r="11" spans="1:2" ht="15.65" x14ac:dyDescent="0.3">
      <c r="A11" s="69" t="s">
        <v>100</v>
      </c>
      <c r="B11" s="72">
        <f>B10/B5</f>
        <v>87.282051282051285</v>
      </c>
    </row>
  </sheetData>
  <pageMargins left="0.7" right="0.7" top="0.75" bottom="0.75" header="0.3" footer="0.3"/>
  <pageSetup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BC0C-CC7D-4DA5-BB8A-7A6350CB3DAD}">
  <dimension ref="A1:K16"/>
  <sheetViews>
    <sheetView showGridLines="0" topLeftCell="B1" zoomScale="145" zoomScaleNormal="145" workbookViewId="0">
      <selection activeCell="I8" sqref="I8"/>
    </sheetView>
  </sheetViews>
  <sheetFormatPr defaultRowHeight="15.05" x14ac:dyDescent="0.3"/>
  <cols>
    <col min="1" max="1" width="18.33203125" bestFit="1" customWidth="1"/>
    <col min="2" max="2" width="13.109375" bestFit="1" customWidth="1"/>
    <col min="3" max="7" width="13.5546875" bestFit="1" customWidth="1"/>
    <col min="10" max="10" width="12.109375" customWidth="1"/>
  </cols>
  <sheetData>
    <row r="1" spans="1:11" ht="15.65" x14ac:dyDescent="0.3">
      <c r="A1" s="17"/>
      <c r="B1" s="43" t="s">
        <v>49</v>
      </c>
      <c r="C1" s="43" t="s">
        <v>50</v>
      </c>
      <c r="D1" s="43" t="s">
        <v>51</v>
      </c>
      <c r="E1" s="43" t="s">
        <v>52</v>
      </c>
      <c r="F1" s="43" t="s">
        <v>53</v>
      </c>
      <c r="G1" s="43" t="s">
        <v>54</v>
      </c>
      <c r="J1" s="49" t="s">
        <v>59</v>
      </c>
      <c r="K1" s="42">
        <v>0.21</v>
      </c>
    </row>
    <row r="2" spans="1:11" x14ac:dyDescent="0.3">
      <c r="A2" s="18" t="s">
        <v>55</v>
      </c>
      <c r="B2" s="19">
        <v>115000000</v>
      </c>
      <c r="C2" s="19">
        <f>B2*1.14</f>
        <v>131099999.99999999</v>
      </c>
      <c r="D2" s="19">
        <f>C2*1.12</f>
        <v>146832000</v>
      </c>
      <c r="E2" s="19">
        <f>D2*1.1</f>
        <v>161515200</v>
      </c>
      <c r="F2" s="19">
        <f>E2*1.08</f>
        <v>174436416</v>
      </c>
      <c r="G2" s="19">
        <f>F2*1.06</f>
        <v>184902600.96000001</v>
      </c>
    </row>
    <row r="3" spans="1:11" x14ac:dyDescent="0.3">
      <c r="A3" s="18" t="s">
        <v>56</v>
      </c>
      <c r="B3" s="20">
        <v>67000000</v>
      </c>
      <c r="C3" s="20">
        <f>B3*1.14</f>
        <v>76380000</v>
      </c>
      <c r="D3" s="20">
        <f>C3*1.12</f>
        <v>85545600.000000015</v>
      </c>
      <c r="E3" s="20">
        <f>D3*1.1</f>
        <v>94100160.00000003</v>
      </c>
      <c r="F3" s="20">
        <f>E3*1.08</f>
        <v>101628172.80000004</v>
      </c>
      <c r="G3" s="20">
        <f>F3*1.06</f>
        <v>107725863.16800004</v>
      </c>
    </row>
    <row r="4" spans="1:11" x14ac:dyDescent="0.3">
      <c r="A4" s="18" t="s">
        <v>57</v>
      </c>
      <c r="B4" s="19">
        <f>B2-B3</f>
        <v>48000000</v>
      </c>
      <c r="C4" s="19">
        <f t="shared" ref="C4:G4" si="0">C2-C3</f>
        <v>54719999.999999985</v>
      </c>
      <c r="D4" s="19">
        <f t="shared" si="0"/>
        <v>61286399.999999985</v>
      </c>
      <c r="E4" s="19">
        <f t="shared" si="0"/>
        <v>67415039.99999997</v>
      </c>
      <c r="F4" s="19">
        <f t="shared" si="0"/>
        <v>72808243.199999958</v>
      </c>
      <c r="G4" s="19">
        <f t="shared" si="0"/>
        <v>77176737.791999966</v>
      </c>
    </row>
    <row r="5" spans="1:11" x14ac:dyDescent="0.3">
      <c r="A5" s="18" t="s">
        <v>58</v>
      </c>
      <c r="B5" s="21">
        <f>B4*$K$1</f>
        <v>10080000</v>
      </c>
      <c r="C5" s="21">
        <f t="shared" ref="C5:G5" si="1">C4*$K$1</f>
        <v>11491199.999999996</v>
      </c>
      <c r="D5" s="21">
        <f t="shared" si="1"/>
        <v>12870143.999999996</v>
      </c>
      <c r="E5" s="21">
        <f t="shared" si="1"/>
        <v>14157158.399999993</v>
      </c>
      <c r="F5" s="21">
        <f t="shared" si="1"/>
        <v>15289731.071999991</v>
      </c>
      <c r="G5" s="21">
        <f t="shared" si="1"/>
        <v>16207114.936319992</v>
      </c>
    </row>
    <row r="6" spans="1:11" x14ac:dyDescent="0.3">
      <c r="A6" s="44" t="s">
        <v>33</v>
      </c>
      <c r="B6" s="45">
        <f>B4-B5</f>
        <v>37920000</v>
      </c>
      <c r="C6" s="45">
        <f t="shared" ref="C6:G6" si="2">C4-C5</f>
        <v>43228799.999999985</v>
      </c>
      <c r="D6" s="45">
        <f t="shared" si="2"/>
        <v>48416255.999999985</v>
      </c>
      <c r="E6" s="45">
        <f t="shared" si="2"/>
        <v>53257881.599999979</v>
      </c>
      <c r="F6" s="45">
        <f t="shared" si="2"/>
        <v>57518512.127999969</v>
      </c>
      <c r="G6" s="45">
        <f t="shared" si="2"/>
        <v>60969622.855679974</v>
      </c>
    </row>
    <row r="7" spans="1:11" x14ac:dyDescent="0.3">
      <c r="A7" s="18" t="s">
        <v>85</v>
      </c>
      <c r="B7" s="21">
        <v>12000000</v>
      </c>
      <c r="C7" s="21">
        <f>B7*1.14</f>
        <v>13679999.999999998</v>
      </c>
      <c r="D7" s="21">
        <f>C7*1.12</f>
        <v>15321600</v>
      </c>
      <c r="E7" s="21">
        <f>D7*1.1</f>
        <v>16853760</v>
      </c>
      <c r="F7" s="21">
        <f>E7*1.08</f>
        <v>18202060.800000001</v>
      </c>
      <c r="G7" s="21">
        <f>F7*1.06</f>
        <v>19294184.448000003</v>
      </c>
    </row>
    <row r="8" spans="1:11" x14ac:dyDescent="0.3">
      <c r="A8" s="44" t="s">
        <v>86</v>
      </c>
      <c r="B8" s="45">
        <f>B6-B7</f>
        <v>25920000</v>
      </c>
      <c r="C8" s="45">
        <f t="shared" ref="C8:G8" si="3">C6-C7</f>
        <v>29548799.999999985</v>
      </c>
      <c r="D8" s="45">
        <f t="shared" si="3"/>
        <v>33094655.999999985</v>
      </c>
      <c r="E8" s="45">
        <f t="shared" si="3"/>
        <v>36404121.599999979</v>
      </c>
      <c r="F8" s="45">
        <f t="shared" si="3"/>
        <v>39316451.327999964</v>
      </c>
      <c r="G8" s="45">
        <f t="shared" si="3"/>
        <v>41675438.407679975</v>
      </c>
    </row>
    <row r="10" spans="1:11" x14ac:dyDescent="0.3">
      <c r="A10" s="46" t="s">
        <v>60</v>
      </c>
      <c r="B10" s="47">
        <f>FV(0.06,1,,-G8)/(0.13-0.06)</f>
        <v>631085210.17343962</v>
      </c>
    </row>
    <row r="11" spans="1:11" x14ac:dyDescent="0.3">
      <c r="A11" s="46" t="s">
        <v>61</v>
      </c>
      <c r="B11" s="47">
        <f>NPV(0.13,B8,C8,D8,E8,F8,G8+B10)</f>
        <v>435821482.71630096</v>
      </c>
    </row>
    <row r="12" spans="1:11" x14ac:dyDescent="0.3">
      <c r="A12" s="46" t="s">
        <v>62</v>
      </c>
      <c r="B12" s="48">
        <f>B11/5500000</f>
        <v>79.240269584781998</v>
      </c>
    </row>
    <row r="14" spans="1:11" x14ac:dyDescent="0.3">
      <c r="A14" s="46" t="s">
        <v>60</v>
      </c>
      <c r="B14" s="47">
        <f>G6*11</f>
        <v>670665851.41247976</v>
      </c>
    </row>
    <row r="15" spans="1:11" x14ac:dyDescent="0.3">
      <c r="A15" s="46" t="s">
        <v>61</v>
      </c>
      <c r="B15" s="47">
        <f>NPV(0.13,B8,C8,D8,E8,F8,G8+B14)</f>
        <v>454832798.03109628</v>
      </c>
    </row>
    <row r="16" spans="1:11" x14ac:dyDescent="0.3">
      <c r="A16" s="46" t="s">
        <v>62</v>
      </c>
      <c r="B16" s="48">
        <f>B15/5500000</f>
        <v>82.696872369290233</v>
      </c>
    </row>
  </sheetData>
  <pageMargins left="0.7" right="0.7" top="0.75" bottom="0.75" header="0.3" footer="0.3"/>
  <pageSetup orientation="portrait" horizontalDpi="1200" verticalDpi="1200" r:id="rId1"/>
  <ignoredErrors>
    <ignoredError sqref="B5:G5 B7:G7" formula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2752-74D8-41C1-8C7A-D0C8C7F74274}">
  <dimension ref="A1:C16"/>
  <sheetViews>
    <sheetView showGridLines="0" zoomScale="145" zoomScaleNormal="145" workbookViewId="0">
      <selection activeCell="B1" sqref="B1"/>
    </sheetView>
  </sheetViews>
  <sheetFormatPr defaultRowHeight="15.05" x14ac:dyDescent="0.3"/>
  <cols>
    <col min="1" max="1" width="18.21875" bestFit="1" customWidth="1"/>
    <col min="3" max="3" width="7" bestFit="1" customWidth="1"/>
  </cols>
  <sheetData>
    <row r="1" spans="1:3" ht="15.65" x14ac:dyDescent="0.3">
      <c r="A1" s="27" t="s">
        <v>63</v>
      </c>
      <c r="B1" s="23">
        <f>3.25*(1+0.075)/(0.15-0.075)</f>
        <v>46.583333333333336</v>
      </c>
      <c r="C1" s="15"/>
    </row>
    <row r="2" spans="1:3" ht="15.65" x14ac:dyDescent="0.3">
      <c r="A2" s="27" t="s">
        <v>64</v>
      </c>
      <c r="B2" s="28">
        <f>FV(0.075,1,,-3.25)/B1</f>
        <v>7.4999999999999997E-2</v>
      </c>
      <c r="C2" s="28">
        <f>FV(0.075,1,,-3.25)/B1</f>
        <v>7.4999999999999997E-2</v>
      </c>
    </row>
    <row r="3" spans="1:3" ht="15.65" x14ac:dyDescent="0.3">
      <c r="A3" s="27" t="s">
        <v>65</v>
      </c>
      <c r="B3" s="28">
        <f>0.15-B2</f>
        <v>7.4999999999999997E-2</v>
      </c>
    </row>
    <row r="4" spans="1:3" ht="15.65" x14ac:dyDescent="0.3">
      <c r="A4" s="1"/>
      <c r="B4" s="1"/>
    </row>
    <row r="5" spans="1:3" ht="15.65" x14ac:dyDescent="0.3">
      <c r="A5" s="27" t="s">
        <v>66</v>
      </c>
      <c r="B5" s="23">
        <f>3.25/(0.15-0)</f>
        <v>21.666666666666668</v>
      </c>
    </row>
    <row r="6" spans="1:3" ht="15.65" x14ac:dyDescent="0.3">
      <c r="A6" s="27" t="s">
        <v>67</v>
      </c>
      <c r="B6" s="42">
        <f>3.25/B5</f>
        <v>0.15</v>
      </c>
    </row>
    <row r="7" spans="1:3" ht="15.65" x14ac:dyDescent="0.3">
      <c r="A7" s="27" t="s">
        <v>68</v>
      </c>
      <c r="B7" s="42">
        <v>0</v>
      </c>
    </row>
    <row r="8" spans="1:3" ht="15.65" x14ac:dyDescent="0.3">
      <c r="A8" s="1"/>
      <c r="B8" s="1"/>
    </row>
    <row r="9" spans="1:3" ht="15.65" x14ac:dyDescent="0.3">
      <c r="A9" s="50" t="s">
        <v>69</v>
      </c>
      <c r="B9" s="51">
        <f>3.25*(1-0.05)/(0.15+0.05)</f>
        <v>15.437499999999998</v>
      </c>
    </row>
    <row r="10" spans="1:3" ht="15.65" x14ac:dyDescent="0.3">
      <c r="A10" s="50" t="s">
        <v>70</v>
      </c>
      <c r="B10" s="52">
        <f>PV(0.05,1,,-3.25)/B9</f>
        <v>0.20050125313283207</v>
      </c>
    </row>
    <row r="11" spans="1:3" ht="15.65" x14ac:dyDescent="0.3">
      <c r="A11" s="50" t="s">
        <v>71</v>
      </c>
      <c r="B11" s="52">
        <f>0.15-B10</f>
        <v>-5.0501253132832075E-2</v>
      </c>
    </row>
    <row r="13" spans="1:3" ht="15.65" x14ac:dyDescent="0.3">
      <c r="A13" s="27" t="s">
        <v>72</v>
      </c>
      <c r="B13" s="23">
        <f>3.25*(1+0.3)^2*(1+0.08)/(0.15-0.08)</f>
        <v>84.741428571428585</v>
      </c>
      <c r="C13" s="23">
        <f>FV(0.3,2,,-3.25)*FV(0.08,1,,-1)/(0.15-0.08)</f>
        <v>84.741428571428585</v>
      </c>
    </row>
    <row r="14" spans="1:3" ht="15.65" x14ac:dyDescent="0.3">
      <c r="A14" s="27" t="s">
        <v>73</v>
      </c>
      <c r="B14" s="23">
        <f>NPV(0.15,FV(0.3,1,,-3.25),FV(0.3,2,,-3.25)+B13)</f>
        <v>71.903726708074558</v>
      </c>
    </row>
    <row r="15" spans="1:3" ht="15.65" x14ac:dyDescent="0.3">
      <c r="A15" s="27" t="s">
        <v>74</v>
      </c>
      <c r="B15" s="26">
        <f>FV(0.3,1,,-3.25)/B14</f>
        <v>5.8759124087591229E-2</v>
      </c>
    </row>
    <row r="16" spans="1:3" ht="15.65" x14ac:dyDescent="0.3">
      <c r="A16" s="27" t="s">
        <v>75</v>
      </c>
      <c r="B16" s="26">
        <f>0.15-B15</f>
        <v>9.1240875912408759E-2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6A5A-442C-4C27-98B4-7E885587AF57}">
  <dimension ref="A1:B2"/>
  <sheetViews>
    <sheetView showGridLines="0" zoomScale="145" zoomScaleNormal="145" workbookViewId="0">
      <selection activeCell="B1" sqref="B1"/>
    </sheetView>
  </sheetViews>
  <sheetFormatPr defaultRowHeight="15.05" x14ac:dyDescent="0.3"/>
  <cols>
    <col min="1" max="1" width="15.44140625" bestFit="1" customWidth="1"/>
  </cols>
  <sheetData>
    <row r="1" spans="1:2" ht="15.65" x14ac:dyDescent="0.3">
      <c r="A1" s="27" t="s">
        <v>4</v>
      </c>
      <c r="B1" s="26">
        <f>2.95/53.1</f>
        <v>5.5555555555555559E-2</v>
      </c>
    </row>
    <row r="2" spans="1:2" ht="15.65" x14ac:dyDescent="0.3">
      <c r="A2" s="27" t="s">
        <v>5</v>
      </c>
      <c r="B2" s="28">
        <f>0.048</f>
        <v>4.8000000000000001E-2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84D3-0ECB-4F15-8D2C-AC4C2E78008D}">
  <dimension ref="A1:D5"/>
  <sheetViews>
    <sheetView showGridLines="0" zoomScale="145" zoomScaleNormal="145" workbookViewId="0">
      <selection activeCell="C3" sqref="C3"/>
    </sheetView>
  </sheetViews>
  <sheetFormatPr defaultRowHeight="15.05" x14ac:dyDescent="0.3"/>
  <cols>
    <col min="2" max="2" width="21.88671875" bestFit="1" customWidth="1"/>
  </cols>
  <sheetData>
    <row r="1" spans="1:4" ht="15.65" x14ac:dyDescent="0.3">
      <c r="A1" s="6" t="s">
        <v>40</v>
      </c>
      <c r="B1" s="27" t="s">
        <v>76</v>
      </c>
      <c r="C1" s="23">
        <f>FV(0.045,1,,-3.8)/(0.11-0.045)</f>
        <v>61.092307692307685</v>
      </c>
    </row>
    <row r="2" spans="1:4" ht="15.65" x14ac:dyDescent="0.3">
      <c r="A2" s="6" t="s">
        <v>44</v>
      </c>
      <c r="B2" s="27" t="s">
        <v>77</v>
      </c>
      <c r="C2" s="53">
        <f>FV(0.045,1,,-3.8)/4</f>
        <v>0.99274999999999991</v>
      </c>
    </row>
    <row r="3" spans="1:4" ht="15.65" x14ac:dyDescent="0.3">
      <c r="A3" s="1"/>
      <c r="B3" s="27" t="s">
        <v>78</v>
      </c>
      <c r="C3" s="26">
        <f>1.11^0.25-1</f>
        <v>2.6433327247938676E-2</v>
      </c>
      <c r="D3" s="22"/>
    </row>
    <row r="4" spans="1:4" ht="15.65" x14ac:dyDescent="0.3">
      <c r="A4" s="1"/>
      <c r="B4" s="27" t="s">
        <v>79</v>
      </c>
      <c r="C4" s="23">
        <f>FV(C3,4,-C2)</f>
        <v>4.1312430696183418</v>
      </c>
    </row>
    <row r="5" spans="1:4" ht="15.65" x14ac:dyDescent="0.3">
      <c r="A5" s="1"/>
      <c r="B5" s="27" t="s">
        <v>76</v>
      </c>
      <c r="C5" s="23">
        <f>C4/(0.11-0.045)</f>
        <v>63.557585686436028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1C2D-50D2-4FA7-BDA3-B26008697333}">
  <dimension ref="A1:G5"/>
  <sheetViews>
    <sheetView showGridLines="0" zoomScale="145" zoomScaleNormal="145" workbookViewId="0">
      <selection activeCell="B5" sqref="B5"/>
    </sheetView>
  </sheetViews>
  <sheetFormatPr defaultRowHeight="15.05" x14ac:dyDescent="0.3"/>
  <cols>
    <col min="1" max="1" width="10.88671875" bestFit="1" customWidth="1"/>
    <col min="5" max="5" width="2.109375" bestFit="1" customWidth="1"/>
    <col min="6" max="7" width="7.109375" bestFit="1" customWidth="1"/>
  </cols>
  <sheetData>
    <row r="1" spans="1:7" ht="15.65" x14ac:dyDescent="0.3">
      <c r="A1" s="27" t="s">
        <v>80</v>
      </c>
      <c r="B1" s="23">
        <f>2.95*(1+0.2)*(1.2-0.05)*(1.2-0.1)*(1.2-0.15)/(0.13-0.05)</f>
        <v>58.775062499999997</v>
      </c>
      <c r="C1" s="23">
        <f>FV(0.2,1,,-2.95)*FV(0.2-0.05,1,,-1)*FV(0.2-0.05-0.05,1,,-1)*FV(0.2-0.05-0.05-0.05,1,,-1)/(0.13-0.05)</f>
        <v>58.775062500000004</v>
      </c>
      <c r="E1" s="32" t="s">
        <v>9</v>
      </c>
      <c r="F1" s="54">
        <v>0.11444850186228098</v>
      </c>
      <c r="G1" s="54">
        <v>0.11444782579172701</v>
      </c>
    </row>
    <row r="2" spans="1:7" ht="15.65" x14ac:dyDescent="0.3">
      <c r="A2" s="27" t="s">
        <v>81</v>
      </c>
      <c r="B2" s="23">
        <f>NPV(0.13,FV(0.2,1,,-2.95),2.95*(1.2)*(1.15),2.95*(1.2)*(1.15)*(1.1)+B1)</f>
        <v>50.158548046049042</v>
      </c>
      <c r="C2" s="23">
        <f>NPV(0.13,FV(0.2,1,,-2.95),FV(0.2,1,,-2.95)*FV(0.2-0.05,1,,-1),FV(0.2,1,,-2.95)*FV(0.2-0.05,1,,-1)*FV(0.2-0.05-0.05,1,,-1)+C1)</f>
        <v>50.158548046049042</v>
      </c>
    </row>
    <row r="5" spans="1:7" ht="15.65" x14ac:dyDescent="0.3">
      <c r="A5" s="27" t="s">
        <v>81</v>
      </c>
      <c r="B5" s="23">
        <f>NPV(F1,FV(0.2,1,,-2.95),2.95*(1.2)*(1.15),2.95*(1.2)*(1.15)*(1.1)+2.95*(1.2)*(1.15)*(1.1)*(1.05)/(F1-0.05))</f>
        <v>62.399206710503954</v>
      </c>
      <c r="C5" s="23">
        <f>NPV(G1,FV(0.2,1,,-2.95),FV(0.2,1,,-2.95)*FV(0.2-0.05,1,,-1),FV(0.2,1,,-2.95)*FV(0.2-0.05,1,,-1)*FV(0.2-0.05-0.05,1,,-1)+FV(0.2,1,,-2.95)*FV(0.2-0.05,1,,-1)*FV(0.2-0.05-0.05,1,,-1)*FV(0.2-0.05-0.05-0.05,1,,-1)/(G1-0.05))</f>
        <v>62.39986736596358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011F-FE5E-4C5D-B514-FEBFFA4CA61F}">
  <dimension ref="A1:I34"/>
  <sheetViews>
    <sheetView showGridLines="0" tabSelected="1" zoomScale="160" zoomScaleNormal="160" workbookViewId="0"/>
  </sheetViews>
  <sheetFormatPr defaultRowHeight="15.05" x14ac:dyDescent="0.3"/>
  <cols>
    <col min="1" max="1" width="23.44140625" bestFit="1" customWidth="1"/>
    <col min="2" max="2" width="14.88671875" bestFit="1" customWidth="1"/>
    <col min="3" max="5" width="11.5546875" bestFit="1" customWidth="1"/>
    <col min="6" max="8" width="13.109375" bestFit="1" customWidth="1"/>
  </cols>
  <sheetData>
    <row r="1" spans="1:9" ht="15.65" x14ac:dyDescent="0.3">
      <c r="A1" s="73"/>
      <c r="B1" s="7" t="s">
        <v>32</v>
      </c>
      <c r="C1" s="7" t="s">
        <v>101</v>
      </c>
      <c r="D1" s="7" t="s">
        <v>102</v>
      </c>
      <c r="E1" s="7" t="s">
        <v>103</v>
      </c>
      <c r="F1" s="7" t="s">
        <v>9</v>
      </c>
      <c r="G1" s="81"/>
      <c r="H1" s="81"/>
      <c r="I1" s="81"/>
    </row>
    <row r="2" spans="1:9" ht="15.65" x14ac:dyDescent="0.3">
      <c r="A2" s="74" t="s">
        <v>104</v>
      </c>
      <c r="B2" s="75">
        <v>1.19</v>
      </c>
      <c r="C2" s="75">
        <v>0.19</v>
      </c>
      <c r="D2" s="75">
        <v>16.32</v>
      </c>
      <c r="E2" s="77">
        <v>0.1</v>
      </c>
      <c r="F2" s="77">
        <v>0.12</v>
      </c>
      <c r="G2" s="81"/>
      <c r="H2" s="81"/>
      <c r="I2" s="81"/>
    </row>
    <row r="3" spans="1:9" ht="15.65" x14ac:dyDescent="0.3">
      <c r="A3" s="74" t="s">
        <v>105</v>
      </c>
      <c r="B3" s="75">
        <v>1.26</v>
      </c>
      <c r="C3" s="75">
        <v>0.55000000000000004</v>
      </c>
      <c r="D3" s="75">
        <v>13.94</v>
      </c>
      <c r="E3" s="77">
        <v>0.12</v>
      </c>
      <c r="F3" s="77">
        <v>0.17</v>
      </c>
      <c r="G3" s="81"/>
      <c r="H3" s="81"/>
      <c r="I3" s="81"/>
    </row>
    <row r="4" spans="1:9" ht="15.65" x14ac:dyDescent="0.3">
      <c r="A4" s="74" t="s">
        <v>106</v>
      </c>
      <c r="B4" s="76">
        <v>-0.27</v>
      </c>
      <c r="C4" s="75">
        <v>0.56999999999999995</v>
      </c>
      <c r="D4" s="75">
        <v>23.97</v>
      </c>
      <c r="E4" s="78" t="s">
        <v>108</v>
      </c>
      <c r="F4" s="77">
        <v>0.16</v>
      </c>
      <c r="G4" s="81"/>
      <c r="H4" s="81"/>
      <c r="I4" s="81"/>
    </row>
    <row r="5" spans="1:9" ht="15.65" x14ac:dyDescent="0.3">
      <c r="A5" s="74" t="s">
        <v>107</v>
      </c>
      <c r="B5" s="75">
        <f>_xlfn.AGGREGATE(1,7,B$2:B$4)</f>
        <v>0.72666666666666668</v>
      </c>
      <c r="C5" s="75">
        <f t="shared" ref="C5:F5" si="0">_xlfn.AGGREGATE(1,7,C$2:C$4)</f>
        <v>0.4366666666666667</v>
      </c>
      <c r="D5" s="75">
        <f t="shared" si="0"/>
        <v>18.076666666666664</v>
      </c>
      <c r="E5" s="77">
        <f t="shared" si="0"/>
        <v>0.11</v>
      </c>
      <c r="F5" s="77">
        <f t="shared" si="0"/>
        <v>0.15000000000000002</v>
      </c>
      <c r="G5" s="81"/>
      <c r="H5" s="81"/>
      <c r="I5" s="81"/>
    </row>
    <row r="6" spans="1:9" ht="15.65" x14ac:dyDescent="0.3">
      <c r="A6" s="74" t="s">
        <v>109</v>
      </c>
      <c r="B6" s="75">
        <v>5.35</v>
      </c>
      <c r="C6" s="82"/>
      <c r="D6" s="81"/>
      <c r="E6" s="77">
        <v>0.21</v>
      </c>
      <c r="F6" s="77">
        <v>0.18</v>
      </c>
      <c r="G6" s="81"/>
      <c r="H6" s="81"/>
      <c r="I6" s="81"/>
    </row>
    <row r="7" spans="1:9" ht="15.65" x14ac:dyDescent="0.3">
      <c r="A7" s="74" t="s">
        <v>110</v>
      </c>
      <c r="B7" s="79">
        <v>320000</v>
      </c>
      <c r="C7" s="81" t="s">
        <v>111</v>
      </c>
      <c r="D7" s="81"/>
      <c r="E7" s="81"/>
      <c r="F7" s="81"/>
      <c r="G7" s="81"/>
      <c r="H7" s="81"/>
      <c r="I7" s="81"/>
    </row>
    <row r="8" spans="1:9" ht="15.65" x14ac:dyDescent="0.3">
      <c r="A8" s="74" t="s">
        <v>112</v>
      </c>
      <c r="B8" s="80">
        <v>150000</v>
      </c>
      <c r="C8" s="81" t="s">
        <v>111</v>
      </c>
      <c r="D8" s="81"/>
      <c r="E8" s="81"/>
      <c r="F8" s="81"/>
      <c r="G8" s="81"/>
      <c r="H8" s="81"/>
      <c r="I8" s="81"/>
    </row>
    <row r="9" spans="1:9" ht="15.65" x14ac:dyDescent="0.3">
      <c r="A9" s="74" t="s">
        <v>113</v>
      </c>
      <c r="B9" s="79">
        <f>(B8*2)*B6</f>
        <v>1605000</v>
      </c>
      <c r="C9" s="81"/>
      <c r="D9" s="81"/>
      <c r="E9" s="81"/>
      <c r="F9" s="81"/>
      <c r="G9" s="81"/>
      <c r="H9" s="81"/>
      <c r="I9" s="81"/>
    </row>
    <row r="10" spans="1:9" ht="15.65" x14ac:dyDescent="0.3">
      <c r="A10" s="74" t="s">
        <v>114</v>
      </c>
      <c r="B10" s="83">
        <f>1-((B7*2)/B9)</f>
        <v>0.60124610591900307</v>
      </c>
      <c r="C10" s="81"/>
      <c r="D10" s="81"/>
      <c r="E10" s="81"/>
      <c r="F10" s="81"/>
      <c r="G10" s="81"/>
      <c r="H10" s="81"/>
      <c r="I10" s="81"/>
    </row>
    <row r="11" spans="1:9" ht="15.65" x14ac:dyDescent="0.3">
      <c r="A11" s="74" t="s">
        <v>37</v>
      </c>
      <c r="B11" s="83">
        <f>B10*E6</f>
        <v>0.12626168224299064</v>
      </c>
      <c r="C11" s="81"/>
      <c r="D11" s="81"/>
      <c r="E11" s="81"/>
      <c r="F11" s="81"/>
      <c r="G11" s="81"/>
      <c r="H11" s="81"/>
      <c r="I11" s="81"/>
    </row>
    <row r="12" spans="1:9" ht="15.65" x14ac:dyDescent="0.3">
      <c r="A12" s="74" t="s">
        <v>115</v>
      </c>
      <c r="B12" s="84">
        <f>FV(B11,1,,-(B7*2))/(F6-B11)</f>
        <v>13413286.956521738</v>
      </c>
      <c r="C12" s="81"/>
      <c r="D12" s="81"/>
      <c r="E12" s="81"/>
      <c r="F12" s="81"/>
      <c r="G12" s="81"/>
      <c r="H12" s="81"/>
      <c r="I12" s="81"/>
    </row>
    <row r="13" spans="1:9" ht="15.65" x14ac:dyDescent="0.3">
      <c r="A13" s="74" t="s">
        <v>116</v>
      </c>
      <c r="B13" s="84">
        <f>B12/(B8*2)</f>
        <v>44.710956521739128</v>
      </c>
      <c r="C13" s="81"/>
      <c r="D13" s="81"/>
      <c r="E13" s="81"/>
      <c r="F13" s="81"/>
      <c r="G13" s="81"/>
      <c r="H13" s="81"/>
      <c r="I13" s="81"/>
    </row>
    <row r="14" spans="1:9" ht="15.65" x14ac:dyDescent="0.3">
      <c r="A14" s="74" t="s">
        <v>117</v>
      </c>
      <c r="B14" s="84">
        <f>AVERAGE(B2,B3,2.07)</f>
        <v>1.5066666666666666</v>
      </c>
      <c r="C14" s="81"/>
      <c r="D14" s="81"/>
      <c r="E14" s="81"/>
      <c r="F14" s="81"/>
      <c r="G14" s="81"/>
      <c r="H14" s="81"/>
      <c r="I14" s="81"/>
    </row>
    <row r="15" spans="1:9" ht="15.65" x14ac:dyDescent="0.3">
      <c r="A15" s="74" t="s">
        <v>118</v>
      </c>
      <c r="B15" s="83">
        <f>C5/B14</f>
        <v>0.28982300884955758</v>
      </c>
      <c r="C15" s="81"/>
      <c r="D15" s="81"/>
      <c r="E15" s="81"/>
      <c r="F15" s="81"/>
      <c r="G15" s="81"/>
      <c r="H15" s="81"/>
      <c r="I15" s="81"/>
    </row>
    <row r="16" spans="1:9" ht="15.65" x14ac:dyDescent="0.3">
      <c r="A16" s="74" t="s">
        <v>119</v>
      </c>
      <c r="B16" s="83">
        <f>1-B15</f>
        <v>0.71017699115044242</v>
      </c>
      <c r="C16" s="81"/>
      <c r="D16" s="81"/>
      <c r="E16" s="81"/>
      <c r="F16" s="81"/>
      <c r="G16" s="81"/>
      <c r="H16" s="81"/>
      <c r="I16" s="81"/>
    </row>
    <row r="17" spans="1:9" ht="15.65" x14ac:dyDescent="0.3">
      <c r="A17" s="74" t="s">
        <v>136</v>
      </c>
      <c r="B17" s="83">
        <f>B16*E5</f>
        <v>7.8119469026548663E-2</v>
      </c>
      <c r="C17" s="81"/>
      <c r="D17" s="81"/>
      <c r="E17" s="81"/>
      <c r="F17" s="81"/>
      <c r="G17" s="81"/>
      <c r="H17" s="81"/>
      <c r="I17" s="81"/>
    </row>
    <row r="18" spans="1:9" ht="15.65" x14ac:dyDescent="0.3">
      <c r="A18" s="81"/>
      <c r="B18" s="81"/>
      <c r="C18" s="81"/>
      <c r="D18" s="81"/>
      <c r="E18" s="81"/>
      <c r="F18" s="81"/>
      <c r="G18" s="81"/>
      <c r="H18" s="81"/>
      <c r="I18" s="81"/>
    </row>
    <row r="19" spans="1:9" ht="15.65" x14ac:dyDescent="0.3">
      <c r="A19" s="85" t="s">
        <v>126</v>
      </c>
      <c r="B19" s="86">
        <f>B7*2</f>
        <v>640000</v>
      </c>
      <c r="C19" s="87" t="s">
        <v>120</v>
      </c>
      <c r="D19" s="87" t="s">
        <v>121</v>
      </c>
      <c r="E19" s="87" t="s">
        <v>122</v>
      </c>
      <c r="F19" s="87" t="s">
        <v>123</v>
      </c>
      <c r="G19" s="87" t="s">
        <v>124</v>
      </c>
      <c r="H19" s="87" t="s">
        <v>125</v>
      </c>
      <c r="I19" s="81"/>
    </row>
    <row r="20" spans="1:9" ht="15.65" x14ac:dyDescent="0.3">
      <c r="A20" s="85" t="s">
        <v>127</v>
      </c>
      <c r="B20" s="88">
        <f>$H$20/($F$5-$B$17)</f>
        <v>17395308.291742843</v>
      </c>
      <c r="C20" s="88">
        <f>FV($B$11,1,,-$B$19)</f>
        <v>720807.47663551406</v>
      </c>
      <c r="D20" s="88">
        <f>FV($B$11,1,,-C$20)</f>
        <v>811817.84120883932</v>
      </c>
      <c r="E20" s="88">
        <f t="shared" ref="E20:H20" si="1">FV($B$11,1,,-D$20)</f>
        <v>914319.32751474052</v>
      </c>
      <c r="F20" s="88">
        <f t="shared" si="1"/>
        <v>1029762.8239140316</v>
      </c>
      <c r="G20" s="88">
        <f t="shared" si="1"/>
        <v>1159782.4103727099</v>
      </c>
      <c r="H20" s="88">
        <f>FV($B$17,1,,-G$20)</f>
        <v>1250383.9964573567</v>
      </c>
      <c r="I20" s="81"/>
    </row>
    <row r="21" spans="1:9" ht="15.65" x14ac:dyDescent="0.3">
      <c r="A21" s="85" t="s">
        <v>128</v>
      </c>
      <c r="B21" s="88">
        <f>NPV($F$5,C20:F20,G20+B20)</f>
        <v>11655749.484419052</v>
      </c>
      <c r="C21" s="81"/>
      <c r="D21" s="81"/>
      <c r="E21" s="81"/>
      <c r="F21" s="81"/>
      <c r="G21" s="81"/>
      <c r="H21" s="81"/>
      <c r="I21" s="81"/>
    </row>
    <row r="22" spans="1:9" ht="15.65" x14ac:dyDescent="0.3">
      <c r="A22" s="85" t="s">
        <v>116</v>
      </c>
      <c r="B22" s="88">
        <f>B21/(B8*2)</f>
        <v>38.852498281396841</v>
      </c>
      <c r="C22" s="81"/>
      <c r="D22" s="81"/>
      <c r="E22" s="81"/>
      <c r="F22" s="81"/>
      <c r="G22" s="81"/>
      <c r="H22" s="81"/>
      <c r="I22" s="81"/>
    </row>
    <row r="23" spans="1:9" ht="15.65" x14ac:dyDescent="0.3">
      <c r="A23" s="81"/>
      <c r="B23" s="81"/>
      <c r="C23" s="81"/>
      <c r="D23" s="81"/>
      <c r="E23" s="81"/>
      <c r="F23" s="81"/>
      <c r="G23" s="81"/>
      <c r="H23" s="81"/>
      <c r="I23" s="81"/>
    </row>
    <row r="24" spans="1:9" ht="15.65" x14ac:dyDescent="0.3">
      <c r="A24" s="85" t="s">
        <v>129</v>
      </c>
      <c r="B24" s="89">
        <f>D5/B14</f>
        <v>11.997787610619469</v>
      </c>
      <c r="C24" s="81"/>
      <c r="D24" s="81"/>
      <c r="E24" s="81"/>
      <c r="F24" s="81"/>
      <c r="G24" s="81"/>
      <c r="H24" s="81"/>
      <c r="I24" s="81"/>
    </row>
    <row r="25" spans="1:9" ht="15.65" x14ac:dyDescent="0.3">
      <c r="A25" s="85" t="s">
        <v>130</v>
      </c>
      <c r="B25" s="90">
        <f>B13/B6</f>
        <v>8.3571881349045096</v>
      </c>
      <c r="C25" s="81" t="s">
        <v>131</v>
      </c>
      <c r="D25" s="81"/>
      <c r="E25" s="81"/>
      <c r="F25" s="81"/>
      <c r="G25" s="81"/>
      <c r="H25" s="81"/>
      <c r="I25" s="81"/>
    </row>
    <row r="26" spans="1:9" ht="15.65" x14ac:dyDescent="0.3">
      <c r="A26" s="85" t="s">
        <v>130</v>
      </c>
      <c r="B26" s="90">
        <f>B22/B6</f>
        <v>7.2621492114760455</v>
      </c>
      <c r="C26" s="81" t="s">
        <v>132</v>
      </c>
      <c r="D26" s="81"/>
      <c r="E26" s="81"/>
      <c r="F26" s="81"/>
      <c r="G26" s="81"/>
      <c r="H26" s="81"/>
      <c r="I26" s="81"/>
    </row>
    <row r="27" spans="1:9" ht="15.65" x14ac:dyDescent="0.3">
      <c r="A27" s="81"/>
      <c r="B27" s="81"/>
      <c r="C27" s="81"/>
      <c r="D27" s="81"/>
      <c r="E27" s="81"/>
      <c r="F27" s="81"/>
      <c r="G27" s="81"/>
      <c r="H27" s="81"/>
      <c r="I27" s="81"/>
    </row>
    <row r="28" spans="1:9" ht="15.65" x14ac:dyDescent="0.3">
      <c r="A28" s="85" t="s">
        <v>133</v>
      </c>
      <c r="B28" s="86">
        <f>B9/F5</f>
        <v>10699999.999999998</v>
      </c>
      <c r="C28" s="81"/>
      <c r="D28" s="81"/>
      <c r="E28" s="81"/>
      <c r="F28" s="81"/>
      <c r="G28" s="81"/>
      <c r="H28" s="81"/>
      <c r="I28" s="81"/>
    </row>
    <row r="29" spans="1:9" ht="15.65" x14ac:dyDescent="0.3">
      <c r="A29" s="91" t="s">
        <v>134</v>
      </c>
      <c r="B29" s="92"/>
      <c r="C29" s="93"/>
      <c r="D29" s="94">
        <f>B28/B21</f>
        <v>0.91800188519008052</v>
      </c>
      <c r="E29" s="81"/>
      <c r="F29" s="81"/>
      <c r="G29" s="81"/>
      <c r="H29" s="81"/>
      <c r="I29" s="81"/>
    </row>
    <row r="30" spans="1:9" ht="15.65" x14ac:dyDescent="0.3">
      <c r="A30" s="95" t="s">
        <v>135</v>
      </c>
      <c r="B30" s="96"/>
      <c r="C30" s="97"/>
      <c r="D30" s="94">
        <f>1-D29</f>
        <v>8.1998114809919476E-2</v>
      </c>
      <c r="E30" s="81"/>
      <c r="F30" s="81"/>
      <c r="G30" s="81"/>
      <c r="H30" s="81"/>
      <c r="I30" s="81"/>
    </row>
    <row r="31" spans="1:9" ht="15.65" x14ac:dyDescent="0.3">
      <c r="A31" s="81"/>
      <c r="B31" s="81"/>
      <c r="C31" s="81"/>
      <c r="D31" s="81"/>
      <c r="E31" s="81"/>
      <c r="F31" s="81"/>
      <c r="G31" s="81"/>
      <c r="H31" s="81"/>
      <c r="I31" s="81"/>
    </row>
    <row r="32" spans="1:9" ht="15.65" x14ac:dyDescent="0.3">
      <c r="A32" s="85" t="s">
        <v>136</v>
      </c>
      <c r="B32" s="94">
        <f>B33*B10</f>
        <v>7.8100000000000003E-2</v>
      </c>
      <c r="C32" s="81"/>
      <c r="D32" s="81"/>
      <c r="E32" s="81"/>
      <c r="F32" s="81"/>
      <c r="G32" s="81"/>
      <c r="H32" s="81"/>
      <c r="I32" s="81"/>
    </row>
    <row r="33" spans="1:9" ht="15.65" x14ac:dyDescent="0.3">
      <c r="A33" s="85" t="s">
        <v>103</v>
      </c>
      <c r="B33" s="94">
        <v>0.12989689119170986</v>
      </c>
      <c r="C33" s="81"/>
      <c r="D33" s="81"/>
      <c r="E33" s="81"/>
      <c r="F33" s="81"/>
      <c r="G33" s="81"/>
      <c r="H33" s="81"/>
      <c r="I33" s="81"/>
    </row>
    <row r="34" spans="1:9" ht="15.65" x14ac:dyDescent="0.3">
      <c r="A34" s="81"/>
      <c r="B34" s="81"/>
      <c r="C34" s="81"/>
      <c r="D34" s="81"/>
      <c r="E34" s="81"/>
      <c r="F34" s="81"/>
      <c r="G34" s="81"/>
      <c r="H34" s="81"/>
      <c r="I34" s="8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7193-7053-42E6-91AA-4839CE7D71FD}">
  <dimension ref="A1:B1"/>
  <sheetViews>
    <sheetView showGridLines="0" zoomScale="145" zoomScaleNormal="145" workbookViewId="0">
      <selection activeCell="B1" sqref="B1"/>
    </sheetView>
  </sheetViews>
  <sheetFormatPr defaultRowHeight="15.05" x14ac:dyDescent="0.3"/>
  <cols>
    <col min="1" max="1" width="17.33203125" bestFit="1" customWidth="1"/>
  </cols>
  <sheetData>
    <row r="1" spans="1:2" ht="15.65" x14ac:dyDescent="0.3">
      <c r="A1" s="29" t="s">
        <v>6</v>
      </c>
      <c r="B1" s="30">
        <f>3.25/(0.105-0.05)</f>
        <v>59.090909090909101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F196-439B-4037-BB58-3AF2149143BB}">
  <dimension ref="A1:D1"/>
  <sheetViews>
    <sheetView showGridLines="0" zoomScale="145" zoomScaleNormal="145" workbookViewId="0">
      <selection activeCell="B1" sqref="B1"/>
    </sheetView>
  </sheetViews>
  <sheetFormatPr defaultRowHeight="15.05" x14ac:dyDescent="0.3"/>
  <cols>
    <col min="3" max="3" width="9.6640625" customWidth="1"/>
    <col min="4" max="4" width="7.33203125" bestFit="1" customWidth="1"/>
  </cols>
  <sheetData>
    <row r="1" spans="1:4" ht="15.65" x14ac:dyDescent="0.3">
      <c r="A1" s="25" t="s">
        <v>3</v>
      </c>
      <c r="B1" s="4"/>
      <c r="C1" s="5"/>
      <c r="D1" s="26">
        <f>0.052+0.049</f>
        <v>0.10100000000000001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EDA2-46D4-4B5C-B54E-12353DB55BBE}">
  <dimension ref="A1:B4"/>
  <sheetViews>
    <sheetView showGridLines="0" zoomScale="145" zoomScaleNormal="145" workbookViewId="0">
      <selection activeCell="B2" sqref="B2"/>
    </sheetView>
  </sheetViews>
  <sheetFormatPr defaultRowHeight="15.05" x14ac:dyDescent="0.3"/>
  <cols>
    <col min="1" max="1" width="19.6640625" bestFit="1" customWidth="1"/>
  </cols>
  <sheetData>
    <row r="1" spans="1:2" ht="15.65" x14ac:dyDescent="0.3">
      <c r="A1" s="27" t="s">
        <v>7</v>
      </c>
      <c r="B1" s="23">
        <f>((0.099/2)*74)*PV(0.099/2,1,,-1)</f>
        <v>3.4902334444973797</v>
      </c>
    </row>
    <row r="2" spans="1:2" ht="15.65" x14ac:dyDescent="0.3">
      <c r="A2" s="55" t="s">
        <v>7</v>
      </c>
      <c r="B2" s="56">
        <v>3.4902334444973797</v>
      </c>
    </row>
    <row r="3" spans="1:2" ht="15.65" x14ac:dyDescent="0.3">
      <c r="A3" s="55" t="s">
        <v>76</v>
      </c>
      <c r="B3" s="56">
        <f>FV(B4/2,1,,-B2)/(B4-(B4/2))</f>
        <v>74</v>
      </c>
    </row>
    <row r="4" spans="1:2" ht="15.65" x14ac:dyDescent="0.3">
      <c r="A4" s="55" t="s">
        <v>87</v>
      </c>
      <c r="B4" s="57">
        <v>9.9000000000000005E-2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2CD6-7A40-49CC-9748-501C6E82243D}">
  <dimension ref="A1:B1"/>
  <sheetViews>
    <sheetView showGridLines="0" zoomScale="145" zoomScaleNormal="145" workbookViewId="0">
      <selection activeCell="B1" sqref="B1"/>
    </sheetView>
  </sheetViews>
  <sheetFormatPr defaultRowHeight="15.05" x14ac:dyDescent="0.3"/>
  <cols>
    <col min="1" max="1" width="13.33203125" customWidth="1"/>
  </cols>
  <sheetData>
    <row r="1" spans="1:2" ht="15.65" x14ac:dyDescent="0.3">
      <c r="A1" s="27" t="s">
        <v>8</v>
      </c>
      <c r="B1" s="31">
        <f>PV(0.095,11,-8.5)</f>
        <v>56.502085197930519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702C-0441-4932-AE19-26FF838DD8A1}">
  <dimension ref="A1:B1"/>
  <sheetViews>
    <sheetView showGridLines="0" zoomScale="145" zoomScaleNormal="145" workbookViewId="0">
      <selection activeCell="B1" sqref="B1"/>
    </sheetView>
  </sheetViews>
  <sheetFormatPr defaultRowHeight="15.05" x14ac:dyDescent="0.3"/>
  <cols>
    <col min="1" max="1" width="4.21875" customWidth="1"/>
  </cols>
  <sheetData>
    <row r="1" spans="1:2" ht="15.65" x14ac:dyDescent="0.3">
      <c r="A1" s="32" t="s">
        <v>9</v>
      </c>
      <c r="B1" s="26">
        <f>3.75/81</f>
        <v>4.6296296296296294E-2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A5B5-2B6F-4A95-95FB-74DA626830DC}">
  <dimension ref="A1:B2"/>
  <sheetViews>
    <sheetView showGridLines="0" zoomScale="145" zoomScaleNormal="145" workbookViewId="0">
      <selection activeCell="B1" sqref="B1"/>
    </sheetView>
  </sheetViews>
  <sheetFormatPr defaultRowHeight="15.05" x14ac:dyDescent="0.3"/>
  <cols>
    <col min="1" max="1" width="26.109375" bestFit="1" customWidth="1"/>
    <col min="2" max="2" width="14.44140625" bestFit="1" customWidth="1"/>
  </cols>
  <sheetData>
    <row r="1" spans="1:2" ht="15.65" x14ac:dyDescent="0.3">
      <c r="A1" s="27" t="s">
        <v>10</v>
      </c>
      <c r="B1" s="26">
        <f>0.13*0.8</f>
        <v>0.10400000000000001</v>
      </c>
    </row>
    <row r="2" spans="1:2" ht="15.65" x14ac:dyDescent="0.3">
      <c r="A2" s="27" t="s">
        <v>11</v>
      </c>
      <c r="B2" s="33">
        <f>17500000*(1+B1)</f>
        <v>19320000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11.</vt:lpstr>
      <vt:lpstr>10.</vt:lpstr>
      <vt:lpstr>12.</vt:lpstr>
      <vt:lpstr>13.</vt:lpstr>
      <vt:lpstr>14.</vt:lpstr>
      <vt:lpstr>15.</vt:lpstr>
      <vt:lpstr>16.</vt:lpstr>
      <vt:lpstr>17.</vt:lpstr>
      <vt:lpstr>18.</vt:lpstr>
      <vt:lpstr>19.</vt:lpstr>
      <vt:lpstr>20.</vt:lpstr>
      <vt:lpstr>21.</vt:lpstr>
      <vt:lpstr>22.</vt:lpstr>
      <vt:lpstr>23.</vt:lpstr>
      <vt:lpstr>24.</vt:lpstr>
      <vt:lpstr>25.</vt:lpstr>
      <vt:lpstr>26.</vt:lpstr>
      <vt:lpstr>27.</vt:lpstr>
      <vt:lpstr>28.</vt:lpstr>
      <vt:lpstr>29.</vt:lpstr>
      <vt:lpstr>30.</vt:lpstr>
      <vt:lpstr>31. &amp; 32.</vt:lpstr>
      <vt:lpstr>STOCK VALUATION AT RAGAN 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PC-5985614</dc:creator>
  <cp:lastModifiedBy>BusinessLearn365</cp:lastModifiedBy>
  <dcterms:created xsi:type="dcterms:W3CDTF">2022-01-27T08:58:05Z</dcterms:created>
  <dcterms:modified xsi:type="dcterms:W3CDTF">2023-02-22T08:33:43Z</dcterms:modified>
</cp:coreProperties>
</file>