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órmulas Excel\"/>
    </mc:Choice>
  </mc:AlternateContent>
  <xr:revisionPtr revIDLastSave="0" documentId="13_ncr:1_{095BB9C7-451A-4477-913C-11C8AA1E96E2}" xr6:coauthVersionLast="45" xr6:coauthVersionMax="45" xr10:uidLastSave="{00000000-0000-0000-0000-000000000000}"/>
  <bookViews>
    <workbookView xWindow="-120" yWindow="-120" windowWidth="24240" windowHeight="13140" activeTab="3" xr2:uid="{D439D852-48F8-4CB1-8521-86C3E79FC8A4}"/>
  </bookViews>
  <sheets>
    <sheet name="Dados" sheetId="1" r:id="rId1"/>
    <sheet name="Lista" sheetId="2" state="hidden" r:id="rId2"/>
    <sheet name="Auxiliar" sheetId="3" r:id="rId3"/>
    <sheet name="Dashboard" sheetId="5" r:id="rId4"/>
  </sheets>
  <definedNames>
    <definedName name="Ano">Auxiliar!$L$4</definedName>
    <definedName name="Estado" localSheetId="2">Auxiliar!#REF!</definedName>
    <definedName name="Extrusão">Lista!$H$3:$H$4</definedName>
    <definedName name="IndiceAno">Auxiliar!$L$5</definedName>
    <definedName name="IndiceSetor">Auxiliar!$J$5</definedName>
    <definedName name="ListaAnos">Auxiliar!$J$10:$J$21</definedName>
    <definedName name="ListaMes">Auxiliar!$S$4:$S$15</definedName>
    <definedName name="ListaMeses">Auxiliar!$K$10:$K$21</definedName>
    <definedName name="ListaSetores">Auxiliar!$B$4:$B$8</definedName>
    <definedName name="ListaVolProduzido">Auxiliar!$C$4:$C$9</definedName>
    <definedName name="Mes">Auxiliar!$M$4</definedName>
    <definedName name="MesExtenso">Auxiliar!$M$5</definedName>
    <definedName name="Mistura">Lista!$I$3:$I$4</definedName>
    <definedName name="Modelagem">Lista!$J$3:$J$4</definedName>
    <definedName name="Prensagem">Lista!$K$3:$K$4</definedName>
    <definedName name="Retífica">Lista!$L$3:$L$4</definedName>
    <definedName name="Setor">Auxiliar!$J$4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99" i="1" l="1"/>
  <c r="M299" i="1" s="1"/>
  <c r="J298" i="1"/>
  <c r="J297" i="1"/>
  <c r="J296" i="1"/>
  <c r="M296" i="1" s="1"/>
  <c r="J295" i="1"/>
  <c r="J294" i="1"/>
  <c r="J293" i="1"/>
  <c r="J292" i="1"/>
  <c r="R292" i="1" s="1"/>
  <c r="J291" i="1"/>
  <c r="J290" i="1"/>
  <c r="J289" i="1"/>
  <c r="M289" i="1" s="1"/>
  <c r="J288" i="1"/>
  <c r="M288" i="1" s="1"/>
  <c r="J287" i="1"/>
  <c r="J286" i="1"/>
  <c r="J285" i="1"/>
  <c r="M285" i="1" s="1"/>
  <c r="J284" i="1"/>
  <c r="R284" i="1" s="1"/>
  <c r="J283" i="1"/>
  <c r="J282" i="1"/>
  <c r="J281" i="1"/>
  <c r="J280" i="1"/>
  <c r="R280" i="1" s="1"/>
  <c r="J279" i="1"/>
  <c r="J278" i="1"/>
  <c r="J277" i="1"/>
  <c r="J276" i="1"/>
  <c r="M276" i="1" s="1"/>
  <c r="J275" i="1"/>
  <c r="J274" i="1"/>
  <c r="J273" i="1"/>
  <c r="J272" i="1"/>
  <c r="M272" i="1" s="1"/>
  <c r="J271" i="1"/>
  <c r="J270" i="1"/>
  <c r="J269" i="1"/>
  <c r="M269" i="1" s="1"/>
  <c r="J268" i="1"/>
  <c r="M268" i="1" s="1"/>
  <c r="J267" i="1"/>
  <c r="M267" i="1" s="1"/>
  <c r="J266" i="1"/>
  <c r="J265" i="1"/>
  <c r="M265" i="1" s="1"/>
  <c r="J264" i="1"/>
  <c r="M264" i="1" s="1"/>
  <c r="J263" i="1"/>
  <c r="J262" i="1"/>
  <c r="J261" i="1"/>
  <c r="J260" i="1"/>
  <c r="M260" i="1" s="1"/>
  <c r="J259" i="1"/>
  <c r="J258" i="1"/>
  <c r="J257" i="1"/>
  <c r="M257" i="1" s="1"/>
  <c r="J256" i="1"/>
  <c r="M256" i="1" s="1"/>
  <c r="J255" i="1"/>
  <c r="J254" i="1"/>
  <c r="J253" i="1"/>
  <c r="M253" i="1" s="1"/>
  <c r="J252" i="1"/>
  <c r="M252" i="1" s="1"/>
  <c r="J251" i="1"/>
  <c r="J250" i="1"/>
  <c r="J249" i="1"/>
  <c r="J248" i="1"/>
  <c r="R248" i="1" s="1"/>
  <c r="J247" i="1"/>
  <c r="J246" i="1"/>
  <c r="J245" i="1"/>
  <c r="M245" i="1" s="1"/>
  <c r="J244" i="1"/>
  <c r="M244" i="1" s="1"/>
  <c r="J243" i="1"/>
  <c r="J242" i="1"/>
  <c r="J241" i="1"/>
  <c r="R241" i="1" s="1"/>
  <c r="J240" i="1"/>
  <c r="M240" i="1" s="1"/>
  <c r="J239" i="1"/>
  <c r="J238" i="1"/>
  <c r="J237" i="1"/>
  <c r="J236" i="1"/>
  <c r="M236" i="1" s="1"/>
  <c r="J235" i="1"/>
  <c r="J234" i="1"/>
  <c r="J233" i="1"/>
  <c r="R233" i="1" s="1"/>
  <c r="J232" i="1"/>
  <c r="M232" i="1" s="1"/>
  <c r="J231" i="1"/>
  <c r="J230" i="1"/>
  <c r="J229" i="1"/>
  <c r="J228" i="1"/>
  <c r="M228" i="1" s="1"/>
  <c r="J227" i="1"/>
  <c r="J226" i="1"/>
  <c r="J225" i="1"/>
  <c r="M225" i="1" s="1"/>
  <c r="J224" i="1"/>
  <c r="M224" i="1" s="1"/>
  <c r="J223" i="1"/>
  <c r="J222" i="1"/>
  <c r="J221" i="1"/>
  <c r="M221" i="1" s="1"/>
  <c r="J220" i="1"/>
  <c r="J219" i="1"/>
  <c r="M219" i="1" s="1"/>
  <c r="J218" i="1"/>
  <c r="J217" i="1"/>
  <c r="R217" i="1" s="1"/>
  <c r="J216" i="1"/>
  <c r="M216" i="1" s="1"/>
  <c r="J215" i="1"/>
  <c r="J214" i="1"/>
  <c r="J213" i="1"/>
  <c r="J212" i="1"/>
  <c r="J211" i="1"/>
  <c r="J210" i="1"/>
  <c r="J209" i="1"/>
  <c r="M209" i="1" s="1"/>
  <c r="J208" i="1"/>
  <c r="M208" i="1" s="1"/>
  <c r="J207" i="1"/>
  <c r="J206" i="1"/>
  <c r="E299" i="1"/>
  <c r="Q299" i="1" s="1"/>
  <c r="E298" i="1"/>
  <c r="L298" i="1" s="1"/>
  <c r="E297" i="1"/>
  <c r="Q297" i="1" s="1"/>
  <c r="E296" i="1"/>
  <c r="E295" i="1"/>
  <c r="L295" i="1" s="1"/>
  <c r="E294" i="1"/>
  <c r="L294" i="1" s="1"/>
  <c r="E293" i="1"/>
  <c r="E292" i="1"/>
  <c r="L292" i="1" s="1"/>
  <c r="E291" i="1"/>
  <c r="E290" i="1"/>
  <c r="L290" i="1" s="1"/>
  <c r="E289" i="1"/>
  <c r="E288" i="1"/>
  <c r="L288" i="1" s="1"/>
  <c r="E287" i="1"/>
  <c r="L287" i="1" s="1"/>
  <c r="E286" i="1"/>
  <c r="E285" i="1"/>
  <c r="L285" i="1" s="1"/>
  <c r="E284" i="1"/>
  <c r="L284" i="1" s="1"/>
  <c r="E283" i="1"/>
  <c r="Q283" i="1" s="1"/>
  <c r="E282" i="1"/>
  <c r="L282" i="1" s="1"/>
  <c r="E281" i="1"/>
  <c r="Q281" i="1" s="1"/>
  <c r="E280" i="1"/>
  <c r="L280" i="1" s="1"/>
  <c r="E279" i="1"/>
  <c r="P279" i="1" s="1" a="1"/>
  <c r="P279" i="1" s="1"/>
  <c r="E278" i="1"/>
  <c r="L278" i="1" s="1"/>
  <c r="E277" i="1"/>
  <c r="Q277" i="1" s="1"/>
  <c r="E276" i="1"/>
  <c r="L276" i="1" s="1"/>
  <c r="E275" i="1"/>
  <c r="E274" i="1"/>
  <c r="L274" i="1" s="1"/>
  <c r="E273" i="1"/>
  <c r="L273" i="1" s="1"/>
  <c r="E272" i="1"/>
  <c r="L272" i="1" s="1"/>
  <c r="E271" i="1"/>
  <c r="E270" i="1"/>
  <c r="L270" i="1" s="1"/>
  <c r="E269" i="1"/>
  <c r="E268" i="1"/>
  <c r="L268" i="1" s="1"/>
  <c r="E267" i="1"/>
  <c r="E266" i="1"/>
  <c r="L266" i="1" s="1"/>
  <c r="E265" i="1"/>
  <c r="E264" i="1"/>
  <c r="E263" i="1"/>
  <c r="E262" i="1"/>
  <c r="L262" i="1" s="1"/>
  <c r="E261" i="1"/>
  <c r="E260" i="1"/>
  <c r="E259" i="1"/>
  <c r="L259" i="1" s="1"/>
  <c r="E258" i="1"/>
  <c r="L258" i="1" s="1"/>
  <c r="E257" i="1"/>
  <c r="L257" i="1" s="1"/>
  <c r="E256" i="1"/>
  <c r="L256" i="1" s="1"/>
  <c r="E255" i="1"/>
  <c r="L255" i="1" s="1"/>
  <c r="E254" i="1"/>
  <c r="E253" i="1"/>
  <c r="L253" i="1" s="1"/>
  <c r="E252" i="1"/>
  <c r="L252" i="1" s="1"/>
  <c r="E251" i="1"/>
  <c r="L251" i="1" s="1"/>
  <c r="E250" i="1"/>
  <c r="L250" i="1" s="1"/>
  <c r="E249" i="1"/>
  <c r="L249" i="1" s="1"/>
  <c r="E248" i="1"/>
  <c r="L248" i="1" s="1"/>
  <c r="E247" i="1"/>
  <c r="E246" i="1"/>
  <c r="L246" i="1" s="1"/>
  <c r="E245" i="1"/>
  <c r="Q245" i="1" s="1"/>
  <c r="E244" i="1"/>
  <c r="L244" i="1" s="1"/>
  <c r="E243" i="1"/>
  <c r="P243" i="1" s="1" a="1"/>
  <c r="P243" i="1" s="1"/>
  <c r="E242" i="1"/>
  <c r="L242" i="1" s="1"/>
  <c r="E241" i="1"/>
  <c r="L241" i="1" s="1"/>
  <c r="E240" i="1"/>
  <c r="E239" i="1"/>
  <c r="Q239" i="1" s="1"/>
  <c r="E238" i="1"/>
  <c r="L238" i="1" s="1"/>
  <c r="E237" i="1"/>
  <c r="E236" i="1"/>
  <c r="L236" i="1" s="1"/>
  <c r="E235" i="1"/>
  <c r="L235" i="1" s="1"/>
  <c r="E234" i="1"/>
  <c r="L234" i="1" s="1"/>
  <c r="E233" i="1"/>
  <c r="L233" i="1" s="1"/>
  <c r="E232" i="1"/>
  <c r="E231" i="1"/>
  <c r="E230" i="1"/>
  <c r="L230" i="1" s="1"/>
  <c r="E229" i="1"/>
  <c r="L229" i="1" s="1"/>
  <c r="E228" i="1"/>
  <c r="Q228" i="1" s="1"/>
  <c r="E227" i="1"/>
  <c r="E226" i="1"/>
  <c r="L226" i="1" s="1"/>
  <c r="E225" i="1"/>
  <c r="P225" i="1" s="1" a="1"/>
  <c r="P225" i="1" s="1"/>
  <c r="E224" i="1"/>
  <c r="E223" i="1"/>
  <c r="Q223" i="1" s="1"/>
  <c r="E222" i="1"/>
  <c r="Q222" i="1" s="1"/>
  <c r="E221" i="1"/>
  <c r="Q221" i="1" s="1"/>
  <c r="E220" i="1"/>
  <c r="L220" i="1" s="1"/>
  <c r="E219" i="1"/>
  <c r="Q219" i="1" s="1"/>
  <c r="E218" i="1"/>
  <c r="L218" i="1" s="1"/>
  <c r="E217" i="1"/>
  <c r="Q217" i="1" s="1"/>
  <c r="E216" i="1"/>
  <c r="P216" i="1" s="1" a="1"/>
  <c r="P216" i="1" s="1"/>
  <c r="E215" i="1"/>
  <c r="Q215" i="1" s="1"/>
  <c r="E214" i="1"/>
  <c r="L214" i="1" s="1"/>
  <c r="E213" i="1"/>
  <c r="L213" i="1" s="1"/>
  <c r="E212" i="1"/>
  <c r="P212" i="1" s="1" a="1"/>
  <c r="P212" i="1" s="1"/>
  <c r="E211" i="1"/>
  <c r="Q211" i="1" s="1"/>
  <c r="E210" i="1"/>
  <c r="L210" i="1" s="1"/>
  <c r="E209" i="1"/>
  <c r="Q209" i="1" s="1"/>
  <c r="E208" i="1"/>
  <c r="Q208" i="1" s="1"/>
  <c r="E207" i="1"/>
  <c r="E206" i="1"/>
  <c r="L206" i="1" s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L232" i="1"/>
  <c r="K232" i="1"/>
  <c r="K233" i="1"/>
  <c r="K234" i="1"/>
  <c r="K235" i="1"/>
  <c r="K236" i="1"/>
  <c r="K237" i="1"/>
  <c r="K238" i="1"/>
  <c r="K239" i="1"/>
  <c r="L240" i="1"/>
  <c r="K240" i="1"/>
  <c r="K241" i="1"/>
  <c r="K242" i="1"/>
  <c r="K243" i="1"/>
  <c r="K244" i="1"/>
  <c r="K245" i="1"/>
  <c r="K246" i="1"/>
  <c r="Q247" i="1"/>
  <c r="K247" i="1"/>
  <c r="K248" i="1"/>
  <c r="M249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L264" i="1"/>
  <c r="K264" i="1"/>
  <c r="K265" i="1"/>
  <c r="K266" i="1"/>
  <c r="K267" i="1"/>
  <c r="K268" i="1"/>
  <c r="K269" i="1"/>
  <c r="K270" i="1"/>
  <c r="K271" i="1"/>
  <c r="K272" i="1"/>
  <c r="K273" i="1"/>
  <c r="K274" i="1"/>
  <c r="Q275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M283" i="1"/>
  <c r="L281" i="1"/>
  <c r="P277" i="1" a="1"/>
  <c r="P277" i="1" s="1"/>
  <c r="M275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M259" i="1"/>
  <c r="M255" i="1"/>
  <c r="M251" i="1"/>
  <c r="M247" i="1"/>
  <c r="M243" i="1"/>
  <c r="M242" i="1"/>
  <c r="M238" i="1"/>
  <c r="L237" i="1"/>
  <c r="M234" i="1"/>
  <c r="M231" i="1"/>
  <c r="M227" i="1"/>
  <c r="N226" i="1"/>
  <c r="N225" i="1"/>
  <c r="N224" i="1"/>
  <c r="N223" i="1"/>
  <c r="N222" i="1"/>
  <c r="N221" i="1"/>
  <c r="N220" i="1"/>
  <c r="M218" i="1"/>
  <c r="L217" i="1"/>
  <c r="M214" i="1"/>
  <c r="N212" i="1"/>
  <c r="M211" i="1"/>
  <c r="N210" i="1"/>
  <c r="N209" i="1"/>
  <c r="N208" i="1"/>
  <c r="N207" i="1"/>
  <c r="M206" i="1"/>
  <c r="N206" i="1"/>
  <c r="O206" i="1"/>
  <c r="M207" i="1"/>
  <c r="O207" i="1"/>
  <c r="O208" i="1"/>
  <c r="O209" i="1"/>
  <c r="O210" i="1"/>
  <c r="N211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M223" i="1"/>
  <c r="O223" i="1"/>
  <c r="O224" i="1"/>
  <c r="O225" i="1"/>
  <c r="O226" i="1"/>
  <c r="N227" i="1"/>
  <c r="O227" i="1"/>
  <c r="N228" i="1"/>
  <c r="O228" i="1"/>
  <c r="N229" i="1"/>
  <c r="O229" i="1"/>
  <c r="M230" i="1"/>
  <c r="N230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N244" i="1"/>
  <c r="O244" i="1"/>
  <c r="L245" i="1"/>
  <c r="O245" i="1"/>
  <c r="M246" i="1"/>
  <c r="N246" i="1"/>
  <c r="O246" i="1"/>
  <c r="O247" i="1"/>
  <c r="N248" i="1"/>
  <c r="O248" i="1"/>
  <c r="O249" i="1"/>
  <c r="M250" i="1"/>
  <c r="N250" i="1"/>
  <c r="O250" i="1"/>
  <c r="O251" i="1"/>
  <c r="N252" i="1"/>
  <c r="O252" i="1"/>
  <c r="O253" i="1"/>
  <c r="M254" i="1"/>
  <c r="N254" i="1"/>
  <c r="O254" i="1"/>
  <c r="O255" i="1"/>
  <c r="N256" i="1"/>
  <c r="O256" i="1"/>
  <c r="O257" i="1"/>
  <c r="M258" i="1"/>
  <c r="N258" i="1"/>
  <c r="O258" i="1"/>
  <c r="O259" i="1"/>
  <c r="O260" i="1"/>
  <c r="O261" i="1"/>
  <c r="M262" i="1"/>
  <c r="O262" i="1"/>
  <c r="M263" i="1"/>
  <c r="O263" i="1"/>
  <c r="O264" i="1"/>
  <c r="O265" i="1"/>
  <c r="M266" i="1"/>
  <c r="O266" i="1"/>
  <c r="O267" i="1"/>
  <c r="O268" i="1"/>
  <c r="O269" i="1"/>
  <c r="M270" i="1"/>
  <c r="O270" i="1"/>
  <c r="M271" i="1"/>
  <c r="O271" i="1"/>
  <c r="O272" i="1"/>
  <c r="N273" i="1"/>
  <c r="O273" i="1"/>
  <c r="M274" i="1"/>
  <c r="N274" i="1"/>
  <c r="O274" i="1"/>
  <c r="N275" i="1"/>
  <c r="O275" i="1"/>
  <c r="N276" i="1"/>
  <c r="O276" i="1"/>
  <c r="O277" i="1"/>
  <c r="M278" i="1"/>
  <c r="N278" i="1"/>
  <c r="O278" i="1"/>
  <c r="O279" i="1"/>
  <c r="N280" i="1"/>
  <c r="O280" i="1"/>
  <c r="O281" i="1"/>
  <c r="M282" i="1"/>
  <c r="N282" i="1"/>
  <c r="O282" i="1"/>
  <c r="O283" i="1"/>
  <c r="N284" i="1"/>
  <c r="O284" i="1"/>
  <c r="O285" i="1"/>
  <c r="M286" i="1"/>
  <c r="N286" i="1"/>
  <c r="O286" i="1"/>
  <c r="O287" i="1"/>
  <c r="N288" i="1"/>
  <c r="O288" i="1"/>
  <c r="O289" i="1"/>
  <c r="M290" i="1"/>
  <c r="N290" i="1"/>
  <c r="O290" i="1"/>
  <c r="O291" i="1"/>
  <c r="N292" i="1"/>
  <c r="O292" i="1"/>
  <c r="O293" i="1"/>
  <c r="M294" i="1"/>
  <c r="N294" i="1"/>
  <c r="O294" i="1"/>
  <c r="O295" i="1"/>
  <c r="L296" i="1"/>
  <c r="N296" i="1"/>
  <c r="O296" i="1"/>
  <c r="O297" i="1"/>
  <c r="M298" i="1"/>
  <c r="N298" i="1"/>
  <c r="O298" i="1"/>
  <c r="O299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T272" i="1"/>
  <c r="U272" i="1"/>
  <c r="Q273" i="1"/>
  <c r="T273" i="1"/>
  <c r="U273" i="1"/>
  <c r="R274" i="1"/>
  <c r="T274" i="1"/>
  <c r="U274" i="1"/>
  <c r="T275" i="1"/>
  <c r="U275" i="1"/>
  <c r="T276" i="1"/>
  <c r="U276" i="1"/>
  <c r="T277" i="1"/>
  <c r="U277" i="1"/>
  <c r="R278" i="1"/>
  <c r="T278" i="1"/>
  <c r="U278" i="1"/>
  <c r="R279" i="1"/>
  <c r="T279" i="1"/>
  <c r="U279" i="1"/>
  <c r="T280" i="1"/>
  <c r="U280" i="1"/>
  <c r="T281" i="1"/>
  <c r="U281" i="1"/>
  <c r="R282" i="1"/>
  <c r="T282" i="1"/>
  <c r="U282" i="1"/>
  <c r="R283" i="1"/>
  <c r="T283" i="1"/>
  <c r="U283" i="1"/>
  <c r="T284" i="1"/>
  <c r="U284" i="1"/>
  <c r="R285" i="1"/>
  <c r="T285" i="1"/>
  <c r="U285" i="1"/>
  <c r="R286" i="1"/>
  <c r="T286" i="1"/>
  <c r="U286" i="1"/>
  <c r="R287" i="1"/>
  <c r="T287" i="1"/>
  <c r="U287" i="1"/>
  <c r="T288" i="1"/>
  <c r="U288" i="1"/>
  <c r="Q289" i="1"/>
  <c r="T289" i="1"/>
  <c r="U289" i="1"/>
  <c r="R290" i="1"/>
  <c r="T290" i="1"/>
  <c r="U290" i="1"/>
  <c r="R291" i="1"/>
  <c r="T291" i="1"/>
  <c r="U291" i="1"/>
  <c r="T292" i="1"/>
  <c r="U292" i="1"/>
  <c r="Q293" i="1"/>
  <c r="T293" i="1"/>
  <c r="U293" i="1"/>
  <c r="R294" i="1"/>
  <c r="T294" i="1"/>
  <c r="U294" i="1"/>
  <c r="Q295" i="1"/>
  <c r="R295" i="1"/>
  <c r="T295" i="1"/>
  <c r="U295" i="1"/>
  <c r="T296" i="1"/>
  <c r="U296" i="1"/>
  <c r="T297" i="1"/>
  <c r="U297" i="1"/>
  <c r="R298" i="1"/>
  <c r="T298" i="1"/>
  <c r="U298" i="1"/>
  <c r="T299" i="1"/>
  <c r="U299" i="1"/>
  <c r="R206" i="1"/>
  <c r="T206" i="1"/>
  <c r="U206" i="1"/>
  <c r="R207" i="1"/>
  <c r="T207" i="1"/>
  <c r="U207" i="1"/>
  <c r="T208" i="1"/>
  <c r="U208" i="1"/>
  <c r="T209" i="1"/>
  <c r="U209" i="1"/>
  <c r="R210" i="1"/>
  <c r="T210" i="1"/>
  <c r="U210" i="1"/>
  <c r="R211" i="1"/>
  <c r="T211" i="1"/>
  <c r="U211" i="1"/>
  <c r="T212" i="1"/>
  <c r="U212" i="1"/>
  <c r="Q213" i="1"/>
  <c r="T213" i="1"/>
  <c r="U213" i="1"/>
  <c r="R214" i="1"/>
  <c r="T214" i="1"/>
  <c r="U214" i="1"/>
  <c r="R215" i="1"/>
  <c r="T215" i="1"/>
  <c r="U215" i="1"/>
  <c r="T216" i="1"/>
  <c r="U216" i="1"/>
  <c r="T217" i="1"/>
  <c r="U217" i="1"/>
  <c r="R218" i="1"/>
  <c r="T218" i="1"/>
  <c r="U218" i="1"/>
  <c r="R219" i="1"/>
  <c r="T219" i="1"/>
  <c r="U219" i="1"/>
  <c r="T220" i="1"/>
  <c r="U220" i="1"/>
  <c r="T221" i="1"/>
  <c r="U221" i="1"/>
  <c r="T222" i="1"/>
  <c r="U222" i="1"/>
  <c r="R223" i="1"/>
  <c r="T223" i="1"/>
  <c r="U223" i="1"/>
  <c r="T224" i="1"/>
  <c r="U224" i="1"/>
  <c r="R225" i="1"/>
  <c r="Q225" i="1"/>
  <c r="T225" i="1"/>
  <c r="U225" i="1"/>
  <c r="T226" i="1"/>
  <c r="U226" i="1"/>
  <c r="R227" i="1"/>
  <c r="T227" i="1"/>
  <c r="U227" i="1"/>
  <c r="T228" i="1"/>
  <c r="U228" i="1"/>
  <c r="R229" i="1"/>
  <c r="T229" i="1"/>
  <c r="U229" i="1"/>
  <c r="T230" i="1"/>
  <c r="U230" i="1"/>
  <c r="R231" i="1"/>
  <c r="T231" i="1"/>
  <c r="U231" i="1"/>
  <c r="T232" i="1"/>
  <c r="U232" i="1"/>
  <c r="Q233" i="1"/>
  <c r="T233" i="1"/>
  <c r="U233" i="1"/>
  <c r="T234" i="1"/>
  <c r="U234" i="1"/>
  <c r="R235" i="1"/>
  <c r="Q235" i="1"/>
  <c r="T235" i="1"/>
  <c r="U235" i="1"/>
  <c r="Q236" i="1"/>
  <c r="T236" i="1"/>
  <c r="U236" i="1"/>
  <c r="Q237" i="1"/>
  <c r="T237" i="1"/>
  <c r="U237" i="1"/>
  <c r="T238" i="1"/>
  <c r="U238" i="1"/>
  <c r="R239" i="1"/>
  <c r="T239" i="1"/>
  <c r="U239" i="1"/>
  <c r="T240" i="1"/>
  <c r="U240" i="1"/>
  <c r="T241" i="1"/>
  <c r="U241" i="1"/>
  <c r="T242" i="1"/>
  <c r="U242" i="1"/>
  <c r="R243" i="1"/>
  <c r="T243" i="1"/>
  <c r="U243" i="1"/>
  <c r="T244" i="1"/>
  <c r="U244" i="1"/>
  <c r="R245" i="1"/>
  <c r="T245" i="1"/>
  <c r="U245" i="1"/>
  <c r="T246" i="1"/>
  <c r="U246" i="1"/>
  <c r="R247" i="1"/>
  <c r="T247" i="1"/>
  <c r="U247" i="1"/>
  <c r="T248" i="1"/>
  <c r="U248" i="1"/>
  <c r="T249" i="1"/>
  <c r="U249" i="1"/>
  <c r="T250" i="1"/>
  <c r="U250" i="1"/>
  <c r="T251" i="1"/>
  <c r="U251" i="1"/>
  <c r="T252" i="1"/>
  <c r="U252" i="1"/>
  <c r="T253" i="1"/>
  <c r="U253" i="1"/>
  <c r="T254" i="1"/>
  <c r="U254" i="1"/>
  <c r="T256" i="1"/>
  <c r="U256" i="1"/>
  <c r="T257" i="1"/>
  <c r="U257" i="1"/>
  <c r="R258" i="1"/>
  <c r="T258" i="1"/>
  <c r="U258" i="1"/>
  <c r="T259" i="1"/>
  <c r="U259" i="1"/>
  <c r="T260" i="1"/>
  <c r="U260" i="1"/>
  <c r="T261" i="1"/>
  <c r="U261" i="1"/>
  <c r="T262" i="1"/>
  <c r="U262" i="1"/>
  <c r="T263" i="1"/>
  <c r="U263" i="1"/>
  <c r="T264" i="1"/>
  <c r="U264" i="1"/>
  <c r="T265" i="1"/>
  <c r="U265" i="1"/>
  <c r="T266" i="1"/>
  <c r="U266" i="1"/>
  <c r="R267" i="1"/>
  <c r="T267" i="1"/>
  <c r="U267" i="1"/>
  <c r="T268" i="1"/>
  <c r="U268" i="1"/>
  <c r="T269" i="1"/>
  <c r="U269" i="1"/>
  <c r="T270" i="1"/>
  <c r="U270" i="1"/>
  <c r="T271" i="1"/>
  <c r="U271" i="1"/>
  <c r="T255" i="1"/>
  <c r="U255" i="1"/>
  <c r="P222" i="1" l="1" a="1"/>
  <c r="P222" i="1" s="1"/>
  <c r="Q278" i="1"/>
  <c r="P266" i="1" a="1"/>
  <c r="P266" i="1" s="1"/>
  <c r="Q214" i="1"/>
  <c r="S214" i="1" s="1"/>
  <c r="Q210" i="1"/>
  <c r="P298" i="1" a="1"/>
  <c r="P298" i="1" s="1"/>
  <c r="R209" i="1"/>
  <c r="S209" i="1" s="1"/>
  <c r="L222" i="1"/>
  <c r="Q298" i="1"/>
  <c r="P206" i="1" a="1"/>
  <c r="P206" i="1" s="1"/>
  <c r="P258" i="1" a="1"/>
  <c r="P258" i="1" s="1"/>
  <c r="L254" i="1"/>
  <c r="P254" i="1" a="1"/>
  <c r="P254" i="1" s="1"/>
  <c r="R264" i="1"/>
  <c r="R216" i="1"/>
  <c r="P294" i="1" a="1"/>
  <c r="P294" i="1" s="1"/>
  <c r="P282" i="1" a="1"/>
  <c r="P282" i="1" s="1"/>
  <c r="P226" i="1" a="1"/>
  <c r="P226" i="1" s="1"/>
  <c r="Q291" i="1"/>
  <c r="L291" i="1"/>
  <c r="R261" i="1"/>
  <c r="M261" i="1"/>
  <c r="R293" i="1"/>
  <c r="M293" i="1"/>
  <c r="P290" i="1" a="1"/>
  <c r="P290" i="1" s="1"/>
  <c r="Q274" i="1"/>
  <c r="P246" i="1" a="1"/>
  <c r="P246" i="1" s="1"/>
  <c r="P238" i="1" a="1"/>
  <c r="P238" i="1" s="1"/>
  <c r="P230" i="1" a="1"/>
  <c r="P230" i="1" s="1"/>
  <c r="P274" i="1" a="1"/>
  <c r="P274" i="1" s="1"/>
  <c r="Q238" i="1"/>
  <c r="Q282" i="1"/>
  <c r="S282" i="1" s="1"/>
  <c r="L286" i="1"/>
  <c r="Q286" i="1"/>
  <c r="S286" i="1" s="1"/>
  <c r="R296" i="1"/>
  <c r="P286" i="1" a="1"/>
  <c r="P286" i="1" s="1"/>
  <c r="Q218" i="1"/>
  <c r="S218" i="1" s="1"/>
  <c r="P250" i="1" a="1"/>
  <c r="P250" i="1" s="1"/>
  <c r="Q290" i="1"/>
  <c r="S290" i="1" s="1"/>
  <c r="Q244" i="1"/>
  <c r="Q241" i="1"/>
  <c r="P233" i="1" a="1"/>
  <c r="P233" i="1" s="1"/>
  <c r="Q229" i="1"/>
  <c r="P213" i="1" a="1"/>
  <c r="P213" i="1" s="1"/>
  <c r="Q285" i="1"/>
  <c r="S285" i="1" s="1"/>
  <c r="L297" i="1"/>
  <c r="P220" i="1" a="1"/>
  <c r="P220" i="1" s="1"/>
  <c r="P253" i="1" a="1"/>
  <c r="P253" i="1" s="1"/>
  <c r="R268" i="1"/>
  <c r="R272" i="1"/>
  <c r="M292" i="1"/>
  <c r="Q279" i="1"/>
  <c r="L239" i="1"/>
  <c r="Q252" i="1"/>
  <c r="R289" i="1"/>
  <c r="S289" i="1" s="1"/>
  <c r="R288" i="1"/>
  <c r="Q287" i="1"/>
  <c r="P287" i="1" a="1"/>
  <c r="P287" i="1" s="1"/>
  <c r="L228" i="1"/>
  <c r="L212" i="1"/>
  <c r="L216" i="1"/>
  <c r="M248" i="1"/>
  <c r="R276" i="1"/>
  <c r="L215" i="1"/>
  <c r="P255" i="1" a="1"/>
  <c r="P255" i="1" s="1"/>
  <c r="P265" i="1" a="1"/>
  <c r="P265" i="1" s="1"/>
  <c r="P257" i="1" a="1"/>
  <c r="P257" i="1" s="1"/>
  <c r="P247" i="1" a="1"/>
  <c r="P247" i="1" s="1"/>
  <c r="P245" i="1" a="1"/>
  <c r="P245" i="1" s="1"/>
  <c r="P235" i="1" a="1"/>
  <c r="P235" i="1" s="1"/>
  <c r="P227" i="1" a="1"/>
  <c r="P227" i="1" s="1"/>
  <c r="P299" i="1" a="1"/>
  <c r="P299" i="1" s="1"/>
  <c r="P297" i="1" a="1"/>
  <c r="P297" i="1" s="1"/>
  <c r="P295" i="1" a="1"/>
  <c r="P295" i="1" s="1"/>
  <c r="P283" i="1" a="1"/>
  <c r="P283" i="1" s="1"/>
  <c r="P281" i="1" a="1"/>
  <c r="P281" i="1" s="1"/>
  <c r="P275" i="1" a="1"/>
  <c r="P275" i="1" s="1"/>
  <c r="P273" i="1" a="1"/>
  <c r="P273" i="1" s="1"/>
  <c r="N295" i="1"/>
  <c r="N293" i="1"/>
  <c r="N291" i="1"/>
  <c r="N289" i="1"/>
  <c r="N287" i="1"/>
  <c r="N279" i="1"/>
  <c r="N277" i="1"/>
  <c r="L271" i="1"/>
  <c r="L269" i="1"/>
  <c r="L267" i="1"/>
  <c r="L265" i="1"/>
  <c r="L263" i="1"/>
  <c r="L261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M229" i="1"/>
  <c r="M226" i="1"/>
  <c r="L225" i="1"/>
  <c r="L224" i="1"/>
  <c r="L223" i="1"/>
  <c r="M222" i="1"/>
  <c r="L221" i="1"/>
  <c r="N218" i="1"/>
  <c r="N217" i="1"/>
  <c r="N216" i="1"/>
  <c r="N215" i="1"/>
  <c r="N214" i="1"/>
  <c r="N213" i="1"/>
  <c r="M210" i="1"/>
  <c r="S210" i="1" s="1"/>
  <c r="L209" i="1"/>
  <c r="L208" i="1"/>
  <c r="P271" i="1" a="1"/>
  <c r="P271" i="1" s="1"/>
  <c r="P239" i="1" a="1"/>
  <c r="P239" i="1" s="1"/>
  <c r="P237" i="1" a="1"/>
  <c r="P237" i="1" s="1"/>
  <c r="P231" i="1" a="1"/>
  <c r="P231" i="1" s="1"/>
  <c r="P229" i="1" a="1"/>
  <c r="P229" i="1" s="1"/>
  <c r="P217" i="1" a="1"/>
  <c r="P217" i="1" s="1"/>
  <c r="P207" i="1" a="1"/>
  <c r="P207" i="1" s="1"/>
  <c r="P293" i="1" a="1"/>
  <c r="P293" i="1" s="1"/>
  <c r="P291" i="1" a="1"/>
  <c r="P291" i="1" s="1"/>
  <c r="P285" i="1" a="1"/>
  <c r="P285" i="1" s="1"/>
  <c r="N299" i="1"/>
  <c r="N297" i="1"/>
  <c r="M295" i="1"/>
  <c r="S295" i="1" s="1"/>
  <c r="L293" i="1"/>
  <c r="M291" i="1"/>
  <c r="L289" i="1"/>
  <c r="M287" i="1"/>
  <c r="N285" i="1"/>
  <c r="N283" i="1"/>
  <c r="N281" i="1"/>
  <c r="M279" i="1"/>
  <c r="L277" i="1"/>
  <c r="N259" i="1"/>
  <c r="N257" i="1"/>
  <c r="N255" i="1"/>
  <c r="N253" i="1"/>
  <c r="N251" i="1"/>
  <c r="N249" i="1"/>
  <c r="N247" i="1"/>
  <c r="N245" i="1"/>
  <c r="N243" i="1"/>
  <c r="M241" i="1"/>
  <c r="M239" i="1"/>
  <c r="S239" i="1" s="1"/>
  <c r="M237" i="1"/>
  <c r="M235" i="1"/>
  <c r="S235" i="1" s="1"/>
  <c r="M233" i="1"/>
  <c r="S233" i="1" s="1"/>
  <c r="N219" i="1"/>
  <c r="M217" i="1"/>
  <c r="S217" i="1" s="1"/>
  <c r="M215" i="1"/>
  <c r="S215" i="1" s="1"/>
  <c r="M213" i="1"/>
  <c r="P251" i="1" a="1"/>
  <c r="P251" i="1" s="1"/>
  <c r="P249" i="1" a="1"/>
  <c r="P249" i="1" s="1"/>
  <c r="P241" i="1" a="1"/>
  <c r="P241" i="1" s="1"/>
  <c r="P223" i="1" a="1"/>
  <c r="P223" i="1" s="1"/>
  <c r="P221" i="1" a="1"/>
  <c r="P221" i="1" s="1"/>
  <c r="P215" i="1" a="1"/>
  <c r="P215" i="1" s="1"/>
  <c r="P209" i="1" a="1"/>
  <c r="P209" i="1" s="1"/>
  <c r="P289" i="1" a="1"/>
  <c r="P289" i="1" s="1"/>
  <c r="R220" i="1"/>
  <c r="M220" i="1"/>
  <c r="R212" i="1"/>
  <c r="M212" i="1"/>
  <c r="M297" i="1"/>
  <c r="R297" i="1"/>
  <c r="Q231" i="1"/>
  <c r="S231" i="1" s="1"/>
  <c r="L231" i="1"/>
  <c r="Q207" i="1"/>
  <c r="S207" i="1" s="1"/>
  <c r="L207" i="1"/>
  <c r="L299" i="1"/>
  <c r="L283" i="1"/>
  <c r="L279" i="1"/>
  <c r="L275" i="1"/>
  <c r="L260" i="1"/>
  <c r="P260" i="1" a="1"/>
  <c r="P260" i="1" s="1"/>
  <c r="L247" i="1"/>
  <c r="M284" i="1"/>
  <c r="M281" i="1"/>
  <c r="R281" i="1"/>
  <c r="M280" i="1"/>
  <c r="R277" i="1"/>
  <c r="M277" i="1"/>
  <c r="S277" i="1" s="1"/>
  <c r="R273" i="1"/>
  <c r="M273" i="1"/>
  <c r="Q243" i="1"/>
  <c r="S243" i="1" s="1"/>
  <c r="L243" i="1"/>
  <c r="Q227" i="1"/>
  <c r="S227" i="1" s="1"/>
  <c r="L227" i="1"/>
  <c r="P219" i="1" a="1"/>
  <c r="P219" i="1" s="1"/>
  <c r="L219" i="1"/>
  <c r="P211" i="1" a="1"/>
  <c r="P211" i="1" s="1"/>
  <c r="L211" i="1"/>
  <c r="R237" i="1"/>
  <c r="S237" i="1" s="1"/>
  <c r="R221" i="1"/>
  <c r="S221" i="1" s="1"/>
  <c r="R213" i="1"/>
  <c r="S213" i="1" s="1"/>
  <c r="P252" i="1" a="1"/>
  <c r="P252" i="1" s="1"/>
  <c r="Q242" i="1"/>
  <c r="P236" i="1" a="1"/>
  <c r="P236" i="1" s="1"/>
  <c r="Q234" i="1"/>
  <c r="P228" i="1" a="1"/>
  <c r="P228" i="1" s="1"/>
  <c r="Q226" i="1"/>
  <c r="P208" i="1" a="1"/>
  <c r="P208" i="1" s="1"/>
  <c r="Q296" i="1"/>
  <c r="S296" i="1" s="1"/>
  <c r="Q292" i="1"/>
  <c r="Q288" i="1"/>
  <c r="Q284" i="1"/>
  <c r="Q280" i="1"/>
  <c r="Q276" i="1"/>
  <c r="P244" i="1" a="1"/>
  <c r="P244" i="1" s="1"/>
  <c r="P268" i="1" a="1"/>
  <c r="P268" i="1" s="1"/>
  <c r="Q248" i="1"/>
  <c r="P242" i="1" a="1"/>
  <c r="P242" i="1" s="1"/>
  <c r="Q240" i="1"/>
  <c r="P234" i="1" a="1"/>
  <c r="P234" i="1" s="1"/>
  <c r="Q232" i="1"/>
  <c r="Q224" i="1"/>
  <c r="Q220" i="1"/>
  <c r="P218" i="1" a="1"/>
  <c r="P218" i="1" s="1"/>
  <c r="Q216" i="1"/>
  <c r="S216" i="1" s="1"/>
  <c r="P214" i="1" a="1"/>
  <c r="P214" i="1" s="1"/>
  <c r="Q212" i="1"/>
  <c r="P210" i="1" a="1"/>
  <c r="P210" i="1" s="1"/>
  <c r="Q206" i="1"/>
  <c r="S206" i="1" s="1"/>
  <c r="P296" i="1" a="1"/>
  <c r="P296" i="1" s="1"/>
  <c r="P292" i="1" a="1"/>
  <c r="P292" i="1" s="1"/>
  <c r="P288" i="1" a="1"/>
  <c r="P288" i="1" s="1"/>
  <c r="P284" i="1" a="1"/>
  <c r="P284" i="1" s="1"/>
  <c r="P280" i="1" a="1"/>
  <c r="P280" i="1" s="1"/>
  <c r="P276" i="1" a="1"/>
  <c r="P276" i="1" s="1"/>
  <c r="Q272" i="1"/>
  <c r="S272" i="1" s="1"/>
  <c r="S274" i="1"/>
  <c r="P248" i="1" a="1"/>
  <c r="P248" i="1" s="1"/>
  <c r="Q246" i="1"/>
  <c r="P240" i="1" a="1"/>
  <c r="P240" i="1" s="1"/>
  <c r="P232" i="1" a="1"/>
  <c r="P232" i="1" s="1"/>
  <c r="Q230" i="1"/>
  <c r="P224" i="1" a="1"/>
  <c r="P224" i="1" s="1"/>
  <c r="Q294" i="1"/>
  <c r="S294" i="1" s="1"/>
  <c r="P278" i="1" a="1"/>
  <c r="P278" i="1" s="1"/>
  <c r="P272" i="1" a="1"/>
  <c r="P272" i="1" s="1"/>
  <c r="R275" i="1"/>
  <c r="S275" i="1" s="1"/>
  <c r="S283" i="1"/>
  <c r="S278" i="1"/>
  <c r="S298" i="1"/>
  <c r="R299" i="1"/>
  <c r="S299" i="1" s="1"/>
  <c r="Q250" i="1"/>
  <c r="S247" i="1"/>
  <c r="R246" i="1"/>
  <c r="S245" i="1"/>
  <c r="R244" i="1"/>
  <c r="R242" i="1"/>
  <c r="R240" i="1"/>
  <c r="R238" i="1"/>
  <c r="R236" i="1"/>
  <c r="S236" i="1" s="1"/>
  <c r="R234" i="1"/>
  <c r="R232" i="1"/>
  <c r="R230" i="1"/>
  <c r="R228" i="1"/>
  <c r="S228" i="1" s="1"/>
  <c r="R226" i="1"/>
  <c r="S225" i="1"/>
  <c r="R224" i="1"/>
  <c r="S223" i="1"/>
  <c r="R222" i="1"/>
  <c r="S219" i="1"/>
  <c r="S211" i="1"/>
  <c r="R208" i="1"/>
  <c r="S208" i="1" s="1"/>
  <c r="Q249" i="1"/>
  <c r="R249" i="1"/>
  <c r="R250" i="1"/>
  <c r="R271" i="1"/>
  <c r="Q253" i="1"/>
  <c r="R251" i="1"/>
  <c r="Q251" i="1"/>
  <c r="Q266" i="1"/>
  <c r="Q264" i="1"/>
  <c r="Q262" i="1"/>
  <c r="Q257" i="1"/>
  <c r="R254" i="1"/>
  <c r="R252" i="1"/>
  <c r="Q254" i="1"/>
  <c r="R263" i="1"/>
  <c r="Q260" i="1"/>
  <c r="Q263" i="1"/>
  <c r="Q259" i="1"/>
  <c r="P270" i="1" a="1"/>
  <c r="P270" i="1" s="1"/>
  <c r="P269" i="1" a="1"/>
  <c r="P269" i="1" s="1"/>
  <c r="R262" i="1"/>
  <c r="P259" i="1" a="1"/>
  <c r="P259" i="1" s="1"/>
  <c r="Q265" i="1"/>
  <c r="P264" i="1" a="1"/>
  <c r="P264" i="1" s="1"/>
  <c r="P263" i="1" a="1"/>
  <c r="P263" i="1" s="1"/>
  <c r="Q258" i="1"/>
  <c r="S258" i="1" s="1"/>
  <c r="R253" i="1"/>
  <c r="Q271" i="1"/>
  <c r="Q261" i="1"/>
  <c r="R259" i="1"/>
  <c r="Q256" i="1"/>
  <c r="Q267" i="1"/>
  <c r="S267" i="1" s="1"/>
  <c r="Q270" i="1"/>
  <c r="R266" i="1"/>
  <c r="R260" i="1"/>
  <c r="R257" i="1"/>
  <c r="P256" i="1" a="1"/>
  <c r="P256" i="1" s="1"/>
  <c r="R269" i="1"/>
  <c r="Q268" i="1"/>
  <c r="S268" i="1" s="1"/>
  <c r="P267" i="1" a="1"/>
  <c r="P267" i="1" s="1"/>
  <c r="P262" i="1" a="1"/>
  <c r="P262" i="1" s="1"/>
  <c r="P261" i="1" a="1"/>
  <c r="P261" i="1" s="1"/>
  <c r="R256" i="1"/>
  <c r="R270" i="1"/>
  <c r="Q269" i="1"/>
  <c r="R265" i="1"/>
  <c r="Q255" i="1"/>
  <c r="R255" i="1"/>
  <c r="S279" i="1" l="1"/>
  <c r="S220" i="1"/>
  <c r="S288" i="1"/>
  <c r="S293" i="1"/>
  <c r="S291" i="1"/>
  <c r="S264" i="1"/>
  <c r="S222" i="1"/>
  <c r="S226" i="1"/>
  <c r="S252" i="1"/>
  <c r="S287" i="1"/>
  <c r="S224" i="1"/>
  <c r="S244" i="1"/>
  <c r="S248" i="1"/>
  <c r="S281" i="1"/>
  <c r="S241" i="1"/>
  <c r="S242" i="1"/>
  <c r="S292" i="1"/>
  <c r="S229" i="1"/>
  <c r="S284" i="1"/>
  <c r="S240" i="1"/>
  <c r="S246" i="1"/>
  <c r="S297" i="1"/>
  <c r="S276" i="1"/>
  <c r="S212" i="1"/>
  <c r="S280" i="1"/>
  <c r="S273" i="1"/>
  <c r="S230" i="1"/>
  <c r="S232" i="1"/>
  <c r="S238" i="1"/>
  <c r="S234" i="1"/>
  <c r="S250" i="1"/>
  <c r="S259" i="1"/>
  <c r="S251" i="1"/>
  <c r="S271" i="1"/>
  <c r="S266" i="1"/>
  <c r="S249" i="1"/>
  <c r="S254" i="1"/>
  <c r="S253" i="1"/>
  <c r="S261" i="1"/>
  <c r="S260" i="1"/>
  <c r="S257" i="1"/>
  <c r="S262" i="1"/>
  <c r="S263" i="1"/>
  <c r="S265" i="1"/>
  <c r="S256" i="1"/>
  <c r="S269" i="1"/>
  <c r="S270" i="1"/>
  <c r="S255" i="1"/>
  <c r="B9" i="3"/>
  <c r="M5" i="3" l="1" a="1"/>
  <c r="M5" i="3" s="1"/>
  <c r="J4" i="3" a="1"/>
  <c r="J4" i="3" s="1"/>
  <c r="M8" i="3" s="1"/>
  <c r="E35" i="1" l="1"/>
  <c r="J35" i="1"/>
  <c r="M35" i="1" s="1"/>
  <c r="T35" i="1"/>
  <c r="U35" i="1"/>
  <c r="E36" i="1"/>
  <c r="L36" i="1" s="1"/>
  <c r="J36" i="1"/>
  <c r="M36" i="1" s="1"/>
  <c r="T36" i="1"/>
  <c r="U36" i="1"/>
  <c r="E37" i="1"/>
  <c r="J37" i="1"/>
  <c r="M37" i="1" s="1"/>
  <c r="T37" i="1"/>
  <c r="U37" i="1"/>
  <c r="E38" i="1"/>
  <c r="L38" i="1" s="1"/>
  <c r="J38" i="1"/>
  <c r="M38" i="1" s="1"/>
  <c r="T38" i="1"/>
  <c r="U38" i="1"/>
  <c r="E39" i="1"/>
  <c r="J39" i="1"/>
  <c r="M39" i="1" s="1"/>
  <c r="T39" i="1"/>
  <c r="U39" i="1"/>
  <c r="E40" i="1"/>
  <c r="J40" i="1"/>
  <c r="M40" i="1" s="1"/>
  <c r="T40" i="1"/>
  <c r="U40" i="1"/>
  <c r="E41" i="1"/>
  <c r="L41" i="1" s="1"/>
  <c r="J41" i="1"/>
  <c r="M41" i="1" s="1"/>
  <c r="T41" i="1"/>
  <c r="U41" i="1"/>
  <c r="E42" i="1"/>
  <c r="J42" i="1"/>
  <c r="M42" i="1" s="1"/>
  <c r="T42" i="1"/>
  <c r="U42" i="1"/>
  <c r="E43" i="1"/>
  <c r="J43" i="1"/>
  <c r="M43" i="1" s="1"/>
  <c r="T43" i="1"/>
  <c r="U43" i="1"/>
  <c r="E12" i="1"/>
  <c r="J12" i="1"/>
  <c r="M12" i="1" s="1"/>
  <c r="T12" i="1"/>
  <c r="U12" i="1"/>
  <c r="E13" i="1"/>
  <c r="J13" i="1"/>
  <c r="M13" i="1" s="1"/>
  <c r="T13" i="1"/>
  <c r="U13" i="1"/>
  <c r="E14" i="1"/>
  <c r="L14" i="1" s="1"/>
  <c r="J14" i="1"/>
  <c r="M14" i="1" s="1"/>
  <c r="T14" i="1"/>
  <c r="U14" i="1"/>
  <c r="E15" i="1"/>
  <c r="J15" i="1"/>
  <c r="M15" i="1" s="1"/>
  <c r="T15" i="1"/>
  <c r="U15" i="1"/>
  <c r="E16" i="1"/>
  <c r="L16" i="1" s="1"/>
  <c r="J16" i="1"/>
  <c r="M16" i="1" s="1"/>
  <c r="T16" i="1"/>
  <c r="U16" i="1"/>
  <c r="E17" i="1"/>
  <c r="L17" i="1" s="1"/>
  <c r="J17" i="1"/>
  <c r="M17" i="1" s="1"/>
  <c r="T17" i="1"/>
  <c r="U17" i="1"/>
  <c r="E18" i="1"/>
  <c r="J18" i="1"/>
  <c r="M18" i="1" s="1"/>
  <c r="T18" i="1"/>
  <c r="U18" i="1"/>
  <c r="E19" i="1"/>
  <c r="J19" i="1"/>
  <c r="M19" i="1" s="1"/>
  <c r="T19" i="1"/>
  <c r="U19" i="1"/>
  <c r="E20" i="1"/>
  <c r="L20" i="1" s="1"/>
  <c r="J20" i="1"/>
  <c r="M20" i="1" s="1"/>
  <c r="T20" i="1"/>
  <c r="U20" i="1"/>
  <c r="E21" i="1"/>
  <c r="J21" i="1"/>
  <c r="M21" i="1" s="1"/>
  <c r="T21" i="1"/>
  <c r="U21" i="1"/>
  <c r="E22" i="1"/>
  <c r="L22" i="1" s="1"/>
  <c r="J22" i="1"/>
  <c r="M22" i="1" s="1"/>
  <c r="T22" i="1"/>
  <c r="U22" i="1"/>
  <c r="E23" i="1"/>
  <c r="J23" i="1"/>
  <c r="M23" i="1" s="1"/>
  <c r="T23" i="1"/>
  <c r="U23" i="1"/>
  <c r="E24" i="1"/>
  <c r="J24" i="1"/>
  <c r="M24" i="1" s="1"/>
  <c r="T24" i="1"/>
  <c r="U24" i="1"/>
  <c r="Q24" i="1" l="1"/>
  <c r="L24" i="1"/>
  <c r="Q23" i="1"/>
  <c r="L23" i="1"/>
  <c r="Q21" i="1"/>
  <c r="L21" i="1"/>
  <c r="Q19" i="1"/>
  <c r="L19" i="1"/>
  <c r="Q18" i="1"/>
  <c r="L18" i="1"/>
  <c r="Q15" i="1"/>
  <c r="L15" i="1"/>
  <c r="Q13" i="1"/>
  <c r="L13" i="1"/>
  <c r="Q12" i="1"/>
  <c r="L12" i="1"/>
  <c r="Q43" i="1"/>
  <c r="L43" i="1"/>
  <c r="Q42" i="1"/>
  <c r="L42" i="1"/>
  <c r="Q40" i="1"/>
  <c r="L40" i="1"/>
  <c r="Q39" i="1"/>
  <c r="L39" i="1"/>
  <c r="Q37" i="1"/>
  <c r="L37" i="1"/>
  <c r="Q35" i="1"/>
  <c r="L35" i="1"/>
  <c r="R41" i="1"/>
  <c r="R17" i="1"/>
  <c r="R24" i="1"/>
  <c r="R16" i="1"/>
  <c r="R20" i="1"/>
  <c r="R12" i="1"/>
  <c r="R36" i="1"/>
  <c r="R40" i="1"/>
  <c r="S40" i="1" s="1"/>
  <c r="R39" i="1"/>
  <c r="R23" i="1"/>
  <c r="R15" i="1"/>
  <c r="S15" i="1" s="1"/>
  <c r="P20" i="1" a="1"/>
  <c r="P20" i="1" s="1"/>
  <c r="P21" i="1" a="1"/>
  <c r="P21" i="1" s="1"/>
  <c r="P17" i="1" a="1"/>
  <c r="P17" i="1" s="1"/>
  <c r="P13" i="1" a="1"/>
  <c r="P13" i="1" s="1"/>
  <c r="P41" i="1" a="1"/>
  <c r="P41" i="1" s="1"/>
  <c r="P37" i="1" a="1"/>
  <c r="P37" i="1" s="1"/>
  <c r="R38" i="1"/>
  <c r="R22" i="1"/>
  <c r="R14" i="1"/>
  <c r="P16" i="1" a="1"/>
  <c r="P16" i="1" s="1"/>
  <c r="P36" i="1" a="1"/>
  <c r="P36" i="1" s="1"/>
  <c r="Q41" i="1"/>
  <c r="S41" i="1" s="1"/>
  <c r="Q17" i="1"/>
  <c r="S17" i="1" s="1"/>
  <c r="R37" i="1"/>
  <c r="S37" i="1" s="1"/>
  <c r="R21" i="1"/>
  <c r="S21" i="1" s="1"/>
  <c r="R13" i="1"/>
  <c r="S13" i="1" s="1"/>
  <c r="P42" i="1" a="1"/>
  <c r="P42" i="1" s="1"/>
  <c r="Q16" i="1"/>
  <c r="P40" i="1" a="1"/>
  <c r="P40" i="1" s="1"/>
  <c r="Q20" i="1"/>
  <c r="P18" i="1" a="1"/>
  <c r="P18" i="1" s="1"/>
  <c r="P14" i="1" a="1"/>
  <c r="P14" i="1" s="1"/>
  <c r="R43" i="1"/>
  <c r="S43" i="1" s="1"/>
  <c r="R35" i="1"/>
  <c r="S35" i="1" s="1"/>
  <c r="R19" i="1"/>
  <c r="P24" i="1" a="1"/>
  <c r="P24" i="1" s="1"/>
  <c r="P12" i="1" a="1"/>
  <c r="P12" i="1" s="1"/>
  <c r="Q36" i="1"/>
  <c r="S36" i="1" s="1"/>
  <c r="P22" i="1" a="1"/>
  <c r="P22" i="1" s="1"/>
  <c r="P38" i="1" a="1"/>
  <c r="P38" i="1" s="1"/>
  <c r="P23" i="1" a="1"/>
  <c r="P23" i="1" s="1"/>
  <c r="P19" i="1" a="1"/>
  <c r="P19" i="1" s="1"/>
  <c r="P15" i="1" a="1"/>
  <c r="P15" i="1" s="1"/>
  <c r="P43" i="1" a="1"/>
  <c r="P43" i="1" s="1"/>
  <c r="P39" i="1" a="1"/>
  <c r="P39" i="1" s="1"/>
  <c r="P35" i="1" a="1"/>
  <c r="P35" i="1" s="1"/>
  <c r="Q38" i="1"/>
  <c r="Q22" i="1"/>
  <c r="Q14" i="1"/>
  <c r="R42" i="1"/>
  <c r="S42" i="1" s="1"/>
  <c r="R18" i="1"/>
  <c r="S18" i="1" s="1"/>
  <c r="L4" i="3" a="1"/>
  <c r="L4" i="3" s="1"/>
  <c r="S23" i="1" l="1"/>
  <c r="S19" i="1"/>
  <c r="S39" i="1"/>
  <c r="S24" i="1"/>
  <c r="S14" i="1"/>
  <c r="S38" i="1"/>
  <c r="S12" i="1"/>
  <c r="S22" i="1"/>
  <c r="S16" i="1"/>
  <c r="S20" i="1"/>
  <c r="U2" i="1"/>
  <c r="U3" i="1"/>
  <c r="U4" i="1"/>
  <c r="U5" i="1"/>
  <c r="U6" i="1"/>
  <c r="U7" i="1"/>
  <c r="U8" i="1"/>
  <c r="U9" i="1"/>
  <c r="U10" i="1"/>
  <c r="U11" i="1"/>
  <c r="U25" i="1"/>
  <c r="U26" i="1"/>
  <c r="U27" i="1"/>
  <c r="U28" i="1"/>
  <c r="U29" i="1"/>
  <c r="U30" i="1"/>
  <c r="U31" i="1"/>
  <c r="U32" i="1"/>
  <c r="U33" i="1"/>
  <c r="U34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T2" i="1"/>
  <c r="T3" i="1"/>
  <c r="T4" i="1"/>
  <c r="T5" i="1"/>
  <c r="T6" i="1"/>
  <c r="T7" i="1"/>
  <c r="T8" i="1"/>
  <c r="T9" i="1"/>
  <c r="T10" i="1"/>
  <c r="T11" i="1"/>
  <c r="T25" i="1"/>
  <c r="T26" i="1"/>
  <c r="T27" i="1"/>
  <c r="T28" i="1"/>
  <c r="T29" i="1"/>
  <c r="T30" i="1"/>
  <c r="T31" i="1"/>
  <c r="T32" i="1"/>
  <c r="T33" i="1"/>
  <c r="T34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E205" i="1"/>
  <c r="L205" i="1" s="1"/>
  <c r="J205" i="1"/>
  <c r="M205" i="1" s="1"/>
  <c r="E204" i="1"/>
  <c r="L204" i="1" s="1"/>
  <c r="J204" i="1"/>
  <c r="M204" i="1" s="1"/>
  <c r="E203" i="1"/>
  <c r="L203" i="1" s="1"/>
  <c r="J203" i="1"/>
  <c r="M203" i="1" s="1"/>
  <c r="E202" i="1"/>
  <c r="L202" i="1" s="1"/>
  <c r="J202" i="1"/>
  <c r="M202" i="1" s="1"/>
  <c r="E201" i="1"/>
  <c r="L201" i="1" s="1"/>
  <c r="J201" i="1"/>
  <c r="M201" i="1" s="1"/>
  <c r="E200" i="1"/>
  <c r="L200" i="1" s="1"/>
  <c r="J200" i="1"/>
  <c r="M200" i="1" s="1"/>
  <c r="E199" i="1"/>
  <c r="L199" i="1" s="1"/>
  <c r="J199" i="1"/>
  <c r="M199" i="1" s="1"/>
  <c r="E198" i="1"/>
  <c r="L198" i="1" s="1"/>
  <c r="J198" i="1"/>
  <c r="M198" i="1" s="1"/>
  <c r="E197" i="1"/>
  <c r="L197" i="1" s="1"/>
  <c r="J197" i="1"/>
  <c r="M197" i="1" s="1"/>
  <c r="E196" i="1"/>
  <c r="L196" i="1" s="1"/>
  <c r="J196" i="1"/>
  <c r="M196" i="1" s="1"/>
  <c r="E195" i="1"/>
  <c r="L195" i="1" s="1"/>
  <c r="J195" i="1"/>
  <c r="M195" i="1" s="1"/>
  <c r="E194" i="1"/>
  <c r="L194" i="1" s="1"/>
  <c r="J194" i="1"/>
  <c r="M194" i="1" s="1"/>
  <c r="E193" i="1"/>
  <c r="L193" i="1" s="1"/>
  <c r="J193" i="1"/>
  <c r="M193" i="1" s="1"/>
  <c r="E192" i="1"/>
  <c r="L192" i="1" s="1"/>
  <c r="J192" i="1"/>
  <c r="M192" i="1" s="1"/>
  <c r="E191" i="1"/>
  <c r="L191" i="1" s="1"/>
  <c r="J191" i="1"/>
  <c r="M191" i="1" s="1"/>
  <c r="E190" i="1"/>
  <c r="L190" i="1" s="1"/>
  <c r="J190" i="1"/>
  <c r="M190" i="1" s="1"/>
  <c r="E189" i="1"/>
  <c r="L189" i="1" s="1"/>
  <c r="J189" i="1"/>
  <c r="M189" i="1" s="1"/>
  <c r="E188" i="1"/>
  <c r="L188" i="1" s="1"/>
  <c r="J188" i="1"/>
  <c r="M188" i="1" s="1"/>
  <c r="E187" i="1"/>
  <c r="L187" i="1" s="1"/>
  <c r="J187" i="1"/>
  <c r="M187" i="1" s="1"/>
  <c r="E186" i="1"/>
  <c r="L186" i="1" s="1"/>
  <c r="J186" i="1"/>
  <c r="M186" i="1" s="1"/>
  <c r="E185" i="1"/>
  <c r="L185" i="1" s="1"/>
  <c r="J185" i="1"/>
  <c r="M185" i="1" s="1"/>
  <c r="E184" i="1"/>
  <c r="L184" i="1" s="1"/>
  <c r="J184" i="1"/>
  <c r="M184" i="1" s="1"/>
  <c r="E183" i="1"/>
  <c r="L183" i="1" s="1"/>
  <c r="J183" i="1"/>
  <c r="M183" i="1" s="1"/>
  <c r="E182" i="1"/>
  <c r="L182" i="1" s="1"/>
  <c r="J182" i="1"/>
  <c r="M182" i="1" s="1"/>
  <c r="E181" i="1"/>
  <c r="L181" i="1" s="1"/>
  <c r="J181" i="1"/>
  <c r="M181" i="1" s="1"/>
  <c r="E180" i="1"/>
  <c r="L180" i="1" s="1"/>
  <c r="J180" i="1"/>
  <c r="M180" i="1" s="1"/>
  <c r="E179" i="1"/>
  <c r="L179" i="1" s="1"/>
  <c r="J179" i="1"/>
  <c r="M179" i="1" s="1"/>
  <c r="E178" i="1"/>
  <c r="L178" i="1" s="1"/>
  <c r="J178" i="1"/>
  <c r="M178" i="1" s="1"/>
  <c r="E177" i="1"/>
  <c r="L177" i="1" s="1"/>
  <c r="J177" i="1"/>
  <c r="M177" i="1" s="1"/>
  <c r="E176" i="1"/>
  <c r="L176" i="1" s="1"/>
  <c r="J176" i="1"/>
  <c r="M176" i="1" s="1"/>
  <c r="E175" i="1"/>
  <c r="L175" i="1" s="1"/>
  <c r="J175" i="1"/>
  <c r="M175" i="1" s="1"/>
  <c r="E174" i="1"/>
  <c r="L174" i="1" s="1"/>
  <c r="J174" i="1"/>
  <c r="M174" i="1" s="1"/>
  <c r="E173" i="1"/>
  <c r="L173" i="1" s="1"/>
  <c r="J173" i="1"/>
  <c r="M173" i="1" s="1"/>
  <c r="E172" i="1"/>
  <c r="L172" i="1" s="1"/>
  <c r="J172" i="1"/>
  <c r="M172" i="1" s="1"/>
  <c r="E171" i="1"/>
  <c r="L171" i="1" s="1"/>
  <c r="J171" i="1"/>
  <c r="M171" i="1" s="1"/>
  <c r="E170" i="1"/>
  <c r="L170" i="1" s="1"/>
  <c r="J170" i="1"/>
  <c r="M170" i="1" s="1"/>
  <c r="E169" i="1"/>
  <c r="L169" i="1" s="1"/>
  <c r="J169" i="1"/>
  <c r="M169" i="1" s="1"/>
  <c r="E168" i="1"/>
  <c r="L168" i="1" s="1"/>
  <c r="J168" i="1"/>
  <c r="M168" i="1" s="1"/>
  <c r="E167" i="1"/>
  <c r="L167" i="1" s="1"/>
  <c r="J167" i="1"/>
  <c r="M167" i="1" s="1"/>
  <c r="E166" i="1"/>
  <c r="L166" i="1" s="1"/>
  <c r="J166" i="1"/>
  <c r="M166" i="1" s="1"/>
  <c r="E165" i="1"/>
  <c r="L165" i="1" s="1"/>
  <c r="J165" i="1"/>
  <c r="M165" i="1" s="1"/>
  <c r="E164" i="1"/>
  <c r="L164" i="1" s="1"/>
  <c r="J164" i="1"/>
  <c r="M164" i="1" s="1"/>
  <c r="E163" i="1"/>
  <c r="L163" i="1" s="1"/>
  <c r="J163" i="1"/>
  <c r="M163" i="1" s="1"/>
  <c r="E162" i="1"/>
  <c r="L162" i="1" s="1"/>
  <c r="J162" i="1"/>
  <c r="M162" i="1" s="1"/>
  <c r="E161" i="1"/>
  <c r="L161" i="1" s="1"/>
  <c r="J161" i="1"/>
  <c r="M161" i="1" s="1"/>
  <c r="E160" i="1"/>
  <c r="L160" i="1" s="1"/>
  <c r="J160" i="1"/>
  <c r="M160" i="1" s="1"/>
  <c r="E159" i="1"/>
  <c r="L159" i="1" s="1"/>
  <c r="J159" i="1"/>
  <c r="M159" i="1" s="1"/>
  <c r="E158" i="1"/>
  <c r="L158" i="1" s="1"/>
  <c r="J158" i="1"/>
  <c r="M158" i="1" s="1"/>
  <c r="E157" i="1"/>
  <c r="L157" i="1" s="1"/>
  <c r="J157" i="1"/>
  <c r="M157" i="1" s="1"/>
  <c r="E156" i="1"/>
  <c r="L156" i="1" s="1"/>
  <c r="J156" i="1"/>
  <c r="M156" i="1" s="1"/>
  <c r="E155" i="1"/>
  <c r="L155" i="1" s="1"/>
  <c r="J155" i="1"/>
  <c r="M155" i="1" s="1"/>
  <c r="E154" i="1"/>
  <c r="L154" i="1" s="1"/>
  <c r="J154" i="1"/>
  <c r="M154" i="1" s="1"/>
  <c r="E153" i="1"/>
  <c r="L153" i="1" s="1"/>
  <c r="J153" i="1"/>
  <c r="M153" i="1" s="1"/>
  <c r="E152" i="1"/>
  <c r="L152" i="1" s="1"/>
  <c r="J152" i="1"/>
  <c r="M152" i="1" s="1"/>
  <c r="E151" i="1"/>
  <c r="L151" i="1" s="1"/>
  <c r="J151" i="1"/>
  <c r="M151" i="1" s="1"/>
  <c r="E150" i="1"/>
  <c r="L150" i="1" s="1"/>
  <c r="J150" i="1"/>
  <c r="M150" i="1" s="1"/>
  <c r="E149" i="1"/>
  <c r="L149" i="1" s="1"/>
  <c r="J149" i="1"/>
  <c r="M149" i="1" s="1"/>
  <c r="E148" i="1"/>
  <c r="L148" i="1" s="1"/>
  <c r="J148" i="1"/>
  <c r="M148" i="1" s="1"/>
  <c r="E147" i="1"/>
  <c r="L147" i="1" s="1"/>
  <c r="J147" i="1"/>
  <c r="M147" i="1" s="1"/>
  <c r="E146" i="1"/>
  <c r="L146" i="1" s="1"/>
  <c r="J146" i="1"/>
  <c r="M146" i="1" s="1"/>
  <c r="E145" i="1"/>
  <c r="L145" i="1" s="1"/>
  <c r="J145" i="1"/>
  <c r="M145" i="1" s="1"/>
  <c r="E144" i="1"/>
  <c r="L144" i="1" s="1"/>
  <c r="J144" i="1"/>
  <c r="M144" i="1" s="1"/>
  <c r="E143" i="1"/>
  <c r="L143" i="1" s="1"/>
  <c r="J143" i="1"/>
  <c r="M143" i="1" s="1"/>
  <c r="E142" i="1"/>
  <c r="L142" i="1" s="1"/>
  <c r="J142" i="1"/>
  <c r="M142" i="1" s="1"/>
  <c r="E141" i="1"/>
  <c r="L141" i="1" s="1"/>
  <c r="J141" i="1"/>
  <c r="M141" i="1" s="1"/>
  <c r="E140" i="1"/>
  <c r="L140" i="1" s="1"/>
  <c r="J140" i="1"/>
  <c r="M140" i="1" s="1"/>
  <c r="E139" i="1"/>
  <c r="L139" i="1" s="1"/>
  <c r="J139" i="1"/>
  <c r="M139" i="1" s="1"/>
  <c r="E138" i="1"/>
  <c r="L138" i="1" s="1"/>
  <c r="J138" i="1"/>
  <c r="M138" i="1" s="1"/>
  <c r="E137" i="1"/>
  <c r="L137" i="1" s="1"/>
  <c r="J137" i="1"/>
  <c r="M137" i="1" s="1"/>
  <c r="E136" i="1"/>
  <c r="L136" i="1" s="1"/>
  <c r="J136" i="1"/>
  <c r="M136" i="1" s="1"/>
  <c r="E135" i="1"/>
  <c r="L135" i="1" s="1"/>
  <c r="J135" i="1"/>
  <c r="M135" i="1" s="1"/>
  <c r="E134" i="1"/>
  <c r="L134" i="1" s="1"/>
  <c r="J134" i="1"/>
  <c r="M134" i="1" s="1"/>
  <c r="E133" i="1"/>
  <c r="L133" i="1" s="1"/>
  <c r="J133" i="1"/>
  <c r="M133" i="1" s="1"/>
  <c r="E132" i="1"/>
  <c r="L132" i="1" s="1"/>
  <c r="J132" i="1"/>
  <c r="M132" i="1" s="1"/>
  <c r="E131" i="1"/>
  <c r="L131" i="1" s="1"/>
  <c r="J131" i="1"/>
  <c r="M131" i="1" s="1"/>
  <c r="E130" i="1"/>
  <c r="L130" i="1" s="1"/>
  <c r="J130" i="1"/>
  <c r="M130" i="1" s="1"/>
  <c r="E129" i="1"/>
  <c r="L129" i="1" s="1"/>
  <c r="J129" i="1"/>
  <c r="M129" i="1" s="1"/>
  <c r="E128" i="1"/>
  <c r="L128" i="1" s="1"/>
  <c r="J128" i="1"/>
  <c r="M128" i="1" s="1"/>
  <c r="E127" i="1"/>
  <c r="L127" i="1" s="1"/>
  <c r="J127" i="1"/>
  <c r="M127" i="1" s="1"/>
  <c r="E126" i="1"/>
  <c r="L126" i="1" s="1"/>
  <c r="J126" i="1"/>
  <c r="M126" i="1" s="1"/>
  <c r="E125" i="1"/>
  <c r="L125" i="1" s="1"/>
  <c r="J125" i="1"/>
  <c r="M125" i="1" s="1"/>
  <c r="E124" i="1"/>
  <c r="L124" i="1" s="1"/>
  <c r="J124" i="1"/>
  <c r="M124" i="1" s="1"/>
  <c r="E123" i="1"/>
  <c r="L123" i="1" s="1"/>
  <c r="J123" i="1"/>
  <c r="M123" i="1" s="1"/>
  <c r="E122" i="1"/>
  <c r="L122" i="1" s="1"/>
  <c r="J122" i="1"/>
  <c r="M122" i="1" s="1"/>
  <c r="E121" i="1"/>
  <c r="L121" i="1" s="1"/>
  <c r="J121" i="1"/>
  <c r="M121" i="1" s="1"/>
  <c r="E120" i="1"/>
  <c r="L120" i="1" s="1"/>
  <c r="J120" i="1"/>
  <c r="M120" i="1" s="1"/>
  <c r="E119" i="1"/>
  <c r="L119" i="1" s="1"/>
  <c r="J119" i="1"/>
  <c r="M119" i="1" s="1"/>
  <c r="E118" i="1"/>
  <c r="L118" i="1" s="1"/>
  <c r="J118" i="1"/>
  <c r="M118" i="1" s="1"/>
  <c r="E117" i="1"/>
  <c r="L117" i="1" s="1"/>
  <c r="J117" i="1"/>
  <c r="M117" i="1" s="1"/>
  <c r="E116" i="1"/>
  <c r="L116" i="1" s="1"/>
  <c r="J116" i="1"/>
  <c r="M116" i="1" s="1"/>
  <c r="E115" i="1"/>
  <c r="L115" i="1" s="1"/>
  <c r="J115" i="1"/>
  <c r="M115" i="1" s="1"/>
  <c r="E114" i="1"/>
  <c r="L114" i="1" s="1"/>
  <c r="J114" i="1"/>
  <c r="M114" i="1" s="1"/>
  <c r="E113" i="1"/>
  <c r="L113" i="1" s="1"/>
  <c r="J113" i="1"/>
  <c r="M113" i="1" s="1"/>
  <c r="E112" i="1"/>
  <c r="L112" i="1" s="1"/>
  <c r="J112" i="1"/>
  <c r="M112" i="1" s="1"/>
  <c r="E111" i="1"/>
  <c r="L111" i="1" s="1"/>
  <c r="J111" i="1"/>
  <c r="M111" i="1" s="1"/>
  <c r="E110" i="1"/>
  <c r="L110" i="1" s="1"/>
  <c r="J110" i="1"/>
  <c r="M110" i="1" s="1"/>
  <c r="E109" i="1"/>
  <c r="L109" i="1" s="1"/>
  <c r="J109" i="1"/>
  <c r="M109" i="1" s="1"/>
  <c r="E108" i="1"/>
  <c r="L108" i="1" s="1"/>
  <c r="J108" i="1"/>
  <c r="M108" i="1" s="1"/>
  <c r="E107" i="1"/>
  <c r="L107" i="1" s="1"/>
  <c r="J107" i="1"/>
  <c r="M107" i="1" s="1"/>
  <c r="E106" i="1"/>
  <c r="L106" i="1" s="1"/>
  <c r="J106" i="1"/>
  <c r="M106" i="1" s="1"/>
  <c r="E105" i="1"/>
  <c r="L105" i="1" s="1"/>
  <c r="J105" i="1"/>
  <c r="M105" i="1" s="1"/>
  <c r="E104" i="1"/>
  <c r="L104" i="1" s="1"/>
  <c r="J104" i="1"/>
  <c r="M104" i="1" s="1"/>
  <c r="E103" i="1"/>
  <c r="L103" i="1" s="1"/>
  <c r="J103" i="1"/>
  <c r="M103" i="1" s="1"/>
  <c r="E102" i="1"/>
  <c r="L102" i="1" s="1"/>
  <c r="J102" i="1"/>
  <c r="M102" i="1" s="1"/>
  <c r="E101" i="1"/>
  <c r="L101" i="1" s="1"/>
  <c r="J101" i="1"/>
  <c r="M101" i="1" s="1"/>
  <c r="E100" i="1"/>
  <c r="L100" i="1" s="1"/>
  <c r="J100" i="1"/>
  <c r="M100" i="1" s="1"/>
  <c r="E99" i="1"/>
  <c r="L99" i="1" s="1"/>
  <c r="J99" i="1"/>
  <c r="M99" i="1" s="1"/>
  <c r="E98" i="1"/>
  <c r="L98" i="1" s="1"/>
  <c r="J98" i="1"/>
  <c r="M98" i="1" s="1"/>
  <c r="E97" i="1"/>
  <c r="L97" i="1" s="1"/>
  <c r="J97" i="1"/>
  <c r="M97" i="1" s="1"/>
  <c r="E96" i="1"/>
  <c r="L96" i="1" s="1"/>
  <c r="J96" i="1"/>
  <c r="M96" i="1" s="1"/>
  <c r="E95" i="1"/>
  <c r="L95" i="1" s="1"/>
  <c r="J95" i="1"/>
  <c r="M95" i="1" s="1"/>
  <c r="E94" i="1"/>
  <c r="L94" i="1" s="1"/>
  <c r="J94" i="1"/>
  <c r="M94" i="1" s="1"/>
  <c r="E93" i="1"/>
  <c r="L93" i="1" s="1"/>
  <c r="J93" i="1"/>
  <c r="M93" i="1" s="1"/>
  <c r="E92" i="1"/>
  <c r="L92" i="1" s="1"/>
  <c r="J92" i="1"/>
  <c r="M92" i="1" s="1"/>
  <c r="E91" i="1"/>
  <c r="L91" i="1" s="1"/>
  <c r="J91" i="1"/>
  <c r="M91" i="1" s="1"/>
  <c r="E90" i="1"/>
  <c r="L90" i="1" s="1"/>
  <c r="J90" i="1"/>
  <c r="M90" i="1" s="1"/>
  <c r="E89" i="1"/>
  <c r="L89" i="1" s="1"/>
  <c r="J89" i="1"/>
  <c r="M89" i="1" s="1"/>
  <c r="E88" i="1"/>
  <c r="L88" i="1" s="1"/>
  <c r="J88" i="1"/>
  <c r="M88" i="1" s="1"/>
  <c r="E87" i="1"/>
  <c r="L87" i="1" s="1"/>
  <c r="J87" i="1"/>
  <c r="M87" i="1" s="1"/>
  <c r="E86" i="1"/>
  <c r="L86" i="1" s="1"/>
  <c r="J86" i="1"/>
  <c r="M86" i="1" s="1"/>
  <c r="E85" i="1"/>
  <c r="L85" i="1" s="1"/>
  <c r="J85" i="1"/>
  <c r="M85" i="1" s="1"/>
  <c r="E84" i="1"/>
  <c r="L84" i="1" s="1"/>
  <c r="J84" i="1"/>
  <c r="M84" i="1" s="1"/>
  <c r="E83" i="1"/>
  <c r="L83" i="1" s="1"/>
  <c r="J83" i="1"/>
  <c r="M83" i="1" s="1"/>
  <c r="E82" i="1"/>
  <c r="L82" i="1" s="1"/>
  <c r="J82" i="1"/>
  <c r="M82" i="1" s="1"/>
  <c r="E81" i="1"/>
  <c r="L81" i="1" s="1"/>
  <c r="J81" i="1"/>
  <c r="M81" i="1" s="1"/>
  <c r="E80" i="1"/>
  <c r="L80" i="1" s="1"/>
  <c r="J80" i="1"/>
  <c r="M80" i="1" s="1"/>
  <c r="E79" i="1"/>
  <c r="L79" i="1" s="1"/>
  <c r="J79" i="1"/>
  <c r="M79" i="1" s="1"/>
  <c r="E78" i="1"/>
  <c r="L78" i="1" s="1"/>
  <c r="J78" i="1"/>
  <c r="M78" i="1" s="1"/>
  <c r="E77" i="1"/>
  <c r="L77" i="1" s="1"/>
  <c r="J77" i="1"/>
  <c r="M77" i="1" s="1"/>
  <c r="E76" i="1"/>
  <c r="L76" i="1" s="1"/>
  <c r="J76" i="1"/>
  <c r="M76" i="1" s="1"/>
  <c r="E75" i="1"/>
  <c r="L75" i="1" s="1"/>
  <c r="J75" i="1"/>
  <c r="M75" i="1" s="1"/>
  <c r="E74" i="1"/>
  <c r="L74" i="1" s="1"/>
  <c r="J74" i="1"/>
  <c r="M74" i="1" s="1"/>
  <c r="E73" i="1"/>
  <c r="L73" i="1" s="1"/>
  <c r="J73" i="1"/>
  <c r="M73" i="1" s="1"/>
  <c r="E72" i="1"/>
  <c r="L72" i="1" s="1"/>
  <c r="J72" i="1"/>
  <c r="M72" i="1" s="1"/>
  <c r="E71" i="1"/>
  <c r="L71" i="1" s="1"/>
  <c r="J71" i="1"/>
  <c r="M71" i="1" s="1"/>
  <c r="E70" i="1"/>
  <c r="L70" i="1" s="1"/>
  <c r="J70" i="1"/>
  <c r="M70" i="1" s="1"/>
  <c r="E69" i="1"/>
  <c r="L69" i="1" s="1"/>
  <c r="J69" i="1"/>
  <c r="M69" i="1" s="1"/>
  <c r="E68" i="1"/>
  <c r="L68" i="1" s="1"/>
  <c r="J68" i="1"/>
  <c r="M68" i="1" s="1"/>
  <c r="E67" i="1"/>
  <c r="L67" i="1" s="1"/>
  <c r="J67" i="1"/>
  <c r="M67" i="1" s="1"/>
  <c r="E66" i="1"/>
  <c r="L66" i="1" s="1"/>
  <c r="J66" i="1"/>
  <c r="M66" i="1" s="1"/>
  <c r="E65" i="1"/>
  <c r="L65" i="1" s="1"/>
  <c r="J65" i="1"/>
  <c r="M65" i="1" s="1"/>
  <c r="E64" i="1"/>
  <c r="L64" i="1" s="1"/>
  <c r="J64" i="1"/>
  <c r="M64" i="1" s="1"/>
  <c r="E63" i="1"/>
  <c r="L63" i="1" s="1"/>
  <c r="J63" i="1"/>
  <c r="M63" i="1" s="1"/>
  <c r="E62" i="1"/>
  <c r="L62" i="1" s="1"/>
  <c r="J62" i="1"/>
  <c r="M62" i="1" s="1"/>
  <c r="E61" i="1"/>
  <c r="L61" i="1" s="1"/>
  <c r="J61" i="1"/>
  <c r="M61" i="1" s="1"/>
  <c r="E60" i="1"/>
  <c r="L60" i="1" s="1"/>
  <c r="J60" i="1"/>
  <c r="M60" i="1" s="1"/>
  <c r="E59" i="1"/>
  <c r="L59" i="1" s="1"/>
  <c r="J59" i="1"/>
  <c r="M59" i="1" s="1"/>
  <c r="E58" i="1"/>
  <c r="L58" i="1" s="1"/>
  <c r="J58" i="1"/>
  <c r="M58" i="1" s="1"/>
  <c r="E57" i="1"/>
  <c r="L57" i="1" s="1"/>
  <c r="J57" i="1"/>
  <c r="M57" i="1" s="1"/>
  <c r="E56" i="1"/>
  <c r="L56" i="1" s="1"/>
  <c r="J56" i="1"/>
  <c r="M56" i="1" s="1"/>
  <c r="E55" i="1"/>
  <c r="L55" i="1" s="1"/>
  <c r="J55" i="1"/>
  <c r="M55" i="1" s="1"/>
  <c r="E54" i="1"/>
  <c r="L54" i="1" s="1"/>
  <c r="J54" i="1"/>
  <c r="M54" i="1" s="1"/>
  <c r="E53" i="1"/>
  <c r="L53" i="1" s="1"/>
  <c r="J53" i="1"/>
  <c r="M53" i="1" s="1"/>
  <c r="E52" i="1"/>
  <c r="L52" i="1" s="1"/>
  <c r="J52" i="1"/>
  <c r="M52" i="1" s="1"/>
  <c r="E51" i="1"/>
  <c r="L51" i="1" s="1"/>
  <c r="J51" i="1"/>
  <c r="M51" i="1" s="1"/>
  <c r="E50" i="1"/>
  <c r="L50" i="1" s="1"/>
  <c r="J50" i="1"/>
  <c r="M50" i="1" s="1"/>
  <c r="E49" i="1"/>
  <c r="L49" i="1" s="1"/>
  <c r="J49" i="1"/>
  <c r="M49" i="1" s="1"/>
  <c r="E48" i="1"/>
  <c r="L48" i="1" s="1"/>
  <c r="J48" i="1"/>
  <c r="M48" i="1" s="1"/>
  <c r="E47" i="1"/>
  <c r="L47" i="1" s="1"/>
  <c r="J47" i="1"/>
  <c r="M47" i="1" s="1"/>
  <c r="E46" i="1"/>
  <c r="L46" i="1" s="1"/>
  <c r="J46" i="1"/>
  <c r="M46" i="1" s="1"/>
  <c r="E45" i="1"/>
  <c r="L45" i="1" s="1"/>
  <c r="J45" i="1"/>
  <c r="M45" i="1" s="1"/>
  <c r="E44" i="1"/>
  <c r="L44" i="1" s="1"/>
  <c r="J44" i="1"/>
  <c r="M44" i="1" s="1"/>
  <c r="E34" i="1"/>
  <c r="L34" i="1" s="1"/>
  <c r="J34" i="1"/>
  <c r="M34" i="1" s="1"/>
  <c r="E33" i="1"/>
  <c r="L33" i="1" s="1"/>
  <c r="J33" i="1"/>
  <c r="M33" i="1" s="1"/>
  <c r="E32" i="1"/>
  <c r="L32" i="1" s="1"/>
  <c r="J32" i="1"/>
  <c r="M32" i="1" s="1"/>
  <c r="E31" i="1"/>
  <c r="L31" i="1" s="1"/>
  <c r="J31" i="1"/>
  <c r="M31" i="1" s="1"/>
  <c r="E30" i="1"/>
  <c r="L30" i="1" s="1"/>
  <c r="J30" i="1"/>
  <c r="M30" i="1" s="1"/>
  <c r="E29" i="1"/>
  <c r="L29" i="1" s="1"/>
  <c r="J29" i="1"/>
  <c r="M29" i="1" s="1"/>
  <c r="E28" i="1"/>
  <c r="L28" i="1" s="1"/>
  <c r="J28" i="1"/>
  <c r="M28" i="1" s="1"/>
  <c r="E27" i="1"/>
  <c r="L27" i="1" s="1"/>
  <c r="J27" i="1"/>
  <c r="M27" i="1" s="1"/>
  <c r="E26" i="1"/>
  <c r="L26" i="1" s="1"/>
  <c r="J26" i="1"/>
  <c r="M26" i="1" s="1"/>
  <c r="E25" i="1"/>
  <c r="L25" i="1" s="1"/>
  <c r="J25" i="1"/>
  <c r="M25" i="1" s="1"/>
  <c r="AA12" i="3" l="1"/>
  <c r="AA13" i="3"/>
  <c r="AA4" i="3"/>
  <c r="AA8" i="3"/>
  <c r="AA15" i="3"/>
  <c r="AA7" i="3"/>
  <c r="AA14" i="3"/>
  <c r="AA11" i="3"/>
  <c r="AA6" i="3"/>
  <c r="AA10" i="3"/>
  <c r="AA9" i="3"/>
  <c r="AA5" i="3"/>
  <c r="R26" i="1"/>
  <c r="R28" i="1"/>
  <c r="R30" i="1"/>
  <c r="R32" i="1"/>
  <c r="R34" i="1"/>
  <c r="R45" i="1"/>
  <c r="R47" i="1"/>
  <c r="R49" i="1"/>
  <c r="R51" i="1"/>
  <c r="R53" i="1"/>
  <c r="R55" i="1"/>
  <c r="R57" i="1"/>
  <c r="R59" i="1"/>
  <c r="R61" i="1"/>
  <c r="R63" i="1"/>
  <c r="R65" i="1"/>
  <c r="R67" i="1"/>
  <c r="R69" i="1"/>
  <c r="R71" i="1"/>
  <c r="R73" i="1"/>
  <c r="R75" i="1"/>
  <c r="R77" i="1"/>
  <c r="R79" i="1"/>
  <c r="R81" i="1"/>
  <c r="R83" i="1"/>
  <c r="R85" i="1"/>
  <c r="R87" i="1"/>
  <c r="R89" i="1"/>
  <c r="R91" i="1"/>
  <c r="R93" i="1"/>
  <c r="R95" i="1"/>
  <c r="R97" i="1"/>
  <c r="R99" i="1"/>
  <c r="R101" i="1"/>
  <c r="R103" i="1"/>
  <c r="R105" i="1"/>
  <c r="R107" i="1"/>
  <c r="R109" i="1"/>
  <c r="R111" i="1"/>
  <c r="R113" i="1"/>
  <c r="R115" i="1"/>
  <c r="R117" i="1"/>
  <c r="R119" i="1"/>
  <c r="R121" i="1"/>
  <c r="R123" i="1"/>
  <c r="R125" i="1"/>
  <c r="R127" i="1"/>
  <c r="R129" i="1"/>
  <c r="R131" i="1"/>
  <c r="R133" i="1"/>
  <c r="R135" i="1"/>
  <c r="R137" i="1"/>
  <c r="R139" i="1"/>
  <c r="R141" i="1"/>
  <c r="R143" i="1"/>
  <c r="R145" i="1"/>
  <c r="R147" i="1"/>
  <c r="R149" i="1"/>
  <c r="R151" i="1"/>
  <c r="R153" i="1"/>
  <c r="R155" i="1"/>
  <c r="R157" i="1"/>
  <c r="R159" i="1"/>
  <c r="R161" i="1"/>
  <c r="R163" i="1"/>
  <c r="R165" i="1"/>
  <c r="R167" i="1"/>
  <c r="R169" i="1"/>
  <c r="R171" i="1"/>
  <c r="R173" i="1"/>
  <c r="R175" i="1"/>
  <c r="R177" i="1"/>
  <c r="R179" i="1"/>
  <c r="R181" i="1"/>
  <c r="R183" i="1"/>
  <c r="R185" i="1"/>
  <c r="R187" i="1"/>
  <c r="R189" i="1"/>
  <c r="R191" i="1"/>
  <c r="R193" i="1"/>
  <c r="R195" i="1"/>
  <c r="R197" i="1"/>
  <c r="R199" i="1"/>
  <c r="R201" i="1"/>
  <c r="R203" i="1"/>
  <c r="R205" i="1"/>
  <c r="P34" i="1" a="1"/>
  <c r="P34" i="1" s="1"/>
  <c r="Q34" i="1"/>
  <c r="P53" i="1" a="1"/>
  <c r="P53" i="1" s="1"/>
  <c r="Q53" i="1"/>
  <c r="P67" i="1" a="1"/>
  <c r="P67" i="1" s="1"/>
  <c r="Q67" i="1"/>
  <c r="P79" i="1" a="1"/>
  <c r="P79" i="1" s="1"/>
  <c r="Q79" i="1"/>
  <c r="P89" i="1" a="1"/>
  <c r="P89" i="1" s="1"/>
  <c r="Q89" i="1"/>
  <c r="P103" i="1" a="1"/>
  <c r="P103" i="1" s="1"/>
  <c r="Q103" i="1"/>
  <c r="P115" i="1" a="1"/>
  <c r="P115" i="1" s="1"/>
  <c r="Q115" i="1"/>
  <c r="P125" i="1" a="1"/>
  <c r="P125" i="1" s="1"/>
  <c r="Q125" i="1"/>
  <c r="P135" i="1" a="1"/>
  <c r="P135" i="1" s="1"/>
  <c r="Q135" i="1"/>
  <c r="P147" i="1" a="1"/>
  <c r="P147" i="1" s="1"/>
  <c r="Q147" i="1"/>
  <c r="P159" i="1" a="1"/>
  <c r="P159" i="1" s="1"/>
  <c r="Q159" i="1"/>
  <c r="P175" i="1" a="1"/>
  <c r="P175" i="1" s="1"/>
  <c r="Q175" i="1"/>
  <c r="P189" i="1" a="1"/>
  <c r="P189" i="1" s="1"/>
  <c r="Q189" i="1"/>
  <c r="P203" i="1" a="1"/>
  <c r="P203" i="1" s="1"/>
  <c r="Q203" i="1"/>
  <c r="P30" i="1" a="1"/>
  <c r="P30" i="1" s="1"/>
  <c r="Q30" i="1"/>
  <c r="P49" i="1" a="1"/>
  <c r="P49" i="1" s="1"/>
  <c r="Q49" i="1"/>
  <c r="P59" i="1" a="1"/>
  <c r="P59" i="1" s="1"/>
  <c r="Q59" i="1"/>
  <c r="P65" i="1" a="1"/>
  <c r="P65" i="1" s="1"/>
  <c r="Q65" i="1"/>
  <c r="P75" i="1" a="1"/>
  <c r="P75" i="1" s="1"/>
  <c r="Q75" i="1"/>
  <c r="P87" i="1" a="1"/>
  <c r="P87" i="1" s="1"/>
  <c r="Q87" i="1"/>
  <c r="P91" i="1" a="1"/>
  <c r="P91" i="1" s="1"/>
  <c r="Q91" i="1"/>
  <c r="P99" i="1" a="1"/>
  <c r="P99" i="1" s="1"/>
  <c r="Q99" i="1"/>
  <c r="P107" i="1" a="1"/>
  <c r="P107" i="1" s="1"/>
  <c r="Q107" i="1"/>
  <c r="P117" i="1" a="1"/>
  <c r="P117" i="1" s="1"/>
  <c r="Q117" i="1"/>
  <c r="P127" i="1" a="1"/>
  <c r="P127" i="1" s="1"/>
  <c r="Q127" i="1"/>
  <c r="P133" i="1" a="1"/>
  <c r="P133" i="1" s="1"/>
  <c r="Q133" i="1"/>
  <c r="P143" i="1" a="1"/>
  <c r="P143" i="1" s="1"/>
  <c r="Q143" i="1"/>
  <c r="P153" i="1" a="1"/>
  <c r="P153" i="1" s="1"/>
  <c r="Q153" i="1"/>
  <c r="P161" i="1" a="1"/>
  <c r="P161" i="1" s="1"/>
  <c r="Q161" i="1"/>
  <c r="P171" i="1" a="1"/>
  <c r="P171" i="1" s="1"/>
  <c r="Q171" i="1"/>
  <c r="P181" i="1" a="1"/>
  <c r="P181" i="1" s="1"/>
  <c r="Q181" i="1"/>
  <c r="P187" i="1" a="1"/>
  <c r="P187" i="1" s="1"/>
  <c r="Q187" i="1"/>
  <c r="P195" i="1" a="1"/>
  <c r="P195" i="1" s="1"/>
  <c r="Q195" i="1"/>
  <c r="P205" i="1" a="1"/>
  <c r="P205" i="1" s="1"/>
  <c r="Q205" i="1"/>
  <c r="P26" i="1" a="1"/>
  <c r="P26" i="1" s="1"/>
  <c r="Q26" i="1"/>
  <c r="P45" i="1" a="1"/>
  <c r="P45" i="1" s="1"/>
  <c r="Q45" i="1"/>
  <c r="P55" i="1" a="1"/>
  <c r="P55" i="1" s="1"/>
  <c r="Q55" i="1"/>
  <c r="P69" i="1" a="1"/>
  <c r="P69" i="1" s="1"/>
  <c r="Q69" i="1"/>
  <c r="P81" i="1" a="1"/>
  <c r="P81" i="1" s="1"/>
  <c r="Q81" i="1"/>
  <c r="P97" i="1" a="1"/>
  <c r="P97" i="1" s="1"/>
  <c r="Q97" i="1"/>
  <c r="P109" i="1" a="1"/>
  <c r="P109" i="1" s="1"/>
  <c r="Q109" i="1"/>
  <c r="P123" i="1" a="1"/>
  <c r="P123" i="1" s="1"/>
  <c r="Q123" i="1"/>
  <c r="S123" i="1" s="1"/>
  <c r="P137" i="1" a="1"/>
  <c r="P137" i="1" s="1"/>
  <c r="Q137" i="1"/>
  <c r="P151" i="1" a="1"/>
  <c r="P151" i="1" s="1"/>
  <c r="Q151" i="1"/>
  <c r="P165" i="1" a="1"/>
  <c r="P165" i="1" s="1"/>
  <c r="Q165" i="1"/>
  <c r="P179" i="1" a="1"/>
  <c r="P179" i="1" s="1"/>
  <c r="Q179" i="1"/>
  <c r="P197" i="1" a="1"/>
  <c r="P197" i="1" s="1"/>
  <c r="Q197" i="1"/>
  <c r="R25" i="1"/>
  <c r="R31" i="1"/>
  <c r="R44" i="1"/>
  <c r="R50" i="1"/>
  <c r="R56" i="1"/>
  <c r="R60" i="1"/>
  <c r="R62" i="1"/>
  <c r="R66" i="1"/>
  <c r="R68" i="1"/>
  <c r="R70" i="1"/>
  <c r="R72" i="1"/>
  <c r="R74" i="1"/>
  <c r="R76" i="1"/>
  <c r="R78" i="1"/>
  <c r="R80" i="1"/>
  <c r="R82" i="1"/>
  <c r="R84" i="1"/>
  <c r="R86" i="1"/>
  <c r="R88" i="1"/>
  <c r="R90" i="1"/>
  <c r="R92" i="1"/>
  <c r="R94" i="1"/>
  <c r="R96" i="1"/>
  <c r="R98" i="1"/>
  <c r="R100" i="1"/>
  <c r="R102" i="1"/>
  <c r="R104" i="1"/>
  <c r="R106" i="1"/>
  <c r="R108" i="1"/>
  <c r="R110" i="1"/>
  <c r="R112" i="1"/>
  <c r="R114" i="1"/>
  <c r="R116" i="1"/>
  <c r="R118" i="1"/>
  <c r="R120" i="1"/>
  <c r="R122" i="1"/>
  <c r="R124" i="1"/>
  <c r="R126" i="1"/>
  <c r="R128" i="1"/>
  <c r="R130" i="1"/>
  <c r="R132" i="1"/>
  <c r="R134" i="1"/>
  <c r="R136" i="1"/>
  <c r="R138" i="1"/>
  <c r="R140" i="1"/>
  <c r="R142" i="1"/>
  <c r="R144" i="1"/>
  <c r="R146" i="1"/>
  <c r="R148" i="1"/>
  <c r="R150" i="1"/>
  <c r="R152" i="1"/>
  <c r="R154" i="1"/>
  <c r="R156" i="1"/>
  <c r="R158" i="1"/>
  <c r="R160" i="1"/>
  <c r="R162" i="1"/>
  <c r="R164" i="1"/>
  <c r="R166" i="1"/>
  <c r="R168" i="1"/>
  <c r="R170" i="1"/>
  <c r="R172" i="1"/>
  <c r="R174" i="1"/>
  <c r="R176" i="1"/>
  <c r="R178" i="1"/>
  <c r="R180" i="1"/>
  <c r="R182" i="1"/>
  <c r="R184" i="1"/>
  <c r="R186" i="1"/>
  <c r="R188" i="1"/>
  <c r="R190" i="1"/>
  <c r="R192" i="1"/>
  <c r="R194" i="1"/>
  <c r="R196" i="1"/>
  <c r="R198" i="1"/>
  <c r="R200" i="1"/>
  <c r="R202" i="1"/>
  <c r="R204" i="1"/>
  <c r="P28" i="1" a="1"/>
  <c r="P28" i="1" s="1"/>
  <c r="Q28" i="1"/>
  <c r="P47" i="1" a="1"/>
  <c r="P47" i="1" s="1"/>
  <c r="Q47" i="1"/>
  <c r="P57" i="1" a="1"/>
  <c r="P57" i="1" s="1"/>
  <c r="Q57" i="1"/>
  <c r="P63" i="1" a="1"/>
  <c r="P63" i="1" s="1"/>
  <c r="Q63" i="1"/>
  <c r="P73" i="1" a="1"/>
  <c r="P73" i="1" s="1"/>
  <c r="Q73" i="1"/>
  <c r="P83" i="1" a="1"/>
  <c r="P83" i="1" s="1"/>
  <c r="Q83" i="1"/>
  <c r="P95" i="1" a="1"/>
  <c r="P95" i="1" s="1"/>
  <c r="Q95" i="1"/>
  <c r="P105" i="1" a="1"/>
  <c r="P105" i="1" s="1"/>
  <c r="Q105" i="1"/>
  <c r="P113" i="1" a="1"/>
  <c r="P113" i="1" s="1"/>
  <c r="Q113" i="1"/>
  <c r="P121" i="1" a="1"/>
  <c r="P121" i="1" s="1"/>
  <c r="Q121" i="1"/>
  <c r="P131" i="1" a="1"/>
  <c r="P131" i="1" s="1"/>
  <c r="Q131" i="1"/>
  <c r="P141" i="1" a="1"/>
  <c r="P141" i="1" s="1"/>
  <c r="Q141" i="1"/>
  <c r="P149" i="1" a="1"/>
  <c r="P149" i="1" s="1"/>
  <c r="Q149" i="1"/>
  <c r="P157" i="1" a="1"/>
  <c r="P157" i="1" s="1"/>
  <c r="Q157" i="1"/>
  <c r="P167" i="1" a="1"/>
  <c r="P167" i="1" s="1"/>
  <c r="Q167" i="1"/>
  <c r="P173" i="1" a="1"/>
  <c r="P173" i="1" s="1"/>
  <c r="Q173" i="1"/>
  <c r="P183" i="1" a="1"/>
  <c r="P183" i="1" s="1"/>
  <c r="Q183" i="1"/>
  <c r="P193" i="1" a="1"/>
  <c r="P193" i="1" s="1"/>
  <c r="Q193" i="1"/>
  <c r="P201" i="1" a="1"/>
  <c r="P201" i="1" s="1"/>
  <c r="Q201" i="1"/>
  <c r="R27" i="1"/>
  <c r="R29" i="1"/>
  <c r="R33" i="1"/>
  <c r="R46" i="1"/>
  <c r="R48" i="1"/>
  <c r="R52" i="1"/>
  <c r="R54" i="1"/>
  <c r="R58" i="1"/>
  <c r="R64" i="1"/>
  <c r="P25" i="1" a="1"/>
  <c r="P25" i="1" s="1"/>
  <c r="Q25" i="1"/>
  <c r="P27" i="1" a="1"/>
  <c r="P27" i="1" s="1"/>
  <c r="Q27" i="1"/>
  <c r="P29" i="1" a="1"/>
  <c r="P29" i="1" s="1"/>
  <c r="Q29" i="1"/>
  <c r="P31" i="1" a="1"/>
  <c r="P31" i="1" s="1"/>
  <c r="Q31" i="1"/>
  <c r="P33" i="1" a="1"/>
  <c r="P33" i="1" s="1"/>
  <c r="Q33" i="1"/>
  <c r="P44" i="1" a="1"/>
  <c r="P44" i="1" s="1"/>
  <c r="Q44" i="1"/>
  <c r="P46" i="1" a="1"/>
  <c r="P46" i="1" s="1"/>
  <c r="Q46" i="1"/>
  <c r="P48" i="1" a="1"/>
  <c r="P48" i="1" s="1"/>
  <c r="Q48" i="1"/>
  <c r="P50" i="1" a="1"/>
  <c r="P50" i="1" s="1"/>
  <c r="Q50" i="1"/>
  <c r="P52" i="1" a="1"/>
  <c r="P52" i="1" s="1"/>
  <c r="Q52" i="1"/>
  <c r="P54" i="1" a="1"/>
  <c r="P54" i="1" s="1"/>
  <c r="Q54" i="1"/>
  <c r="P56" i="1" a="1"/>
  <c r="P56" i="1" s="1"/>
  <c r="Q56" i="1"/>
  <c r="P58" i="1" a="1"/>
  <c r="P58" i="1" s="1"/>
  <c r="Q58" i="1"/>
  <c r="P60" i="1" a="1"/>
  <c r="P60" i="1" s="1"/>
  <c r="Q60" i="1"/>
  <c r="P62" i="1" a="1"/>
  <c r="P62" i="1" s="1"/>
  <c r="Q62" i="1"/>
  <c r="P64" i="1" a="1"/>
  <c r="P64" i="1" s="1"/>
  <c r="Q64" i="1"/>
  <c r="P66" i="1" a="1"/>
  <c r="P66" i="1" s="1"/>
  <c r="Q66" i="1"/>
  <c r="P68" i="1" a="1"/>
  <c r="P68" i="1" s="1"/>
  <c r="Q68" i="1"/>
  <c r="P70" i="1" a="1"/>
  <c r="P70" i="1" s="1"/>
  <c r="Q70" i="1"/>
  <c r="P72" i="1" a="1"/>
  <c r="P72" i="1" s="1"/>
  <c r="Q72" i="1"/>
  <c r="P74" i="1" a="1"/>
  <c r="P74" i="1" s="1"/>
  <c r="Q74" i="1"/>
  <c r="P76" i="1" a="1"/>
  <c r="P76" i="1" s="1"/>
  <c r="Q76" i="1"/>
  <c r="P78" i="1" a="1"/>
  <c r="P78" i="1" s="1"/>
  <c r="Q78" i="1"/>
  <c r="P80" i="1" a="1"/>
  <c r="P80" i="1" s="1"/>
  <c r="Q80" i="1"/>
  <c r="P82" i="1" a="1"/>
  <c r="P82" i="1" s="1"/>
  <c r="Q82" i="1"/>
  <c r="P84" i="1" a="1"/>
  <c r="P84" i="1" s="1"/>
  <c r="Q84" i="1"/>
  <c r="P86" i="1" a="1"/>
  <c r="P86" i="1" s="1"/>
  <c r="Q86" i="1"/>
  <c r="P88" i="1" a="1"/>
  <c r="P88" i="1" s="1"/>
  <c r="Q88" i="1"/>
  <c r="P90" i="1" a="1"/>
  <c r="P90" i="1" s="1"/>
  <c r="Q90" i="1"/>
  <c r="P92" i="1" a="1"/>
  <c r="P92" i="1" s="1"/>
  <c r="Q92" i="1"/>
  <c r="P94" i="1" a="1"/>
  <c r="P94" i="1" s="1"/>
  <c r="Q94" i="1"/>
  <c r="P96" i="1" a="1"/>
  <c r="P96" i="1" s="1"/>
  <c r="Q96" i="1"/>
  <c r="P98" i="1" a="1"/>
  <c r="P98" i="1" s="1"/>
  <c r="Q98" i="1"/>
  <c r="P100" i="1" a="1"/>
  <c r="P100" i="1" s="1"/>
  <c r="Q100" i="1"/>
  <c r="P102" i="1" a="1"/>
  <c r="P102" i="1" s="1"/>
  <c r="Q102" i="1"/>
  <c r="P104" i="1" a="1"/>
  <c r="P104" i="1" s="1"/>
  <c r="Q104" i="1"/>
  <c r="P106" i="1" a="1"/>
  <c r="P106" i="1" s="1"/>
  <c r="Q106" i="1"/>
  <c r="P108" i="1" a="1"/>
  <c r="P108" i="1" s="1"/>
  <c r="Q108" i="1"/>
  <c r="P110" i="1" a="1"/>
  <c r="P110" i="1" s="1"/>
  <c r="Q110" i="1"/>
  <c r="P112" i="1" a="1"/>
  <c r="P112" i="1" s="1"/>
  <c r="Q112" i="1"/>
  <c r="P114" i="1" a="1"/>
  <c r="P114" i="1" s="1"/>
  <c r="Q114" i="1"/>
  <c r="P116" i="1" a="1"/>
  <c r="P116" i="1" s="1"/>
  <c r="Q116" i="1"/>
  <c r="P118" i="1" a="1"/>
  <c r="P118" i="1" s="1"/>
  <c r="Q118" i="1"/>
  <c r="P120" i="1" a="1"/>
  <c r="P120" i="1" s="1"/>
  <c r="Q120" i="1"/>
  <c r="P122" i="1" a="1"/>
  <c r="P122" i="1" s="1"/>
  <c r="Q122" i="1"/>
  <c r="P124" i="1" a="1"/>
  <c r="P124" i="1" s="1"/>
  <c r="Q124" i="1"/>
  <c r="P126" i="1" a="1"/>
  <c r="P126" i="1" s="1"/>
  <c r="Q126" i="1"/>
  <c r="P128" i="1" a="1"/>
  <c r="P128" i="1" s="1"/>
  <c r="Q128" i="1"/>
  <c r="P130" i="1" a="1"/>
  <c r="P130" i="1" s="1"/>
  <c r="Q130" i="1"/>
  <c r="P132" i="1" a="1"/>
  <c r="P132" i="1" s="1"/>
  <c r="Q132" i="1"/>
  <c r="P134" i="1" a="1"/>
  <c r="P134" i="1" s="1"/>
  <c r="Q134" i="1"/>
  <c r="P136" i="1" a="1"/>
  <c r="P136" i="1" s="1"/>
  <c r="Q136" i="1"/>
  <c r="P138" i="1" a="1"/>
  <c r="P138" i="1" s="1"/>
  <c r="Q138" i="1"/>
  <c r="P140" i="1" a="1"/>
  <c r="P140" i="1" s="1"/>
  <c r="Q140" i="1"/>
  <c r="P142" i="1" a="1"/>
  <c r="P142" i="1" s="1"/>
  <c r="Q142" i="1"/>
  <c r="P144" i="1" a="1"/>
  <c r="P144" i="1" s="1"/>
  <c r="Q144" i="1"/>
  <c r="P146" i="1" a="1"/>
  <c r="P146" i="1" s="1"/>
  <c r="Q146" i="1"/>
  <c r="P148" i="1" a="1"/>
  <c r="P148" i="1" s="1"/>
  <c r="Q148" i="1"/>
  <c r="P150" i="1" a="1"/>
  <c r="P150" i="1" s="1"/>
  <c r="Q150" i="1"/>
  <c r="P152" i="1" a="1"/>
  <c r="P152" i="1" s="1"/>
  <c r="Q152" i="1"/>
  <c r="P154" i="1" a="1"/>
  <c r="P154" i="1" s="1"/>
  <c r="Q154" i="1"/>
  <c r="P156" i="1" a="1"/>
  <c r="P156" i="1" s="1"/>
  <c r="Q156" i="1"/>
  <c r="P158" i="1" a="1"/>
  <c r="P158" i="1" s="1"/>
  <c r="Q158" i="1"/>
  <c r="P160" i="1" a="1"/>
  <c r="P160" i="1" s="1"/>
  <c r="Q160" i="1"/>
  <c r="P162" i="1" a="1"/>
  <c r="P162" i="1" s="1"/>
  <c r="Q162" i="1"/>
  <c r="P164" i="1" a="1"/>
  <c r="P164" i="1" s="1"/>
  <c r="Q164" i="1"/>
  <c r="P166" i="1" a="1"/>
  <c r="P166" i="1" s="1"/>
  <c r="Q166" i="1"/>
  <c r="P168" i="1" a="1"/>
  <c r="P168" i="1" s="1"/>
  <c r="Q168" i="1"/>
  <c r="P170" i="1" a="1"/>
  <c r="P170" i="1" s="1"/>
  <c r="Q170" i="1"/>
  <c r="P172" i="1" a="1"/>
  <c r="P172" i="1" s="1"/>
  <c r="Q172" i="1"/>
  <c r="P174" i="1" a="1"/>
  <c r="P174" i="1" s="1"/>
  <c r="Q174" i="1"/>
  <c r="P176" i="1" a="1"/>
  <c r="P176" i="1" s="1"/>
  <c r="Q176" i="1"/>
  <c r="P178" i="1" a="1"/>
  <c r="P178" i="1" s="1"/>
  <c r="Q178" i="1"/>
  <c r="P180" i="1" a="1"/>
  <c r="P180" i="1" s="1"/>
  <c r="Q180" i="1"/>
  <c r="P182" i="1" a="1"/>
  <c r="P182" i="1" s="1"/>
  <c r="Q182" i="1"/>
  <c r="P184" i="1" a="1"/>
  <c r="P184" i="1" s="1"/>
  <c r="Q184" i="1"/>
  <c r="P186" i="1" a="1"/>
  <c r="P186" i="1" s="1"/>
  <c r="Q186" i="1"/>
  <c r="P188" i="1" a="1"/>
  <c r="P188" i="1" s="1"/>
  <c r="Q188" i="1"/>
  <c r="P190" i="1" a="1"/>
  <c r="P190" i="1" s="1"/>
  <c r="Q190" i="1"/>
  <c r="P192" i="1" a="1"/>
  <c r="P192" i="1" s="1"/>
  <c r="Q192" i="1"/>
  <c r="P194" i="1" a="1"/>
  <c r="P194" i="1" s="1"/>
  <c r="Q194" i="1"/>
  <c r="P196" i="1" a="1"/>
  <c r="P196" i="1" s="1"/>
  <c r="Q196" i="1"/>
  <c r="P198" i="1" a="1"/>
  <c r="P198" i="1" s="1"/>
  <c r="Q198" i="1"/>
  <c r="P200" i="1" a="1"/>
  <c r="P200" i="1" s="1"/>
  <c r="Q200" i="1"/>
  <c r="P202" i="1" a="1"/>
  <c r="P202" i="1" s="1"/>
  <c r="Q202" i="1"/>
  <c r="P204" i="1" a="1"/>
  <c r="P204" i="1" s="1"/>
  <c r="Q204" i="1"/>
  <c r="P32" i="1" a="1"/>
  <c r="P32" i="1" s="1"/>
  <c r="Q32" i="1"/>
  <c r="P51" i="1" a="1"/>
  <c r="P51" i="1" s="1"/>
  <c r="Q51" i="1"/>
  <c r="P61" i="1" a="1"/>
  <c r="P61" i="1" s="1"/>
  <c r="Q61" i="1"/>
  <c r="P71" i="1" a="1"/>
  <c r="P71" i="1" s="1"/>
  <c r="Q71" i="1"/>
  <c r="P77" i="1" a="1"/>
  <c r="P77" i="1" s="1"/>
  <c r="Q77" i="1"/>
  <c r="P85" i="1" a="1"/>
  <c r="P85" i="1" s="1"/>
  <c r="Q85" i="1"/>
  <c r="P93" i="1" a="1"/>
  <c r="P93" i="1" s="1"/>
  <c r="Q93" i="1"/>
  <c r="P101" i="1" a="1"/>
  <c r="P101" i="1" s="1"/>
  <c r="Q101" i="1"/>
  <c r="P111" i="1" a="1"/>
  <c r="P111" i="1" s="1"/>
  <c r="Q111" i="1"/>
  <c r="P119" i="1" a="1"/>
  <c r="P119" i="1" s="1"/>
  <c r="Q119" i="1"/>
  <c r="P129" i="1" a="1"/>
  <c r="P129" i="1" s="1"/>
  <c r="Q129" i="1"/>
  <c r="P139" i="1" a="1"/>
  <c r="P139" i="1" s="1"/>
  <c r="Q139" i="1"/>
  <c r="P145" i="1" a="1"/>
  <c r="P145" i="1" s="1"/>
  <c r="Q145" i="1"/>
  <c r="P155" i="1" a="1"/>
  <c r="P155" i="1" s="1"/>
  <c r="Q155" i="1"/>
  <c r="S155" i="1" s="1"/>
  <c r="P163" i="1" a="1"/>
  <c r="P163" i="1" s="1"/>
  <c r="Q163" i="1"/>
  <c r="P169" i="1" a="1"/>
  <c r="P169" i="1" s="1"/>
  <c r="Q169" i="1"/>
  <c r="P177" i="1" a="1"/>
  <c r="P177" i="1" s="1"/>
  <c r="Q177" i="1"/>
  <c r="P185" i="1" a="1"/>
  <c r="P185" i="1" s="1"/>
  <c r="Q185" i="1"/>
  <c r="P191" i="1" a="1"/>
  <c r="P191" i="1" s="1"/>
  <c r="Q191" i="1"/>
  <c r="P199" i="1" a="1"/>
  <c r="P199" i="1" s="1"/>
  <c r="Q199" i="1"/>
  <c r="U10" i="3"/>
  <c r="U13" i="3"/>
  <c r="U11" i="3"/>
  <c r="U4" i="3"/>
  <c r="U8" i="3"/>
  <c r="U9" i="3"/>
  <c r="U14" i="3"/>
  <c r="U6" i="3"/>
  <c r="U7" i="3"/>
  <c r="U12" i="3"/>
  <c r="U15" i="3"/>
  <c r="U5" i="3"/>
  <c r="P11" i="3"/>
  <c r="P13" i="3"/>
  <c r="P10" i="3"/>
  <c r="P18" i="3"/>
  <c r="P14" i="3"/>
  <c r="P21" i="3"/>
  <c r="P17" i="3"/>
  <c r="T5" i="3"/>
  <c r="T7" i="3"/>
  <c r="T9" i="3"/>
  <c r="T11" i="3"/>
  <c r="T13" i="3"/>
  <c r="T15" i="3"/>
  <c r="T6" i="3"/>
  <c r="T8" i="3"/>
  <c r="T10" i="3"/>
  <c r="T12" i="3"/>
  <c r="T14" i="3"/>
  <c r="T4" i="3"/>
  <c r="P20" i="3"/>
  <c r="P16" i="3"/>
  <c r="P12" i="3"/>
  <c r="P19" i="3"/>
  <c r="P15" i="3"/>
  <c r="H37" i="3"/>
  <c r="G37" i="3"/>
  <c r="H24" i="3"/>
  <c r="G43" i="3"/>
  <c r="H43" i="3"/>
  <c r="H30" i="3"/>
  <c r="G34" i="3"/>
  <c r="H21" i="3"/>
  <c r="H34" i="3"/>
  <c r="G40" i="3"/>
  <c r="H27" i="3"/>
  <c r="H40" i="3"/>
  <c r="O11" i="3"/>
  <c r="O13" i="3"/>
  <c r="O15" i="3"/>
  <c r="O17" i="3"/>
  <c r="O19" i="3"/>
  <c r="O21" i="3"/>
  <c r="O12" i="3"/>
  <c r="O14" i="3"/>
  <c r="O16" i="3"/>
  <c r="O18" i="3"/>
  <c r="O20" i="3"/>
  <c r="O10" i="3"/>
  <c r="H38" i="3"/>
  <c r="G38" i="3"/>
  <c r="H25" i="3"/>
  <c r="H22" i="3"/>
  <c r="G35" i="3"/>
  <c r="H35" i="3"/>
  <c r="H41" i="3"/>
  <c r="G41" i="3"/>
  <c r="H28" i="3"/>
  <c r="G39" i="3"/>
  <c r="H26" i="3"/>
  <c r="H39" i="3"/>
  <c r="G36" i="3"/>
  <c r="H23" i="3"/>
  <c r="H36" i="3"/>
  <c r="H42" i="3"/>
  <c r="G42" i="3"/>
  <c r="H29" i="3"/>
  <c r="G22" i="3"/>
  <c r="D22" i="3"/>
  <c r="G28" i="3"/>
  <c r="D28" i="3"/>
  <c r="G26" i="3"/>
  <c r="D26" i="3"/>
  <c r="G23" i="3"/>
  <c r="D23" i="3"/>
  <c r="G29" i="3"/>
  <c r="D29" i="3"/>
  <c r="G24" i="3"/>
  <c r="D24" i="3"/>
  <c r="G30" i="3"/>
  <c r="D30" i="3"/>
  <c r="G21" i="3"/>
  <c r="D21" i="3"/>
  <c r="G27" i="3"/>
  <c r="D27" i="3"/>
  <c r="G25" i="3"/>
  <c r="D25" i="3"/>
  <c r="C22" i="3"/>
  <c r="C28" i="3"/>
  <c r="C26" i="3"/>
  <c r="E8" i="3"/>
  <c r="C8" i="3"/>
  <c r="F8" i="3"/>
  <c r="D17" i="3"/>
  <c r="H17" i="3"/>
  <c r="C17" i="3"/>
  <c r="G17" i="3"/>
  <c r="D8" i="3"/>
  <c r="C23" i="3"/>
  <c r="F6" i="3"/>
  <c r="D15" i="3"/>
  <c r="H15" i="3"/>
  <c r="C15" i="3"/>
  <c r="G15" i="3"/>
  <c r="D6" i="3"/>
  <c r="E6" i="3"/>
  <c r="C6" i="3"/>
  <c r="C29" i="3"/>
  <c r="C13" i="3"/>
  <c r="G13" i="3"/>
  <c r="E4" i="3"/>
  <c r="C4" i="3"/>
  <c r="F4" i="3"/>
  <c r="D13" i="3"/>
  <c r="H13" i="3"/>
  <c r="D4" i="3"/>
  <c r="C24" i="3"/>
  <c r="C30" i="3"/>
  <c r="C21" i="3"/>
  <c r="C27" i="3"/>
  <c r="F7" i="3"/>
  <c r="D16" i="3"/>
  <c r="H16" i="3"/>
  <c r="D7" i="3"/>
  <c r="C16" i="3"/>
  <c r="G16" i="3"/>
  <c r="E7" i="3"/>
  <c r="C7" i="3"/>
  <c r="C25" i="3"/>
  <c r="C5" i="3"/>
  <c r="C14" i="3"/>
  <c r="G14" i="3"/>
  <c r="E5" i="3"/>
  <c r="F5" i="3"/>
  <c r="D14" i="3"/>
  <c r="H14" i="3"/>
  <c r="D5" i="3"/>
  <c r="J11" i="1"/>
  <c r="M11" i="1" s="1"/>
  <c r="E11" i="1"/>
  <c r="L11" i="1" s="1"/>
  <c r="J10" i="1"/>
  <c r="M10" i="1" s="1"/>
  <c r="E10" i="1"/>
  <c r="L10" i="1" s="1"/>
  <c r="J9" i="1"/>
  <c r="M9" i="1" s="1"/>
  <c r="E9" i="1"/>
  <c r="L9" i="1" s="1"/>
  <c r="J8" i="1"/>
  <c r="M8" i="1" s="1"/>
  <c r="E8" i="1"/>
  <c r="L8" i="1" s="1"/>
  <c r="J7" i="1"/>
  <c r="M7" i="1" s="1"/>
  <c r="E7" i="1"/>
  <c r="L7" i="1" s="1"/>
  <c r="J6" i="1"/>
  <c r="M6" i="1" s="1"/>
  <c r="E6" i="1"/>
  <c r="L6" i="1" s="1"/>
  <c r="J5" i="1"/>
  <c r="M5" i="1" s="1"/>
  <c r="E5" i="1"/>
  <c r="L5" i="1" s="1"/>
  <c r="J4" i="1"/>
  <c r="M4" i="1" s="1"/>
  <c r="E4" i="1"/>
  <c r="L4" i="1" s="1"/>
  <c r="J3" i="1"/>
  <c r="M3" i="1" s="1"/>
  <c r="E3" i="1"/>
  <c r="L3" i="1" s="1"/>
  <c r="J2" i="1"/>
  <c r="M2" i="1" s="1"/>
  <c r="E2" i="1"/>
  <c r="L2" i="1" s="1"/>
  <c r="S147" i="1" l="1"/>
  <c r="S32" i="3"/>
  <c r="S34" i="3" s="1"/>
  <c r="AA41" i="3"/>
  <c r="AA42" i="3" s="1"/>
  <c r="S51" i="1"/>
  <c r="S179" i="1"/>
  <c r="S171" i="1"/>
  <c r="S99" i="1"/>
  <c r="S203" i="1"/>
  <c r="S163" i="1"/>
  <c r="S83" i="1"/>
  <c r="S26" i="1"/>
  <c r="S117" i="1"/>
  <c r="S125" i="1"/>
  <c r="Y7" i="3"/>
  <c r="S93" i="1"/>
  <c r="S157" i="1"/>
  <c r="Y13" i="3"/>
  <c r="Y14" i="3"/>
  <c r="Y10" i="3"/>
  <c r="Y15" i="3"/>
  <c r="Y12" i="3"/>
  <c r="S75" i="1"/>
  <c r="S67" i="1"/>
  <c r="Y6" i="3"/>
  <c r="Y9" i="3"/>
  <c r="Y5" i="3"/>
  <c r="Y8" i="3"/>
  <c r="Y11" i="3"/>
  <c r="S204" i="1"/>
  <c r="S188" i="1"/>
  <c r="S172" i="1"/>
  <c r="S156" i="1"/>
  <c r="S140" i="1"/>
  <c r="S124" i="1"/>
  <c r="S108" i="1"/>
  <c r="S92" i="1"/>
  <c r="S76" i="1"/>
  <c r="S195" i="1"/>
  <c r="S59" i="1"/>
  <c r="S34" i="1"/>
  <c r="S139" i="1"/>
  <c r="S131" i="1"/>
  <c r="S187" i="1"/>
  <c r="S91" i="1"/>
  <c r="S107" i="1"/>
  <c r="S115" i="1"/>
  <c r="X9" i="3"/>
  <c r="X7" i="3"/>
  <c r="V11" i="3"/>
  <c r="X13" i="3"/>
  <c r="X14" i="3"/>
  <c r="X11" i="3"/>
  <c r="S25" i="1"/>
  <c r="S169" i="1"/>
  <c r="X6" i="3"/>
  <c r="X10" i="3"/>
  <c r="X8" i="3"/>
  <c r="S46" i="1"/>
  <c r="S173" i="1"/>
  <c r="S165" i="1"/>
  <c r="S189" i="1"/>
  <c r="X15" i="3"/>
  <c r="S85" i="1"/>
  <c r="S149" i="1"/>
  <c r="S205" i="1"/>
  <c r="S133" i="1"/>
  <c r="S53" i="1"/>
  <c r="S61" i="1"/>
  <c r="S197" i="1"/>
  <c r="S181" i="1"/>
  <c r="S101" i="1"/>
  <c r="S45" i="1"/>
  <c r="X12" i="3"/>
  <c r="S77" i="1"/>
  <c r="S141" i="1"/>
  <c r="S109" i="1"/>
  <c r="S28" i="1"/>
  <c r="S69" i="1"/>
  <c r="X5" i="3"/>
  <c r="V13" i="3"/>
  <c r="V15" i="3"/>
  <c r="S54" i="1"/>
  <c r="V9" i="3"/>
  <c r="S58" i="1"/>
  <c r="S33" i="1"/>
  <c r="S143" i="1"/>
  <c r="S159" i="1"/>
  <c r="S196" i="1"/>
  <c r="S180" i="1"/>
  <c r="S164" i="1"/>
  <c r="S148" i="1"/>
  <c r="S132" i="1"/>
  <c r="S116" i="1"/>
  <c r="S100" i="1"/>
  <c r="S84" i="1"/>
  <c r="S68" i="1"/>
  <c r="S56" i="1"/>
  <c r="V6" i="3"/>
  <c r="V14" i="3"/>
  <c r="S202" i="1"/>
  <c r="S186" i="1"/>
  <c r="S170" i="1"/>
  <c r="S154" i="1"/>
  <c r="S138" i="1"/>
  <c r="S122" i="1"/>
  <c r="S106" i="1"/>
  <c r="S90" i="1"/>
  <c r="S74" i="1"/>
  <c r="V8" i="3"/>
  <c r="V5" i="3"/>
  <c r="W7" i="3"/>
  <c r="W5" i="3"/>
  <c r="S137" i="1"/>
  <c r="V12" i="3"/>
  <c r="V7" i="3"/>
  <c r="W15" i="3"/>
  <c r="W14" i="3"/>
  <c r="W13" i="3"/>
  <c r="W12" i="3"/>
  <c r="W11" i="3"/>
  <c r="W10" i="3"/>
  <c r="W9" i="3"/>
  <c r="W8" i="3"/>
  <c r="W6" i="3"/>
  <c r="S145" i="1"/>
  <c r="S177" i="1"/>
  <c r="S32" i="1"/>
  <c r="V10" i="3"/>
  <c r="S29" i="1"/>
  <c r="S194" i="1"/>
  <c r="S178" i="1"/>
  <c r="S162" i="1"/>
  <c r="S146" i="1"/>
  <c r="S130" i="1"/>
  <c r="S114" i="1"/>
  <c r="S98" i="1"/>
  <c r="S82" i="1"/>
  <c r="S66" i="1"/>
  <c r="S198" i="1"/>
  <c r="S182" i="1"/>
  <c r="S166" i="1"/>
  <c r="S150" i="1"/>
  <c r="S134" i="1"/>
  <c r="S118" i="1"/>
  <c r="S102" i="1"/>
  <c r="S86" i="1"/>
  <c r="S70" i="1"/>
  <c r="S63" i="1"/>
  <c r="S127" i="1"/>
  <c r="S135" i="1"/>
  <c r="P4" i="1" a="1"/>
  <c r="P4" i="1" s="1"/>
  <c r="K27" i="3" s="1"/>
  <c r="Q4" i="1"/>
  <c r="P8" i="1" a="1"/>
  <c r="P8" i="1" s="1"/>
  <c r="Q8" i="1"/>
  <c r="S185" i="1"/>
  <c r="S119" i="1"/>
  <c r="S192" i="1"/>
  <c r="S176" i="1"/>
  <c r="S160" i="1"/>
  <c r="S144" i="1"/>
  <c r="S128" i="1"/>
  <c r="S112" i="1"/>
  <c r="S96" i="1"/>
  <c r="S80" i="1"/>
  <c r="S64" i="1"/>
  <c r="S48" i="1"/>
  <c r="S183" i="1"/>
  <c r="S113" i="1"/>
  <c r="S103" i="1"/>
  <c r="P5" i="1" a="1"/>
  <c r="P5" i="1" s="1"/>
  <c r="Q5" i="1"/>
  <c r="P9" i="1" a="1"/>
  <c r="P9" i="1" s="1"/>
  <c r="Q9" i="1"/>
  <c r="S199" i="1"/>
  <c r="S71" i="1"/>
  <c r="S52" i="1"/>
  <c r="S27" i="1"/>
  <c r="S201" i="1"/>
  <c r="S57" i="1"/>
  <c r="S97" i="1"/>
  <c r="S49" i="1"/>
  <c r="R5" i="1"/>
  <c r="R9" i="1"/>
  <c r="S111" i="1"/>
  <c r="S190" i="1"/>
  <c r="S174" i="1"/>
  <c r="S158" i="1"/>
  <c r="S142" i="1"/>
  <c r="S126" i="1"/>
  <c r="S110" i="1"/>
  <c r="S94" i="1"/>
  <c r="S78" i="1"/>
  <c r="S62" i="1"/>
  <c r="S105" i="1"/>
  <c r="S55" i="1"/>
  <c r="S161" i="1"/>
  <c r="S89" i="1"/>
  <c r="P2" i="1" a="1"/>
  <c r="P2" i="1" s="1"/>
  <c r="Q2" i="1"/>
  <c r="P6" i="1" a="1"/>
  <c r="P6" i="1" s="1"/>
  <c r="Q6" i="1"/>
  <c r="P10" i="1" a="1"/>
  <c r="P10" i="1" s="1"/>
  <c r="Q10" i="1"/>
  <c r="S200" i="1"/>
  <c r="S184" i="1"/>
  <c r="S168" i="1"/>
  <c r="S152" i="1"/>
  <c r="S136" i="1"/>
  <c r="S120" i="1"/>
  <c r="S104" i="1"/>
  <c r="S88" i="1"/>
  <c r="S72" i="1"/>
  <c r="S31" i="1"/>
  <c r="S73" i="1"/>
  <c r="S65" i="1"/>
  <c r="R4" i="1"/>
  <c r="R2" i="1"/>
  <c r="R6" i="1"/>
  <c r="R10" i="1"/>
  <c r="S191" i="1"/>
  <c r="S129" i="1"/>
  <c r="S50" i="1"/>
  <c r="S193" i="1"/>
  <c r="S121" i="1"/>
  <c r="S47" i="1"/>
  <c r="S81" i="1"/>
  <c r="S30" i="1"/>
  <c r="R3" i="1"/>
  <c r="R7" i="1"/>
  <c r="R11" i="1"/>
  <c r="R8" i="1"/>
  <c r="P3" i="1" a="1"/>
  <c r="P3" i="1" s="1"/>
  <c r="Q3" i="1"/>
  <c r="P7" i="1" a="1"/>
  <c r="P7" i="1" s="1"/>
  <c r="Q7" i="1"/>
  <c r="P11" i="1" a="1"/>
  <c r="P11" i="1" s="1"/>
  <c r="Q11" i="1"/>
  <c r="S60" i="1"/>
  <c r="S44" i="1"/>
  <c r="S167" i="1"/>
  <c r="S95" i="1"/>
  <c r="S151" i="1"/>
  <c r="S153" i="1"/>
  <c r="S87" i="1"/>
  <c r="S175" i="1"/>
  <c r="S79" i="1"/>
  <c r="O22" i="3"/>
  <c r="F9" i="3"/>
  <c r="E9" i="3"/>
  <c r="D9" i="3"/>
  <c r="C9" i="3"/>
  <c r="J6" i="3" s="1" a="1"/>
  <c r="J6" i="3" s="1"/>
  <c r="P5" i="3"/>
  <c r="P4" i="3" s="1"/>
  <c r="C36" i="3"/>
  <c r="C39" i="3"/>
  <c r="D41" i="3"/>
  <c r="C41" i="3"/>
  <c r="D35" i="3"/>
  <c r="C35" i="3"/>
  <c r="C38" i="3"/>
  <c r="D38" i="3"/>
  <c r="D40" i="3"/>
  <c r="C34" i="3"/>
  <c r="C43" i="3"/>
  <c r="C37" i="3"/>
  <c r="D37" i="3"/>
  <c r="C42" i="3"/>
  <c r="D42" i="3"/>
  <c r="D36" i="3"/>
  <c r="D39" i="3"/>
  <c r="C40" i="3"/>
  <c r="D34" i="3"/>
  <c r="D43" i="3"/>
  <c r="E15" i="3"/>
  <c r="E14" i="3"/>
  <c r="F15" i="3"/>
  <c r="H5" i="3"/>
  <c r="H7" i="3"/>
  <c r="G7" i="3"/>
  <c r="G4" i="3"/>
  <c r="H4" i="3"/>
  <c r="G8" i="3"/>
  <c r="H8" i="3"/>
  <c r="G5" i="3"/>
  <c r="F14" i="3"/>
  <c r="F16" i="3"/>
  <c r="E16" i="3"/>
  <c r="E13" i="3"/>
  <c r="F13" i="3"/>
  <c r="G6" i="3"/>
  <c r="H6" i="3"/>
  <c r="E17" i="3"/>
  <c r="F17" i="3"/>
  <c r="K29" i="3" l="1"/>
  <c r="K26" i="3"/>
  <c r="K25" i="3"/>
  <c r="K28" i="3"/>
  <c r="Z10" i="3"/>
  <c r="Z8" i="3"/>
  <c r="Z15" i="3"/>
  <c r="Z13" i="3"/>
  <c r="Z7" i="3"/>
  <c r="Z9" i="3"/>
  <c r="Z14" i="3"/>
  <c r="Z11" i="3"/>
  <c r="Z5" i="3"/>
  <c r="Y4" i="3"/>
  <c r="Y41" i="3" s="1"/>
  <c r="Y42" i="3" s="1"/>
  <c r="Z6" i="3"/>
  <c r="Z12" i="3"/>
  <c r="S11" i="1"/>
  <c r="V4" i="3"/>
  <c r="W4" i="3"/>
  <c r="AB41" i="3" s="1"/>
  <c r="AB42" i="3" s="1"/>
  <c r="S6" i="1"/>
  <c r="S9" i="1"/>
  <c r="S4" i="1"/>
  <c r="S7" i="1"/>
  <c r="S2" i="1"/>
  <c r="X4" i="3"/>
  <c r="X41" i="3" s="1"/>
  <c r="X42" i="3" s="1"/>
  <c r="S5" i="1"/>
  <c r="S10" i="1"/>
  <c r="S8" i="1"/>
  <c r="S3" i="1"/>
  <c r="H9" i="3"/>
  <c r="G9" i="3"/>
  <c r="W32" i="3" l="1"/>
  <c r="W34" i="3" s="1"/>
  <c r="U32" i="3"/>
  <c r="U34" i="3" s="1"/>
  <c r="Z4" i="3"/>
  <c r="Z41" i="3" s="1"/>
  <c r="Z4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<sst xmlns="http://schemas.openxmlformats.org/spreadsheetml/2006/main" count="895" uniqueCount="136">
  <si>
    <t>Período</t>
  </si>
  <si>
    <t>Nome</t>
  </si>
  <si>
    <t>Refugo</t>
  </si>
  <si>
    <t>Horas Disp.</t>
  </si>
  <si>
    <t>Vol. Padrão</t>
  </si>
  <si>
    <t>Vol. Líquido</t>
  </si>
  <si>
    <t>Vol. Bruto</t>
  </si>
  <si>
    <t>H. Ativas</t>
  </si>
  <si>
    <t>H. Inativas</t>
  </si>
  <si>
    <t>Produtividade</t>
  </si>
  <si>
    <t>Eficiência</t>
  </si>
  <si>
    <t>Qualidade</t>
  </si>
  <si>
    <t>V. Refugo</t>
  </si>
  <si>
    <t>Adriana</t>
  </si>
  <si>
    <t>Anderson</t>
  </si>
  <si>
    <t>Carlos</t>
  </si>
  <si>
    <t>Cleber</t>
  </si>
  <si>
    <t>Daniel</t>
  </si>
  <si>
    <t>Elisabeth</t>
  </si>
  <si>
    <t>Flávia</t>
  </si>
  <si>
    <t>Isabel</t>
  </si>
  <si>
    <t>Miriam</t>
  </si>
  <si>
    <t>Solange</t>
  </si>
  <si>
    <t>Ano</t>
  </si>
  <si>
    <t>Mês</t>
  </si>
  <si>
    <t>Setores</t>
  </si>
  <si>
    <t>Extrusão</t>
  </si>
  <si>
    <t>Mistura</t>
  </si>
  <si>
    <t>Modelagem</t>
  </si>
  <si>
    <t>Prensagem</t>
  </si>
  <si>
    <t>Retífica</t>
  </si>
  <si>
    <t>Grumos</t>
  </si>
  <si>
    <t>Contaminação</t>
  </si>
  <si>
    <t>Mistura Seca</t>
  </si>
  <si>
    <t>Baixa Densidade</t>
  </si>
  <si>
    <t>Espessura</t>
  </si>
  <si>
    <t>Erro de Pesagem</t>
  </si>
  <si>
    <t>Tempo de Pega</t>
  </si>
  <si>
    <t>Mistura Fina</t>
  </si>
  <si>
    <t>Mistura Grossa</t>
  </si>
  <si>
    <t>Laminação</t>
  </si>
  <si>
    <t>Segregação</t>
  </si>
  <si>
    <t>Trincas</t>
  </si>
  <si>
    <t>Descanteado</t>
  </si>
  <si>
    <t>Empeno</t>
  </si>
  <si>
    <t>Paradas</t>
  </si>
  <si>
    <t>Mecânica</t>
  </si>
  <si>
    <t>Elétrica</t>
  </si>
  <si>
    <t>Falta de Vanete</t>
  </si>
  <si>
    <t>Falta de MP Própria</t>
  </si>
  <si>
    <t>Falta de Água</t>
  </si>
  <si>
    <t>Troca de Facas</t>
  </si>
  <si>
    <t>Troca/Acerto Molde</t>
  </si>
  <si>
    <t>Falta de Transporte</t>
  </si>
  <si>
    <t>Troca de Rebolo</t>
  </si>
  <si>
    <t>Troca de Disco</t>
  </si>
  <si>
    <t>Falta de Vácuo</t>
  </si>
  <si>
    <t>Ajuste Rebolo</t>
  </si>
  <si>
    <t>Troca de Silo</t>
  </si>
  <si>
    <t>Falta de Mistura</t>
  </si>
  <si>
    <t>Troca da Hélice</t>
  </si>
  <si>
    <t>Itens selecionados e Critérios</t>
  </si>
  <si>
    <t>Setor</t>
  </si>
  <si>
    <t>Listas de Anos e Meses</t>
  </si>
  <si>
    <t>Anos</t>
  </si>
  <si>
    <t>Meses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</si>
  <si>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</si>
  <si>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</si>
  <si>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</si>
  <si>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</si>
  <si>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</si>
  <si>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</si>
  <si>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</si>
  <si>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</si>
  <si>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</si>
  <si>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</si>
  <si>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</si>
  <si>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</si>
  <si>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Vol. Líquido Mês</t>
  </si>
  <si>
    <t>Vol. Líquido Ano</t>
  </si>
  <si>
    <t>Vol. Refugo Mês</t>
  </si>
  <si>
    <t>Vol. Refugo Ano</t>
  </si>
  <si>
    <t>Vol. Bruto Mês</t>
  </si>
  <si>
    <t>Vol. Bruto Ano</t>
  </si>
  <si>
    <t>Horas Disp. Mês</t>
  </si>
  <si>
    <t>Horas Disp. Ano</t>
  </si>
  <si>
    <t>Horas Ativas Mês</t>
  </si>
  <si>
    <t>Horas Ativas Ano</t>
  </si>
  <si>
    <t>H. Inativas Mês</t>
  </si>
  <si>
    <t>H. Inativas Ano</t>
  </si>
  <si>
    <t>Dados de Produção - Horas Trabalhadas / Não Trabalhadas</t>
  </si>
  <si>
    <t>Volume Produzido Colaborador</t>
  </si>
  <si>
    <t>Volume Refugo Colaborador</t>
  </si>
  <si>
    <t>Horas Ativas Colaborador</t>
  </si>
  <si>
    <t>Horas Inativas  Colaborador</t>
  </si>
  <si>
    <t>Índice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</si>
  <si>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</si>
  <si>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</si>
  <si>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</si>
  <si>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</si>
  <si>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</si>
  <si>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</si>
  <si>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</si>
  <si>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</si>
  <si>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</si>
  <si>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</si>
  <si>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</si>
  <si>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</si>
  <si>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Produção (nº)</t>
  </si>
  <si>
    <t>Gráfico Termômetro</t>
  </si>
  <si>
    <t>Meta Anual</t>
  </si>
  <si>
    <t>Diferença</t>
  </si>
  <si>
    <t>Vendas</t>
  </si>
  <si>
    <t>Gráfico Velocímetro 180</t>
  </si>
  <si>
    <t>Rótulos</t>
  </si>
  <si>
    <t>Valores</t>
  </si>
  <si>
    <t>Meta</t>
  </si>
  <si>
    <t>Valor</t>
  </si>
  <si>
    <t>Ponteiro</t>
  </si>
  <si>
    <t>Péssimo</t>
  </si>
  <si>
    <t>Ruim</t>
  </si>
  <si>
    <t>Regular</t>
  </si>
  <si>
    <t>Bom</t>
  </si>
  <si>
    <t>Ótimo</t>
  </si>
  <si>
    <t>Gráfico Progressivo</t>
  </si>
  <si>
    <t>Disponibilidade</t>
  </si>
  <si>
    <t>Desempenho</t>
  </si>
  <si>
    <t>OEE</t>
  </si>
  <si>
    <t>DASHBOARD DE PRODUÇÃO</t>
  </si>
  <si>
    <t>Total</t>
  </si>
  <si>
    <t>Meta Produção</t>
  </si>
  <si>
    <t>Meta Real</t>
  </si>
  <si>
    <t>Indicadores de Produção</t>
  </si>
  <si>
    <t>Produtividade Real Hora</t>
  </si>
  <si>
    <t>Dados de Produção - Quantidade Produzida (kg)</t>
  </si>
  <si>
    <t>Produção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</si>
</sst>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0.000"/>
    <numFmt numFmtId="165" formatCode="_-&quot;R$&quot;\ * #,##0_-;\-&quot;R$&quot;\ * #,##0_-;_-&quot;R$&quot;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2"/>
      <color theme="9" tint="0.7999816888943144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2F304D"/>
        <bgColor indexed="64"/>
      </patternFill>
    </fill>
    <fill>
      <patternFill patternType="solid">
        <fgColor rgb="FF41426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2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2" fillId="0" borderId="0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0" fontId="4" fillId="0" borderId="0" xfId="1" applyNumberFormat="1" applyFont="1" applyFill="1" applyBorder="1" applyAlignment="1">
      <alignment horizontal="center"/>
    </xf>
    <xf numFmtId="14" fontId="0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0" fontId="4" fillId="0" borderId="0" xfId="1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164" fontId="4" fillId="0" borderId="1" xfId="2" applyNumberFormat="1" applyFont="1" applyFill="1" applyBorder="1" applyAlignment="1">
      <alignment horizontal="center"/>
    </xf>
    <xf numFmtId="2" fontId="4" fillId="0" borderId="1" xfId="2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6" borderId="0" xfId="0" applyFill="1"/>
    <xf numFmtId="164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0" xfId="0" applyFill="1"/>
    <xf numFmtId="0" fontId="2" fillId="0" borderId="0" xfId="0" applyNumberFormat="1" applyFont="1" applyFill="1" applyBorder="1" applyAlignment="1">
      <alignment horizontal="center" vertical="center"/>
    </xf>
    <xf numFmtId="0" fontId="4" fillId="0" borderId="0" xfId="1" applyNumberFormat="1" applyFont="1" applyFill="1" applyBorder="1" applyAlignment="1">
      <alignment horizontal="center"/>
    </xf>
    <xf numFmtId="0" fontId="0" fillId="0" borderId="0" xfId="0" applyNumberFormat="1" applyFont="1"/>
    <xf numFmtId="1" fontId="4" fillId="0" borderId="0" xfId="1" applyNumberFormat="1" applyFont="1" applyFill="1" applyBorder="1" applyAlignment="1">
      <alignment horizontal="center"/>
    </xf>
    <xf numFmtId="1" fontId="4" fillId="0" borderId="0" xfId="1" applyNumberFormat="1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/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8" fillId="7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10" fontId="4" fillId="2" borderId="4" xfId="0" applyNumberFormat="1" applyFont="1" applyFill="1" applyBorder="1" applyAlignment="1">
      <alignment horizontal="center"/>
    </xf>
    <xf numFmtId="9" fontId="5" fillId="2" borderId="1" xfId="1" applyNumberFormat="1" applyFont="1" applyFill="1" applyBorder="1" applyAlignment="1">
      <alignment horizontal="center"/>
    </xf>
    <xf numFmtId="10" fontId="4" fillId="0" borderId="1" xfId="1" applyNumberFormat="1" applyFont="1" applyFill="1" applyBorder="1" applyAlignment="1">
      <alignment horizontal="center"/>
    </xf>
    <xf numFmtId="9" fontId="4" fillId="0" borderId="1" xfId="1" applyFont="1" applyFill="1" applyBorder="1" applyAlignment="1">
      <alignment horizontal="center"/>
    </xf>
    <xf numFmtId="0" fontId="0" fillId="0" borderId="1" xfId="0" applyBorder="1"/>
    <xf numFmtId="1" fontId="5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4" fillId="0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2" borderId="1" xfId="0" applyFill="1" applyBorder="1"/>
    <xf numFmtId="164" fontId="0" fillId="0" borderId="1" xfId="0" applyNumberFormat="1" applyBorder="1"/>
    <xf numFmtId="0" fontId="2" fillId="5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1" fontId="0" fillId="0" borderId="1" xfId="0" applyNumberFormat="1" applyFill="1" applyBorder="1" applyAlignment="1">
      <alignment horizontal="center"/>
    </xf>
    <xf numFmtId="0" fontId="0" fillId="0" borderId="3" xfId="0" applyFill="1" applyBorder="1"/>
    <xf numFmtId="164" fontId="0" fillId="0" borderId="0" xfId="0" applyNumberFormat="1" applyFill="1"/>
    <xf numFmtId="0" fontId="4" fillId="2" borderId="1" xfId="0" applyNumberFormat="1" applyFont="1" applyFill="1" applyBorder="1" applyAlignment="1"/>
    <xf numFmtId="164" fontId="4" fillId="0" borderId="1" xfId="0" applyNumberFormat="1" applyFont="1" applyFill="1" applyBorder="1" applyAlignment="1">
      <alignment horizontal="right"/>
    </xf>
    <xf numFmtId="2" fontId="0" fillId="0" borderId="1" xfId="0" applyNumberFormat="1" applyBorder="1"/>
    <xf numFmtId="2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6" xfId="0" applyFont="1" applyFill="1" applyBorder="1" applyAlignment="1"/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</cellXfs>
  <cellStyles count="3">
    <cellStyle name="Moeda" xfId="2" builtinId="4"/>
    <cellStyle name="Normal" xfId="0" builtinId="0"/>
    <cellStyle name="Porcentagem" xfId="1" builtinId="5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E5B99B"/>
      <color rgb="FFEDCFBB"/>
      <color rgb="FF414267"/>
      <color rgb="FFFB7200"/>
      <color rgb="FF3EF77C"/>
      <color rgb="FF3190D0"/>
      <color rgb="FF4DBE32"/>
      <color rgb="FF9F79D1"/>
      <color rgb="FF2F304D"/>
      <color rgb="FFFF3C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solidFill>
                  <a:schemeClr val="bg1">
                    <a:lumMod val="95000"/>
                  </a:schemeClr>
                </a:solidFill>
              </a:rPr>
              <a:t>Qualidade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E5B99B"/>
            </a:solidFill>
          </c:spPr>
          <c:dPt>
            <c:idx val="0"/>
            <c:bubble3D val="0"/>
            <c:spPr>
              <a:solidFill>
                <a:srgbClr val="E5B99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8A6-46E2-86B8-55A26212ACB1}"/>
              </c:ext>
            </c:extLst>
          </c:dPt>
          <c:dPt>
            <c:idx val="1"/>
            <c:bubble3D val="0"/>
            <c:spPr>
              <a:solidFill>
                <a:srgbClr val="E5B99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8A6-46E2-86B8-55A26212ACB1}"/>
              </c:ext>
            </c:extLst>
          </c:dPt>
          <c:dPt>
            <c:idx val="2"/>
            <c:bubble3D val="0"/>
            <c:spPr>
              <a:solidFill>
                <a:srgbClr val="E5B99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8A6-46E2-86B8-55A26212ACB1}"/>
              </c:ext>
            </c:extLst>
          </c:dPt>
          <c:dPt>
            <c:idx val="3"/>
            <c:bubble3D val="0"/>
            <c:spPr>
              <a:solidFill>
                <a:srgbClr val="E5B99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8A6-46E2-86B8-55A26212ACB1}"/>
              </c:ext>
            </c:extLst>
          </c:dPt>
          <c:dPt>
            <c:idx val="4"/>
            <c:bubble3D val="0"/>
            <c:spPr>
              <a:solidFill>
                <a:srgbClr val="E5B99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8A6-46E2-86B8-55A26212ACB1}"/>
              </c:ext>
            </c:extLst>
          </c:dPt>
          <c:dPt>
            <c:idx val="5"/>
            <c:bubble3D val="0"/>
            <c:spPr>
              <a:solidFill>
                <a:srgbClr val="E5B99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8A6-46E2-86B8-55A26212ACB1}"/>
              </c:ext>
            </c:extLst>
          </c:dPt>
          <c:dPt>
            <c:idx val="6"/>
            <c:bubble3D val="0"/>
            <c:spPr>
              <a:solidFill>
                <a:srgbClr val="E5B99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8A6-46E2-86B8-55A26212ACB1}"/>
              </c:ext>
            </c:extLst>
          </c:dPt>
          <c:dPt>
            <c:idx val="7"/>
            <c:bubble3D val="0"/>
            <c:spPr>
              <a:solidFill>
                <a:srgbClr val="E5B99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8A6-46E2-86B8-55A26212ACB1}"/>
              </c:ext>
            </c:extLst>
          </c:dPt>
          <c:dPt>
            <c:idx val="8"/>
            <c:bubble3D val="0"/>
            <c:spPr>
              <a:solidFill>
                <a:srgbClr val="E5B99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8A6-46E2-86B8-55A26212ACB1}"/>
              </c:ext>
            </c:extLst>
          </c:dPt>
          <c:dPt>
            <c:idx val="9"/>
            <c:bubble3D val="0"/>
            <c:spPr>
              <a:solidFill>
                <a:srgbClr val="E5B99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8A6-46E2-86B8-55A26212ACB1}"/>
              </c:ext>
            </c:extLst>
          </c:dPt>
          <c:dPt>
            <c:idx val="10"/>
            <c:bubble3D val="0"/>
            <c:spPr>
              <a:solidFill>
                <a:srgbClr val="E5B99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8A6-46E2-86B8-55A26212ACB1}"/>
              </c:ext>
            </c:extLst>
          </c:dPt>
          <c:dPt>
            <c:idx val="11"/>
            <c:bubble3D val="0"/>
            <c:spPr>
              <a:solidFill>
                <a:srgbClr val="E5B99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8A6-46E2-86B8-55A26212ACB1}"/>
              </c:ext>
            </c:extLst>
          </c:dPt>
          <c:dPt>
            <c:idx val="12"/>
            <c:bubble3D val="0"/>
            <c:spPr>
              <a:solidFill>
                <a:srgbClr val="E5B99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D8A6-46E2-86B8-55A26212ACB1}"/>
              </c:ext>
            </c:extLst>
          </c:dPt>
          <c:dPt>
            <c:idx val="13"/>
            <c:bubble3D val="0"/>
            <c:spPr>
              <a:solidFill>
                <a:srgbClr val="E5B99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D8A6-46E2-86B8-55A26212ACB1}"/>
              </c:ext>
            </c:extLst>
          </c:dPt>
          <c:dPt>
            <c:idx val="14"/>
            <c:bubble3D val="0"/>
            <c:spPr>
              <a:solidFill>
                <a:srgbClr val="E5B99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D8A6-46E2-86B8-55A26212ACB1}"/>
              </c:ext>
            </c:extLst>
          </c:dPt>
          <c:dPt>
            <c:idx val="15"/>
            <c:bubble3D val="0"/>
            <c:spPr>
              <a:solidFill>
                <a:srgbClr val="E5B99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D8A6-46E2-86B8-55A26212ACB1}"/>
              </c:ext>
            </c:extLst>
          </c:dPt>
          <c:dPt>
            <c:idx val="16"/>
            <c:bubble3D val="0"/>
            <c:spPr>
              <a:solidFill>
                <a:srgbClr val="E5B99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D8A6-46E2-86B8-55A26212ACB1}"/>
              </c:ext>
            </c:extLst>
          </c:dPt>
          <c:dPt>
            <c:idx val="17"/>
            <c:bubble3D val="0"/>
            <c:spPr>
              <a:solidFill>
                <a:srgbClr val="E5B99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D8A6-46E2-86B8-55A26212ACB1}"/>
              </c:ext>
            </c:extLst>
          </c:dPt>
          <c:dPt>
            <c:idx val="18"/>
            <c:bubble3D val="0"/>
            <c:spPr>
              <a:solidFill>
                <a:srgbClr val="E5B99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D8A6-46E2-86B8-55A26212ACB1}"/>
              </c:ext>
            </c:extLst>
          </c:dPt>
          <c:dPt>
            <c:idx val="19"/>
            <c:bubble3D val="0"/>
            <c:spPr>
              <a:solidFill>
                <a:srgbClr val="E5B99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D8A6-46E2-86B8-55A26212ACB1}"/>
              </c:ext>
            </c:extLst>
          </c:dPt>
          <c:val>
            <c:numRef>
              <c:f>Auxiliar!$Z$19:$Z$38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D8A6-46E2-86B8-55A26212A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doughnutChart>
        <c:varyColors val="1"/>
        <c:ser>
          <c:idx val="1"/>
          <c:order val="1"/>
          <c:tx>
            <c:strRef>
              <c:f>Auxiliar!$W$40</c:f>
              <c:strCache>
                <c:ptCount val="1"/>
                <c:pt idx="0">
                  <c:v>Meta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D8A6-46E2-86B8-55A26212ACB1}"/>
              </c:ext>
            </c:extLst>
          </c:dPt>
          <c:dPt>
            <c:idx val="1"/>
            <c:bubble3D val="0"/>
            <c:spPr>
              <a:solidFill>
                <a:schemeClr val="bg1">
                  <a:alpha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D8A6-46E2-86B8-55A26212ACB1}"/>
              </c:ext>
            </c:extLst>
          </c:dPt>
          <c:val>
            <c:numRef>
              <c:f>Auxiliar!$AB$41:$AB$42</c:f>
              <c:numCache>
                <c:formatCode>0.00%</c:formatCode>
                <c:ptCount val="2"/>
                <c:pt idx="0">
                  <c:v>0.96219031103578467</c:v>
                </c:pt>
                <c:pt idx="1">
                  <c:v>3.7809688964215327E-2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D8A6-46E2-86B8-55A26212A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solidFill>
                  <a:schemeClr val="bg1">
                    <a:lumMod val="95000"/>
                  </a:schemeClr>
                </a:solidFill>
              </a:rPr>
              <a:t>Vol. Refugo por Setor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FF3C67"/>
            </a:solidFill>
            <a:ln>
              <a:noFill/>
            </a:ln>
            <a:effectLst/>
          </c:spPr>
          <c:invertIfNegative val="0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Auxiliar!$B$4:$B$8</c:f>
              <c:strCache>
                <c:ptCount val="5"/>
                <c:pt idx="0">
                  <c:v>Extrusão</c:v>
                </c:pt>
                <c:pt idx="1">
                  <c:v>Mistura</c:v>
                </c:pt>
                <c:pt idx="2">
                  <c:v>Modelagem</c:v>
                </c:pt>
                <c:pt idx="3">
                  <c:v>Prensagem</c:v>
                </c:pt>
                <c:pt idx="4">
                  <c:v>Retífica</c:v>
                </c:pt>
              </c:strCache>
            </c:strRef>
          </c:cat>
          <c:val>
            <c:numRef>
              <c:f>Auxiliar!$E$4:$E$8</c:f>
              <c:numCache>
                <c:formatCode>0.000</c:formatCode>
                <c:ptCount val="5"/>
                <c:pt idx="0">
                  <c:v>7.6209999999999996</c:v>
                </c:pt>
                <c:pt idx="1">
                  <c:v>70.290000000000006</c:v>
                </c:pt>
                <c:pt idx="2">
                  <c:v>34.270000000000003</c:v>
                </c:pt>
                <c:pt idx="3">
                  <c:v>9.15</c:v>
                </c:pt>
                <c:pt idx="4">
                  <c:v>10.43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5D-4F37-BCDC-3261999382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0"/>
        <c:axId val="281538520"/>
        <c:axId val="281539176"/>
      </c:barChart>
      <c:catAx>
        <c:axId val="281538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1539176"/>
        <c:crosses val="autoZero"/>
        <c:auto val="1"/>
        <c:lblAlgn val="ctr"/>
        <c:lblOffset val="100"/>
        <c:noMultiLvlLbl val="0"/>
      </c:catAx>
      <c:valAx>
        <c:axId val="281539176"/>
        <c:scaling>
          <c:orientation val="minMax"/>
        </c:scaling>
        <c:delete val="1"/>
        <c:axPos val="b"/>
        <c:numFmt formatCode="0.000" sourceLinked="1"/>
        <c:majorTickMark val="none"/>
        <c:minorTickMark val="none"/>
        <c:tickLblPos val="nextTo"/>
        <c:crossAx val="281538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chemeClr val="bg1">
                    <a:lumMod val="95000"/>
                  </a:schemeClr>
                </a:solidFill>
              </a:rPr>
              <a:t>Vol. Produzido por Setor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4DBE32"/>
            </a:solidFill>
            <a:ln>
              <a:noFill/>
            </a:ln>
            <a:effectLst/>
          </c:spPr>
          <c:invertIfNegative val="0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Auxiliar!$B$4:$B$8</c:f>
              <c:strCache>
                <c:ptCount val="5"/>
                <c:pt idx="0">
                  <c:v>Extrusão</c:v>
                </c:pt>
                <c:pt idx="1">
                  <c:v>Mistura</c:v>
                </c:pt>
                <c:pt idx="2">
                  <c:v>Modelagem</c:v>
                </c:pt>
                <c:pt idx="3">
                  <c:v>Prensagem</c:v>
                </c:pt>
                <c:pt idx="4">
                  <c:v>Retífica</c:v>
                </c:pt>
              </c:strCache>
            </c:strRef>
          </c:cat>
          <c:val>
            <c:numRef>
              <c:f>Auxiliar!$C$4:$C$8</c:f>
              <c:numCache>
                <c:formatCode>0.000</c:formatCode>
                <c:ptCount val="5"/>
                <c:pt idx="0">
                  <c:v>782.25</c:v>
                </c:pt>
                <c:pt idx="1">
                  <c:v>639.70000000000005</c:v>
                </c:pt>
                <c:pt idx="2">
                  <c:v>745.27</c:v>
                </c:pt>
                <c:pt idx="3">
                  <c:v>818.2</c:v>
                </c:pt>
                <c:pt idx="4">
                  <c:v>808.9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67-4331-9F80-AA4F1ABF1C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0"/>
        <c:axId val="610417640"/>
        <c:axId val="610417968"/>
      </c:barChart>
      <c:catAx>
        <c:axId val="6104176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0417968"/>
        <c:crosses val="autoZero"/>
        <c:auto val="1"/>
        <c:lblAlgn val="ctr"/>
        <c:lblOffset val="100"/>
        <c:noMultiLvlLbl val="0"/>
      </c:catAx>
      <c:valAx>
        <c:axId val="610417968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0" sourceLinked="1"/>
        <c:majorTickMark val="out"/>
        <c:minorTickMark val="none"/>
        <c:tickLblPos val="nextTo"/>
        <c:crossAx val="610417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>
                <a:solidFill>
                  <a:schemeClr val="bg1">
                    <a:lumMod val="95000"/>
                  </a:schemeClr>
                </a:solidFill>
              </a:rPr>
              <a:t>Disponibilidade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3190D0"/>
            </a:solidFill>
          </c:spPr>
          <c:dPt>
            <c:idx val="0"/>
            <c:bubble3D val="0"/>
            <c:spPr>
              <a:solidFill>
                <a:srgbClr val="3190D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F7B-47D2-BC15-B6F23495B07E}"/>
              </c:ext>
            </c:extLst>
          </c:dPt>
          <c:dPt>
            <c:idx val="1"/>
            <c:bubble3D val="0"/>
            <c:spPr>
              <a:solidFill>
                <a:srgbClr val="3190D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F7B-47D2-BC15-B6F23495B07E}"/>
              </c:ext>
            </c:extLst>
          </c:dPt>
          <c:dPt>
            <c:idx val="2"/>
            <c:bubble3D val="0"/>
            <c:spPr>
              <a:solidFill>
                <a:srgbClr val="3190D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F7B-47D2-BC15-B6F23495B07E}"/>
              </c:ext>
            </c:extLst>
          </c:dPt>
          <c:dPt>
            <c:idx val="3"/>
            <c:bubble3D val="0"/>
            <c:spPr>
              <a:solidFill>
                <a:srgbClr val="3190D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F7B-47D2-BC15-B6F23495B07E}"/>
              </c:ext>
            </c:extLst>
          </c:dPt>
          <c:dPt>
            <c:idx val="4"/>
            <c:bubble3D val="0"/>
            <c:spPr>
              <a:solidFill>
                <a:srgbClr val="3190D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F7B-47D2-BC15-B6F23495B07E}"/>
              </c:ext>
            </c:extLst>
          </c:dPt>
          <c:dPt>
            <c:idx val="5"/>
            <c:bubble3D val="0"/>
            <c:spPr>
              <a:solidFill>
                <a:srgbClr val="3190D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F7B-47D2-BC15-B6F23495B07E}"/>
              </c:ext>
            </c:extLst>
          </c:dPt>
          <c:dPt>
            <c:idx val="6"/>
            <c:bubble3D val="0"/>
            <c:spPr>
              <a:solidFill>
                <a:srgbClr val="3190D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F7B-47D2-BC15-B6F23495B07E}"/>
              </c:ext>
            </c:extLst>
          </c:dPt>
          <c:dPt>
            <c:idx val="7"/>
            <c:bubble3D val="0"/>
            <c:spPr>
              <a:solidFill>
                <a:srgbClr val="3190D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7B-47D2-BC15-B6F23495B07E}"/>
              </c:ext>
            </c:extLst>
          </c:dPt>
          <c:dPt>
            <c:idx val="8"/>
            <c:bubble3D val="0"/>
            <c:spPr>
              <a:solidFill>
                <a:srgbClr val="3190D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F7B-47D2-BC15-B6F23495B07E}"/>
              </c:ext>
            </c:extLst>
          </c:dPt>
          <c:dPt>
            <c:idx val="9"/>
            <c:bubble3D val="0"/>
            <c:spPr>
              <a:solidFill>
                <a:srgbClr val="3190D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F7B-47D2-BC15-B6F23495B07E}"/>
              </c:ext>
            </c:extLst>
          </c:dPt>
          <c:dPt>
            <c:idx val="10"/>
            <c:bubble3D val="0"/>
            <c:spPr>
              <a:solidFill>
                <a:srgbClr val="3190D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0F7B-47D2-BC15-B6F23495B07E}"/>
              </c:ext>
            </c:extLst>
          </c:dPt>
          <c:dPt>
            <c:idx val="11"/>
            <c:bubble3D val="0"/>
            <c:spPr>
              <a:solidFill>
                <a:srgbClr val="3190D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0F7B-47D2-BC15-B6F23495B07E}"/>
              </c:ext>
            </c:extLst>
          </c:dPt>
          <c:dPt>
            <c:idx val="12"/>
            <c:bubble3D val="0"/>
            <c:spPr>
              <a:solidFill>
                <a:srgbClr val="3190D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0F7B-47D2-BC15-B6F23495B07E}"/>
              </c:ext>
            </c:extLst>
          </c:dPt>
          <c:dPt>
            <c:idx val="13"/>
            <c:bubble3D val="0"/>
            <c:spPr>
              <a:solidFill>
                <a:srgbClr val="3190D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0F7B-47D2-BC15-B6F23495B07E}"/>
              </c:ext>
            </c:extLst>
          </c:dPt>
          <c:dPt>
            <c:idx val="14"/>
            <c:bubble3D val="0"/>
            <c:spPr>
              <a:solidFill>
                <a:srgbClr val="3190D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0F7B-47D2-BC15-B6F23495B07E}"/>
              </c:ext>
            </c:extLst>
          </c:dPt>
          <c:dPt>
            <c:idx val="15"/>
            <c:bubble3D val="0"/>
            <c:spPr>
              <a:solidFill>
                <a:srgbClr val="3190D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0F7B-47D2-BC15-B6F23495B07E}"/>
              </c:ext>
            </c:extLst>
          </c:dPt>
          <c:dPt>
            <c:idx val="16"/>
            <c:bubble3D val="0"/>
            <c:spPr>
              <a:solidFill>
                <a:srgbClr val="3190D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0F7B-47D2-BC15-B6F23495B07E}"/>
              </c:ext>
            </c:extLst>
          </c:dPt>
          <c:dPt>
            <c:idx val="17"/>
            <c:bubble3D val="0"/>
            <c:spPr>
              <a:solidFill>
                <a:srgbClr val="3190D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0F7B-47D2-BC15-B6F23495B07E}"/>
              </c:ext>
            </c:extLst>
          </c:dPt>
          <c:dPt>
            <c:idx val="18"/>
            <c:bubble3D val="0"/>
            <c:spPr>
              <a:solidFill>
                <a:srgbClr val="3190D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0F7B-47D2-BC15-B6F23495B07E}"/>
              </c:ext>
            </c:extLst>
          </c:dPt>
          <c:dPt>
            <c:idx val="19"/>
            <c:bubble3D val="0"/>
            <c:spPr>
              <a:solidFill>
                <a:srgbClr val="3190D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0F7B-47D2-BC15-B6F23495B07E}"/>
              </c:ext>
            </c:extLst>
          </c:dPt>
          <c:val>
            <c:numRef>
              <c:f>Auxiliar!$X$19:$X$38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0F7B-47D2-BC15-B6F23495B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doughnutChart>
        <c:varyColors val="1"/>
        <c:ser>
          <c:idx val="1"/>
          <c:order val="1"/>
          <c:tx>
            <c:strRef>
              <c:f>Auxiliar!$W$40</c:f>
              <c:strCache>
                <c:ptCount val="1"/>
                <c:pt idx="0">
                  <c:v>Meta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0F7B-47D2-BC15-B6F23495B07E}"/>
              </c:ext>
            </c:extLst>
          </c:dPt>
          <c:dPt>
            <c:idx val="1"/>
            <c:bubble3D val="0"/>
            <c:spPr>
              <a:solidFill>
                <a:schemeClr val="bg1">
                  <a:alpha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0F7B-47D2-BC15-B6F23495B07E}"/>
              </c:ext>
            </c:extLst>
          </c:dPt>
          <c:val>
            <c:numRef>
              <c:f>Auxiliar!$X$41:$X$42</c:f>
              <c:numCache>
                <c:formatCode>0.00%</c:formatCode>
                <c:ptCount val="2"/>
                <c:pt idx="0">
                  <c:v>0.92575000000000007</c:v>
                </c:pt>
                <c:pt idx="1">
                  <c:v>7.4249999999999927E-2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0F7B-47D2-BC15-B6F23495B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solidFill>
                  <a:schemeClr val="bg1">
                    <a:lumMod val="95000"/>
                  </a:schemeClr>
                </a:solidFill>
              </a:rPr>
              <a:t>Desempenho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3EF77C"/>
            </a:solidFill>
            <a:ln w="15875">
              <a:solidFill>
                <a:schemeClr val="bg1">
                  <a:lumMod val="95000"/>
                </a:schemeClr>
              </a:solidFill>
            </a:ln>
          </c:spPr>
          <c:dPt>
            <c:idx val="0"/>
            <c:bubble3D val="0"/>
            <c:spPr>
              <a:solidFill>
                <a:srgbClr val="3EF77C"/>
              </a:solidFill>
              <a:ln w="15875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54B-4BDC-9810-29041400A078}"/>
              </c:ext>
            </c:extLst>
          </c:dPt>
          <c:dPt>
            <c:idx val="1"/>
            <c:bubble3D val="0"/>
            <c:spPr>
              <a:solidFill>
                <a:srgbClr val="3EF77C"/>
              </a:solidFill>
              <a:ln w="15875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54B-4BDC-9810-29041400A078}"/>
              </c:ext>
            </c:extLst>
          </c:dPt>
          <c:dPt>
            <c:idx val="2"/>
            <c:bubble3D val="0"/>
            <c:spPr>
              <a:solidFill>
                <a:srgbClr val="3EF77C"/>
              </a:solidFill>
              <a:ln w="15875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54B-4BDC-9810-29041400A078}"/>
              </c:ext>
            </c:extLst>
          </c:dPt>
          <c:dPt>
            <c:idx val="3"/>
            <c:bubble3D val="0"/>
            <c:spPr>
              <a:solidFill>
                <a:srgbClr val="3EF77C"/>
              </a:solidFill>
              <a:ln w="15875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54B-4BDC-9810-29041400A078}"/>
              </c:ext>
            </c:extLst>
          </c:dPt>
          <c:dPt>
            <c:idx val="4"/>
            <c:bubble3D val="0"/>
            <c:spPr>
              <a:solidFill>
                <a:srgbClr val="3EF77C"/>
              </a:solidFill>
              <a:ln w="15875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54B-4BDC-9810-29041400A078}"/>
              </c:ext>
            </c:extLst>
          </c:dPt>
          <c:dPt>
            <c:idx val="5"/>
            <c:bubble3D val="0"/>
            <c:spPr>
              <a:solidFill>
                <a:srgbClr val="3EF77C"/>
              </a:solidFill>
              <a:ln w="15875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54B-4BDC-9810-29041400A078}"/>
              </c:ext>
            </c:extLst>
          </c:dPt>
          <c:dPt>
            <c:idx val="6"/>
            <c:bubble3D val="0"/>
            <c:spPr>
              <a:solidFill>
                <a:srgbClr val="3EF77C"/>
              </a:solidFill>
              <a:ln w="15875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54B-4BDC-9810-29041400A078}"/>
              </c:ext>
            </c:extLst>
          </c:dPt>
          <c:dPt>
            <c:idx val="7"/>
            <c:bubble3D val="0"/>
            <c:spPr>
              <a:solidFill>
                <a:srgbClr val="3EF77C"/>
              </a:solidFill>
              <a:ln w="15875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54B-4BDC-9810-29041400A078}"/>
              </c:ext>
            </c:extLst>
          </c:dPt>
          <c:dPt>
            <c:idx val="8"/>
            <c:bubble3D val="0"/>
            <c:spPr>
              <a:solidFill>
                <a:srgbClr val="3EF77C"/>
              </a:solidFill>
              <a:ln w="15875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54B-4BDC-9810-29041400A078}"/>
              </c:ext>
            </c:extLst>
          </c:dPt>
          <c:dPt>
            <c:idx val="9"/>
            <c:bubble3D val="0"/>
            <c:spPr>
              <a:solidFill>
                <a:srgbClr val="3EF77C"/>
              </a:solidFill>
              <a:ln w="15875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54B-4BDC-9810-29041400A078}"/>
              </c:ext>
            </c:extLst>
          </c:dPt>
          <c:dPt>
            <c:idx val="10"/>
            <c:bubble3D val="0"/>
            <c:spPr>
              <a:solidFill>
                <a:srgbClr val="3EF77C"/>
              </a:solidFill>
              <a:ln w="15875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F54B-4BDC-9810-29041400A078}"/>
              </c:ext>
            </c:extLst>
          </c:dPt>
          <c:dPt>
            <c:idx val="11"/>
            <c:bubble3D val="0"/>
            <c:spPr>
              <a:solidFill>
                <a:srgbClr val="3EF77C"/>
              </a:solidFill>
              <a:ln w="15875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F54B-4BDC-9810-29041400A078}"/>
              </c:ext>
            </c:extLst>
          </c:dPt>
          <c:dPt>
            <c:idx val="12"/>
            <c:bubble3D val="0"/>
            <c:spPr>
              <a:solidFill>
                <a:srgbClr val="3EF77C"/>
              </a:solidFill>
              <a:ln w="15875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F54B-4BDC-9810-29041400A078}"/>
              </c:ext>
            </c:extLst>
          </c:dPt>
          <c:dPt>
            <c:idx val="13"/>
            <c:bubble3D val="0"/>
            <c:spPr>
              <a:solidFill>
                <a:srgbClr val="3EF77C"/>
              </a:solidFill>
              <a:ln w="15875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F54B-4BDC-9810-29041400A078}"/>
              </c:ext>
            </c:extLst>
          </c:dPt>
          <c:dPt>
            <c:idx val="14"/>
            <c:bubble3D val="0"/>
            <c:spPr>
              <a:solidFill>
                <a:srgbClr val="3EF77C"/>
              </a:solidFill>
              <a:ln w="15875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F54B-4BDC-9810-29041400A078}"/>
              </c:ext>
            </c:extLst>
          </c:dPt>
          <c:dPt>
            <c:idx val="15"/>
            <c:bubble3D val="0"/>
            <c:spPr>
              <a:solidFill>
                <a:srgbClr val="3EF77C"/>
              </a:solidFill>
              <a:ln w="15875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F54B-4BDC-9810-29041400A078}"/>
              </c:ext>
            </c:extLst>
          </c:dPt>
          <c:dPt>
            <c:idx val="16"/>
            <c:bubble3D val="0"/>
            <c:spPr>
              <a:solidFill>
                <a:srgbClr val="3EF77C"/>
              </a:solidFill>
              <a:ln w="15875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F54B-4BDC-9810-29041400A078}"/>
              </c:ext>
            </c:extLst>
          </c:dPt>
          <c:dPt>
            <c:idx val="17"/>
            <c:bubble3D val="0"/>
            <c:spPr>
              <a:solidFill>
                <a:srgbClr val="3EF77C"/>
              </a:solidFill>
              <a:ln w="15875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F54B-4BDC-9810-29041400A078}"/>
              </c:ext>
            </c:extLst>
          </c:dPt>
          <c:dPt>
            <c:idx val="18"/>
            <c:bubble3D val="0"/>
            <c:spPr>
              <a:solidFill>
                <a:srgbClr val="3EF77C"/>
              </a:solidFill>
              <a:ln w="15875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F54B-4BDC-9810-29041400A078}"/>
              </c:ext>
            </c:extLst>
          </c:dPt>
          <c:dPt>
            <c:idx val="19"/>
            <c:bubble3D val="0"/>
            <c:spPr>
              <a:solidFill>
                <a:srgbClr val="3EF77C"/>
              </a:solidFill>
              <a:ln w="15875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F54B-4BDC-9810-29041400A078}"/>
              </c:ext>
            </c:extLst>
          </c:dPt>
          <c:val>
            <c:numRef>
              <c:f>Auxiliar!$X$19:$X$38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F54B-4BDC-9810-29041400A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doughnutChart>
        <c:varyColors val="1"/>
        <c:ser>
          <c:idx val="1"/>
          <c:order val="1"/>
          <c:tx>
            <c:strRef>
              <c:f>Auxiliar!$W$40</c:f>
              <c:strCache>
                <c:ptCount val="1"/>
                <c:pt idx="0">
                  <c:v>Meta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F54B-4BDC-9810-29041400A078}"/>
              </c:ext>
            </c:extLst>
          </c:dPt>
          <c:dPt>
            <c:idx val="1"/>
            <c:bubble3D val="0"/>
            <c:spPr>
              <a:solidFill>
                <a:schemeClr val="bg1">
                  <a:alpha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F54B-4BDC-9810-29041400A078}"/>
              </c:ext>
            </c:extLst>
          </c:dPt>
          <c:val>
            <c:numRef>
              <c:f>Auxiliar!$Y$41:$Y$42</c:f>
              <c:numCache>
                <c:formatCode>0.00%</c:formatCode>
                <c:ptCount val="2"/>
                <c:pt idx="0">
                  <c:v>0.89229113636363633</c:v>
                </c:pt>
                <c:pt idx="1">
                  <c:v>0.10770886363636367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F54B-4BDC-9810-29041400A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solidFill>
                  <a:schemeClr val="bg1">
                    <a:lumMod val="95000"/>
                  </a:schemeClr>
                </a:solidFill>
              </a:rPr>
              <a:t>OEE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FB7200"/>
            </a:solidFill>
          </c:spPr>
          <c:dPt>
            <c:idx val="0"/>
            <c:bubble3D val="0"/>
            <c:spPr>
              <a:solidFill>
                <a:srgbClr val="FB72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81-4E0E-AC27-80457EAD3E08}"/>
              </c:ext>
            </c:extLst>
          </c:dPt>
          <c:dPt>
            <c:idx val="1"/>
            <c:bubble3D val="0"/>
            <c:spPr>
              <a:solidFill>
                <a:srgbClr val="FB72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81-4E0E-AC27-80457EAD3E08}"/>
              </c:ext>
            </c:extLst>
          </c:dPt>
          <c:dPt>
            <c:idx val="2"/>
            <c:bubble3D val="0"/>
            <c:spPr>
              <a:solidFill>
                <a:srgbClr val="FB72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981-4E0E-AC27-80457EAD3E08}"/>
              </c:ext>
            </c:extLst>
          </c:dPt>
          <c:dPt>
            <c:idx val="3"/>
            <c:bubble3D val="0"/>
            <c:spPr>
              <a:solidFill>
                <a:srgbClr val="FB72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981-4E0E-AC27-80457EAD3E08}"/>
              </c:ext>
            </c:extLst>
          </c:dPt>
          <c:dPt>
            <c:idx val="4"/>
            <c:bubble3D val="0"/>
            <c:spPr>
              <a:solidFill>
                <a:srgbClr val="FB72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981-4E0E-AC27-80457EAD3E08}"/>
              </c:ext>
            </c:extLst>
          </c:dPt>
          <c:dPt>
            <c:idx val="5"/>
            <c:bubble3D val="0"/>
            <c:spPr>
              <a:solidFill>
                <a:srgbClr val="FB72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981-4E0E-AC27-80457EAD3E08}"/>
              </c:ext>
            </c:extLst>
          </c:dPt>
          <c:dPt>
            <c:idx val="6"/>
            <c:bubble3D val="0"/>
            <c:spPr>
              <a:solidFill>
                <a:srgbClr val="FB72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981-4E0E-AC27-80457EAD3E08}"/>
              </c:ext>
            </c:extLst>
          </c:dPt>
          <c:dPt>
            <c:idx val="7"/>
            <c:bubble3D val="0"/>
            <c:spPr>
              <a:solidFill>
                <a:srgbClr val="FB72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981-4E0E-AC27-80457EAD3E08}"/>
              </c:ext>
            </c:extLst>
          </c:dPt>
          <c:dPt>
            <c:idx val="8"/>
            <c:bubble3D val="0"/>
            <c:spPr>
              <a:solidFill>
                <a:srgbClr val="FB72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981-4E0E-AC27-80457EAD3E08}"/>
              </c:ext>
            </c:extLst>
          </c:dPt>
          <c:dPt>
            <c:idx val="9"/>
            <c:bubble3D val="0"/>
            <c:spPr>
              <a:solidFill>
                <a:srgbClr val="FB72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981-4E0E-AC27-80457EAD3E08}"/>
              </c:ext>
            </c:extLst>
          </c:dPt>
          <c:dPt>
            <c:idx val="10"/>
            <c:bubble3D val="0"/>
            <c:spPr>
              <a:solidFill>
                <a:srgbClr val="FB72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F981-4E0E-AC27-80457EAD3E08}"/>
              </c:ext>
            </c:extLst>
          </c:dPt>
          <c:dPt>
            <c:idx val="11"/>
            <c:bubble3D val="0"/>
            <c:spPr>
              <a:solidFill>
                <a:srgbClr val="FB72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F981-4E0E-AC27-80457EAD3E08}"/>
              </c:ext>
            </c:extLst>
          </c:dPt>
          <c:dPt>
            <c:idx val="12"/>
            <c:bubble3D val="0"/>
            <c:spPr>
              <a:solidFill>
                <a:srgbClr val="FB72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F981-4E0E-AC27-80457EAD3E08}"/>
              </c:ext>
            </c:extLst>
          </c:dPt>
          <c:dPt>
            <c:idx val="13"/>
            <c:bubble3D val="0"/>
            <c:spPr>
              <a:solidFill>
                <a:srgbClr val="FB72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F981-4E0E-AC27-80457EAD3E08}"/>
              </c:ext>
            </c:extLst>
          </c:dPt>
          <c:dPt>
            <c:idx val="14"/>
            <c:bubble3D val="0"/>
            <c:spPr>
              <a:solidFill>
                <a:srgbClr val="FB72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F981-4E0E-AC27-80457EAD3E08}"/>
              </c:ext>
            </c:extLst>
          </c:dPt>
          <c:dPt>
            <c:idx val="15"/>
            <c:bubble3D val="0"/>
            <c:spPr>
              <a:solidFill>
                <a:srgbClr val="FB72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F981-4E0E-AC27-80457EAD3E08}"/>
              </c:ext>
            </c:extLst>
          </c:dPt>
          <c:dPt>
            <c:idx val="16"/>
            <c:bubble3D val="0"/>
            <c:spPr>
              <a:solidFill>
                <a:srgbClr val="FB72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F981-4E0E-AC27-80457EAD3E08}"/>
              </c:ext>
            </c:extLst>
          </c:dPt>
          <c:dPt>
            <c:idx val="17"/>
            <c:bubble3D val="0"/>
            <c:spPr>
              <a:solidFill>
                <a:srgbClr val="FB72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F981-4E0E-AC27-80457EAD3E08}"/>
              </c:ext>
            </c:extLst>
          </c:dPt>
          <c:dPt>
            <c:idx val="18"/>
            <c:bubble3D val="0"/>
            <c:spPr>
              <a:solidFill>
                <a:srgbClr val="FB72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F981-4E0E-AC27-80457EAD3E08}"/>
              </c:ext>
            </c:extLst>
          </c:dPt>
          <c:dPt>
            <c:idx val="19"/>
            <c:bubble3D val="0"/>
            <c:spPr>
              <a:solidFill>
                <a:srgbClr val="FB72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F981-4E0E-AC27-80457EAD3E08}"/>
              </c:ext>
            </c:extLst>
          </c:dPt>
          <c:val>
            <c:numRef>
              <c:f>Auxiliar!$Z$19:$Z$38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F981-4E0E-AC27-80457EAD3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doughnutChart>
        <c:varyColors val="1"/>
        <c:ser>
          <c:idx val="1"/>
          <c:order val="1"/>
          <c:tx>
            <c:strRef>
              <c:f>Auxiliar!$W$40</c:f>
              <c:strCache>
                <c:ptCount val="1"/>
                <c:pt idx="0">
                  <c:v>Meta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F981-4E0E-AC27-80457EAD3E08}"/>
              </c:ext>
            </c:extLst>
          </c:dPt>
          <c:dPt>
            <c:idx val="1"/>
            <c:bubble3D val="0"/>
            <c:spPr>
              <a:solidFill>
                <a:schemeClr val="bg1">
                  <a:alpha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F981-4E0E-AC27-80457EAD3E08}"/>
              </c:ext>
            </c:extLst>
          </c:dPt>
          <c:val>
            <c:numRef>
              <c:f>Auxiliar!$Z$41:$Z$42</c:f>
              <c:numCache>
                <c:formatCode>0.00%</c:formatCode>
                <c:ptCount val="2"/>
                <c:pt idx="0">
                  <c:v>0.80174421875000002</c:v>
                </c:pt>
                <c:pt idx="1">
                  <c:v>0.19825578124999998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F981-4E0E-AC27-80457EAD3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aseline="0">
                <a:solidFill>
                  <a:schemeClr val="bg1">
                    <a:lumMod val="95000"/>
                  </a:schemeClr>
                </a:solidFill>
              </a:rPr>
              <a:t>Produtividade Real Hora (Kg)</a:t>
            </a:r>
            <a:endParaRPr lang="pt-BR">
              <a:solidFill>
                <a:schemeClr val="bg1">
                  <a:lumMod val="9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F79D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Auxiliar!$J$25:$J$29</c:f>
              <c:strCache>
                <c:ptCount val="5"/>
                <c:pt idx="0">
                  <c:v>Extrusão</c:v>
                </c:pt>
                <c:pt idx="1">
                  <c:v>Mistura</c:v>
                </c:pt>
                <c:pt idx="2">
                  <c:v>Modelagem</c:v>
                </c:pt>
                <c:pt idx="3">
                  <c:v>Prensagem</c:v>
                </c:pt>
                <c:pt idx="4">
                  <c:v>Retífica</c:v>
                </c:pt>
              </c:strCache>
            </c:strRef>
          </c:cat>
          <c:val>
            <c:numRef>
              <c:f>Auxiliar!$K$25:$K$29</c:f>
              <c:numCache>
                <c:formatCode>0</c:formatCode>
                <c:ptCount val="5"/>
                <c:pt idx="0">
                  <c:v>52.718201618253644</c:v>
                </c:pt>
                <c:pt idx="1">
                  <c:v>49.940052973513247</c:v>
                </c:pt>
                <c:pt idx="2">
                  <c:v>52.378078577366537</c:v>
                </c:pt>
                <c:pt idx="3">
                  <c:v>53.655166757791143</c:v>
                </c:pt>
                <c:pt idx="4">
                  <c:v>56.121606762228062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89-4903-99DD-77F9B87CFA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0"/>
        <c:axId val="534778344"/>
        <c:axId val="534769488"/>
      </c:barChart>
      <c:catAx>
        <c:axId val="534778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4769488"/>
        <c:crosses val="autoZero"/>
        <c:auto val="1"/>
        <c:lblAlgn val="ctr"/>
        <c:lblOffset val="100"/>
        <c:noMultiLvlLbl val="0"/>
      </c:catAx>
      <c:valAx>
        <c:axId val="534769488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534778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Auxiliar!$M$8</c:f>
          <c:strCache>
            <c:ptCount val="1"/>
            <c:pt idx="0">
              <c:v>Análise Produção - Retífica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FFC35E"/>
            </a:solidFill>
            <a:ln>
              <a:noFill/>
            </a:ln>
            <a:effectLst/>
          </c:spPr>
          <c:invertIfNegative val="0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Auxiliar!$N$10:$N$21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Auxiliar!$O$10:$O$21</c:f>
              <c:numCache>
                <c:formatCode>0.000</c:formatCode>
                <c:ptCount val="12"/>
                <c:pt idx="0">
                  <c:v>1165.635</c:v>
                </c:pt>
                <c:pt idx="1">
                  <c:v>1394.3559999999998</c:v>
                </c:pt>
                <c:pt idx="2">
                  <c:v>650.548</c:v>
                </c:pt>
                <c:pt idx="3">
                  <c:v>776.27300000000002</c:v>
                </c:pt>
                <c:pt idx="4">
                  <c:v>700.36</c:v>
                </c:pt>
                <c:pt idx="5">
                  <c:v>808.9</c:v>
                </c:pt>
                <c:pt idx="6">
                  <c:v>750.96</c:v>
                </c:pt>
                <c:pt idx="7">
                  <c:v>825.81</c:v>
                </c:pt>
                <c:pt idx="8">
                  <c:v>715.12</c:v>
                </c:pt>
                <c:pt idx="9">
                  <c:v>741</c:v>
                </c:pt>
                <c:pt idx="10">
                  <c:v>1201.02</c:v>
                </c:pt>
                <c:pt idx="11">
                  <c:v>799.72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73-4246-8463-034B843CE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53566968"/>
        <c:axId val="453567296"/>
      </c:barChart>
      <c:catAx>
        <c:axId val="453566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3567296"/>
        <c:crosses val="autoZero"/>
        <c:auto val="1"/>
        <c:lblAlgn val="ctr"/>
        <c:lblOffset val="100"/>
        <c:noMultiLvlLbl val="0"/>
      </c:catAx>
      <c:valAx>
        <c:axId val="453567296"/>
        <c:scaling>
          <c:orientation val="minMax"/>
        </c:scaling>
        <c:delete val="1"/>
        <c:axPos val="b"/>
        <c:numFmt formatCode="0.000" sourceLinked="1"/>
        <c:majorTickMark val="none"/>
        <c:minorTickMark val="none"/>
        <c:tickLblPos val="nextTo"/>
        <c:crossAx val="453566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IndiceSetor" fmlaRange="ListaSetores" sel="5" val="0"/>
</file>

<file path=xl/ctrlProps/ctrlProp2.xml><?xml version="1.0" encoding="utf-8"?>
<formControlPr xmlns="http://schemas.microsoft.com/office/spreadsheetml/2009/9/main" objectType="Drop" dropStyle="combo" dx="22" fmlaLink="Mes" fmlaRange="ListaMeses" sel="6" val="2"/>
</file>

<file path=xl/ctrlProps/ctrlProp3.xml><?xml version="1.0" encoding="utf-8"?>
<formControlPr xmlns="http://schemas.microsoft.com/office/spreadsheetml/2009/9/main" objectType="Drop" dropLines="3" dropStyle="combo" dx="22" fmlaLink="IndiceAno" fmlaRange="ListaAnos" sel="1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306704</xdr:colOff>
      <xdr:row>20</xdr:row>
      <xdr:rowOff>100011</xdr:rowOff>
    </xdr:from>
    <xdr:to>
      <xdr:col>16</xdr:col>
      <xdr:colOff>210704</xdr:colOff>
      <xdr:row>33</xdr:row>
      <xdr:rowOff>143511</xdr:rowOff>
    </xdr:to>
    <xdr:sp macro="" textlink="">
      <xdr:nvSpPr>
        <xdr:cNvPr id="41" name="Retângulo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>
          <a:off x="6431279" y="4033836"/>
          <a:ext cx="2952000" cy="2520000"/>
        </a:xfrm>
        <a:prstGeom prst="rect">
          <a:avLst/>
        </a:prstGeom>
        <a:solidFill>
          <a:srgbClr val="41426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285750</xdr:colOff>
      <xdr:row>20</xdr:row>
      <xdr:rowOff>100012</xdr:rowOff>
    </xdr:from>
    <xdr:to>
      <xdr:col>16</xdr:col>
      <xdr:colOff>189750</xdr:colOff>
      <xdr:row>33</xdr:row>
      <xdr:rowOff>143512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316229</xdr:colOff>
      <xdr:row>20</xdr:row>
      <xdr:rowOff>100011</xdr:rowOff>
    </xdr:from>
    <xdr:to>
      <xdr:col>21</xdr:col>
      <xdr:colOff>220229</xdr:colOff>
      <xdr:row>33</xdr:row>
      <xdr:rowOff>143511</xdr:rowOff>
    </xdr:to>
    <xdr:sp macro="" textlink="">
      <xdr:nvSpPr>
        <xdr:cNvPr id="42" name="Retângulo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9488804" y="4071936"/>
          <a:ext cx="2952000" cy="2520000"/>
        </a:xfrm>
        <a:prstGeom prst="rect">
          <a:avLst/>
        </a:prstGeom>
        <a:solidFill>
          <a:srgbClr val="41426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116204</xdr:colOff>
      <xdr:row>20</xdr:row>
      <xdr:rowOff>100011</xdr:rowOff>
    </xdr:from>
    <xdr:to>
      <xdr:col>11</xdr:col>
      <xdr:colOff>200204</xdr:colOff>
      <xdr:row>33</xdr:row>
      <xdr:rowOff>143511</xdr:rowOff>
    </xdr:to>
    <xdr:sp macro="" textlink="">
      <xdr:nvSpPr>
        <xdr:cNvPr id="43" name="Retângulo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/>
      </xdr:nvSpPr>
      <xdr:spPr>
        <a:xfrm>
          <a:off x="3192779" y="4071936"/>
          <a:ext cx="3132000" cy="2520000"/>
        </a:xfrm>
        <a:prstGeom prst="rect">
          <a:avLst/>
        </a:prstGeom>
        <a:solidFill>
          <a:srgbClr val="41426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66674</xdr:colOff>
      <xdr:row>6</xdr:row>
      <xdr:rowOff>147636</xdr:rowOff>
    </xdr:from>
    <xdr:to>
      <xdr:col>6</xdr:col>
      <xdr:colOff>11999</xdr:colOff>
      <xdr:row>20</xdr:row>
      <xdr:rowOff>636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66674" y="1452561"/>
          <a:ext cx="3021900" cy="2520000"/>
        </a:xfrm>
        <a:prstGeom prst="rect">
          <a:avLst/>
        </a:prstGeom>
        <a:solidFill>
          <a:srgbClr val="41426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316229</xdr:colOff>
      <xdr:row>6</xdr:row>
      <xdr:rowOff>147636</xdr:rowOff>
    </xdr:from>
    <xdr:to>
      <xdr:col>21</xdr:col>
      <xdr:colOff>220229</xdr:colOff>
      <xdr:row>20</xdr:row>
      <xdr:rowOff>636</xdr:rowOff>
    </xdr:to>
    <xdr:sp macro="" textlink="">
      <xdr:nvSpPr>
        <xdr:cNvPr id="34" name="Retângulo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9488804" y="1452561"/>
          <a:ext cx="2952000" cy="2520000"/>
        </a:xfrm>
        <a:prstGeom prst="rect">
          <a:avLst/>
        </a:prstGeom>
        <a:solidFill>
          <a:srgbClr val="41426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306704</xdr:colOff>
      <xdr:row>6</xdr:row>
      <xdr:rowOff>147636</xdr:rowOff>
    </xdr:from>
    <xdr:to>
      <xdr:col>16</xdr:col>
      <xdr:colOff>210704</xdr:colOff>
      <xdr:row>20</xdr:row>
      <xdr:rowOff>636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6431279" y="1452561"/>
          <a:ext cx="2952000" cy="2520000"/>
        </a:xfrm>
        <a:prstGeom prst="rect">
          <a:avLst/>
        </a:prstGeom>
        <a:solidFill>
          <a:srgbClr val="41426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285750</xdr:colOff>
      <xdr:row>6</xdr:row>
      <xdr:rowOff>128587</xdr:rowOff>
    </xdr:from>
    <xdr:to>
      <xdr:col>16</xdr:col>
      <xdr:colOff>189750</xdr:colOff>
      <xdr:row>19</xdr:row>
      <xdr:rowOff>172087</xdr:rowOff>
    </xdr:to>
    <xdr:graphicFrame macro="">
      <xdr:nvGraphicFramePr>
        <xdr:cNvPr id="12" name="Gráfico 7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116204</xdr:colOff>
      <xdr:row>6</xdr:row>
      <xdr:rowOff>147636</xdr:rowOff>
    </xdr:from>
    <xdr:to>
      <xdr:col>11</xdr:col>
      <xdr:colOff>200204</xdr:colOff>
      <xdr:row>20</xdr:row>
      <xdr:rowOff>636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3192779" y="1452561"/>
          <a:ext cx="3132000" cy="2520000"/>
        </a:xfrm>
        <a:prstGeom prst="rect">
          <a:avLst/>
        </a:prstGeom>
        <a:solidFill>
          <a:srgbClr val="41426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66674</xdr:colOff>
      <xdr:row>2</xdr:row>
      <xdr:rowOff>95250</xdr:rowOff>
    </xdr:from>
    <xdr:to>
      <xdr:col>6</xdr:col>
      <xdr:colOff>11999</xdr:colOff>
      <xdr:row>6</xdr:row>
      <xdr:rowOff>53250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6674" y="638175"/>
          <a:ext cx="3021900" cy="720000"/>
        </a:xfrm>
        <a:prstGeom prst="rect">
          <a:avLst/>
        </a:prstGeom>
        <a:solidFill>
          <a:srgbClr val="41426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 b="0">
              <a:solidFill>
                <a:schemeClr val="bg1">
                  <a:lumMod val="95000"/>
                </a:schemeClr>
              </a:solidFill>
            </a:rPr>
            <a:t>Produção</a:t>
          </a:r>
          <a:r>
            <a:rPr lang="pt-BR" sz="1600" b="0" baseline="0">
              <a:solidFill>
                <a:schemeClr val="bg1">
                  <a:lumMod val="95000"/>
                </a:schemeClr>
              </a:solidFill>
            </a:rPr>
            <a:t> Mensal Total (kg)</a:t>
          </a:r>
          <a:endParaRPr lang="pt-BR" sz="1600" b="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6</xdr:col>
      <xdr:colOff>116204</xdr:colOff>
      <xdr:row>2</xdr:row>
      <xdr:rowOff>95250</xdr:rowOff>
    </xdr:from>
    <xdr:to>
      <xdr:col>11</xdr:col>
      <xdr:colOff>200204</xdr:colOff>
      <xdr:row>6</xdr:row>
      <xdr:rowOff>53250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3192779" y="638175"/>
          <a:ext cx="3132000" cy="720000"/>
        </a:xfrm>
        <a:prstGeom prst="rect">
          <a:avLst/>
        </a:prstGeom>
        <a:solidFill>
          <a:srgbClr val="41426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 baseline="0"/>
            <a:t>Produção Anual por Setor (Kg)</a:t>
          </a:r>
          <a:r>
            <a:rPr lang="pt-BR" sz="1600"/>
            <a:t> </a:t>
          </a:r>
        </a:p>
      </xdr:txBody>
    </xdr:sp>
    <xdr:clientData/>
  </xdr:twoCellAnchor>
  <xdr:twoCellAnchor>
    <xdr:from>
      <xdr:col>11</xdr:col>
      <xdr:colOff>318134</xdr:colOff>
      <xdr:row>2</xdr:row>
      <xdr:rowOff>95250</xdr:rowOff>
    </xdr:from>
    <xdr:to>
      <xdr:col>16</xdr:col>
      <xdr:colOff>222134</xdr:colOff>
      <xdr:row>6</xdr:row>
      <xdr:rowOff>53250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6442709" y="638175"/>
          <a:ext cx="2952000" cy="720000"/>
        </a:xfrm>
        <a:prstGeom prst="rect">
          <a:avLst/>
        </a:prstGeom>
        <a:solidFill>
          <a:srgbClr val="41426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 b="0"/>
            <a:t>Volume Mensal Refugo (Kg)</a:t>
          </a:r>
        </a:p>
      </xdr:txBody>
    </xdr:sp>
    <xdr:clientData/>
  </xdr:twoCellAnchor>
  <xdr:twoCellAnchor>
    <xdr:from>
      <xdr:col>1</xdr:col>
      <xdr:colOff>84772</xdr:colOff>
      <xdr:row>2</xdr:row>
      <xdr:rowOff>161529</xdr:rowOff>
    </xdr:from>
    <xdr:to>
      <xdr:col>1</xdr:col>
      <xdr:colOff>84772</xdr:colOff>
      <xdr:row>5</xdr:row>
      <xdr:rowOff>166029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/>
      </xdr:nvCxnSpPr>
      <xdr:spPr>
        <a:xfrm rot="5400000">
          <a:off x="-136553" y="992454"/>
          <a:ext cx="576000" cy="0"/>
        </a:xfrm>
        <a:prstGeom prst="line">
          <a:avLst/>
        </a:prstGeom>
        <a:ln w="28575">
          <a:solidFill>
            <a:srgbClr val="4DBE3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208597</xdr:colOff>
      <xdr:row>2</xdr:row>
      <xdr:rowOff>161529</xdr:rowOff>
    </xdr:from>
    <xdr:to>
      <xdr:col>6</xdr:col>
      <xdr:colOff>208597</xdr:colOff>
      <xdr:row>5</xdr:row>
      <xdr:rowOff>166029</xdr:rowOff>
    </xdr:to>
    <xdr:cxnSp macro="">
      <xdr:nvCxnSpPr>
        <xdr:cNvPr id="15" name="Conector reto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CxnSpPr/>
      </xdr:nvCxnSpPr>
      <xdr:spPr>
        <a:xfrm rot="5400000">
          <a:off x="2997172" y="992454"/>
          <a:ext cx="576000" cy="0"/>
        </a:xfrm>
        <a:prstGeom prst="line">
          <a:avLst/>
        </a:prstGeom>
        <a:ln w="28575">
          <a:solidFill>
            <a:srgbClr val="FFC35E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190500</xdr:colOff>
          <xdr:row>1</xdr:row>
          <xdr:rowOff>76200</xdr:rowOff>
        </xdr:from>
        <xdr:to>
          <xdr:col>17</xdr:col>
          <xdr:colOff>209550</xdr:colOff>
          <xdr:row>1</xdr:row>
          <xdr:rowOff>295275</xdr:rowOff>
        </xdr:to>
        <xdr:sp macro="" textlink="">
          <xdr:nvSpPr>
            <xdr:cNvPr id="7170" name="Drop Dow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3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428625</xdr:colOff>
          <xdr:row>1</xdr:row>
          <xdr:rowOff>76200</xdr:rowOff>
        </xdr:from>
        <xdr:to>
          <xdr:col>19</xdr:col>
          <xdr:colOff>447675</xdr:colOff>
          <xdr:row>1</xdr:row>
          <xdr:rowOff>295275</xdr:rowOff>
        </xdr:to>
        <xdr:sp macro="" textlink="">
          <xdr:nvSpPr>
            <xdr:cNvPr id="7171" name="Drop Dow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3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47625</xdr:colOff>
          <xdr:row>1</xdr:row>
          <xdr:rowOff>76200</xdr:rowOff>
        </xdr:from>
        <xdr:to>
          <xdr:col>21</xdr:col>
          <xdr:colOff>152400</xdr:colOff>
          <xdr:row>1</xdr:row>
          <xdr:rowOff>295275</xdr:rowOff>
        </xdr:to>
        <xdr:sp macro="" textlink="">
          <xdr:nvSpPr>
            <xdr:cNvPr id="7172" name="Drop Down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3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19050</xdr:colOff>
      <xdr:row>6</xdr:row>
      <xdr:rowOff>152398</xdr:rowOff>
    </xdr:from>
    <xdr:to>
      <xdr:col>6</xdr:col>
      <xdr:colOff>33150</xdr:colOff>
      <xdr:row>20</xdr:row>
      <xdr:rowOff>5398</xdr:rowOff>
    </xdr:to>
    <xdr:graphicFrame macro="">
      <xdr:nvGraphicFramePr>
        <xdr:cNvPr id="29" name="Gráfico 7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7</xdr:col>
      <xdr:colOff>427331</xdr:colOff>
      <xdr:row>4</xdr:row>
      <xdr:rowOff>57214</xdr:rowOff>
    </xdr:from>
    <xdr:ext cx="1290546" cy="405432"/>
    <xdr:sp macro="" textlink="Auxiliar!O22">
      <xdr:nvSpPr>
        <xdr:cNvPr id="28" name="CaixaDeTexto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4113506" y="981139"/>
          <a:ext cx="129054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fld id="{A031CEFC-3B49-4F81-B94A-6190852040D3}" type="TxLink">
            <a:rPr lang="en-US" sz="2000" b="1" i="0" u="none" strike="noStrike">
              <a:solidFill>
                <a:schemeClr val="bg1">
                  <a:lumMod val="95000"/>
                </a:schemeClr>
              </a:solidFill>
              <a:latin typeface="Calibri"/>
              <a:cs typeface="Calibri"/>
            </a:rPr>
            <a:pPr algn="ctr"/>
            <a:t>10529,702</a:t>
          </a:fld>
          <a:endParaRPr lang="pt-BR" sz="23900" b="1">
            <a:solidFill>
              <a:schemeClr val="bg1">
                <a:lumMod val="95000"/>
              </a:schemeClr>
            </a:solidFill>
          </a:endParaRPr>
        </a:p>
      </xdr:txBody>
    </xdr:sp>
    <xdr:clientData/>
  </xdr:oneCellAnchor>
  <xdr:oneCellAnchor>
    <xdr:from>
      <xdr:col>2</xdr:col>
      <xdr:colOff>340113</xdr:colOff>
      <xdr:row>4</xdr:row>
      <xdr:rowOff>57214</xdr:rowOff>
    </xdr:from>
    <xdr:ext cx="1160574" cy="405432"/>
    <xdr:sp macro="" textlink="Auxiliar!C9">
      <xdr:nvSpPr>
        <xdr:cNvPr id="32" name="CaixaDeTexto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 txBox="1"/>
      </xdr:nvSpPr>
      <xdr:spPr>
        <a:xfrm>
          <a:off x="978288" y="981139"/>
          <a:ext cx="116057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fld id="{D3C20E03-2267-46B6-A900-CDA0731D72EA}" type="TxLink">
            <a:rPr lang="en-US" sz="2000" b="1" i="0" u="none" strike="noStrike">
              <a:solidFill>
                <a:schemeClr val="bg1">
                  <a:lumMod val="95000"/>
                </a:schemeClr>
              </a:solidFill>
              <a:latin typeface="Calibri"/>
              <a:cs typeface="Calibri"/>
            </a:rPr>
            <a:pPr algn="ctr"/>
            <a:t>3794,320</a:t>
          </a:fld>
          <a:endParaRPr lang="pt-BR" sz="49600" b="1">
            <a:solidFill>
              <a:schemeClr val="bg1">
                <a:lumMod val="95000"/>
              </a:schemeClr>
            </a:solidFill>
          </a:endParaRPr>
        </a:p>
      </xdr:txBody>
    </xdr:sp>
    <xdr:clientData/>
  </xdr:oneCellAnchor>
  <xdr:twoCellAnchor>
    <xdr:from>
      <xdr:col>16</xdr:col>
      <xdr:colOff>327659</xdr:colOff>
      <xdr:row>2</xdr:row>
      <xdr:rowOff>95250</xdr:rowOff>
    </xdr:from>
    <xdr:to>
      <xdr:col>21</xdr:col>
      <xdr:colOff>231659</xdr:colOff>
      <xdr:row>6</xdr:row>
      <xdr:rowOff>53250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9500234" y="638175"/>
          <a:ext cx="2952000" cy="720000"/>
        </a:xfrm>
        <a:prstGeom prst="rect">
          <a:avLst/>
        </a:prstGeom>
        <a:solidFill>
          <a:srgbClr val="41426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/>
            <a:t>Produtividade Hora (Kg)</a:t>
          </a:r>
        </a:p>
      </xdr:txBody>
    </xdr:sp>
    <xdr:clientData/>
  </xdr:twoCellAnchor>
  <xdr:twoCellAnchor>
    <xdr:from>
      <xdr:col>11</xdr:col>
      <xdr:colOff>408622</xdr:colOff>
      <xdr:row>2</xdr:row>
      <xdr:rowOff>161529</xdr:rowOff>
    </xdr:from>
    <xdr:to>
      <xdr:col>11</xdr:col>
      <xdr:colOff>408622</xdr:colOff>
      <xdr:row>5</xdr:row>
      <xdr:rowOff>166029</xdr:rowOff>
    </xdr:to>
    <xdr:cxnSp macro="">
      <xdr:nvCxnSpPr>
        <xdr:cNvPr id="35" name="Conector reto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/>
      </xdr:nvCxnSpPr>
      <xdr:spPr>
        <a:xfrm rot="5400000">
          <a:off x="6245197" y="992454"/>
          <a:ext cx="576000" cy="0"/>
        </a:xfrm>
        <a:prstGeom prst="line">
          <a:avLst/>
        </a:prstGeom>
        <a:ln w="28575">
          <a:solidFill>
            <a:srgbClr val="FF3C6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59633</xdr:colOff>
      <xdr:row>4</xdr:row>
      <xdr:rowOff>57214</xdr:rowOff>
    </xdr:from>
    <xdr:ext cx="1030603" cy="405432"/>
    <xdr:sp macro="" textlink="Auxiliar!E9">
      <xdr:nvSpPr>
        <xdr:cNvPr id="36" name="CaixaDeTexto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 txBox="1"/>
      </xdr:nvSpPr>
      <xdr:spPr>
        <a:xfrm>
          <a:off x="7403408" y="981139"/>
          <a:ext cx="103060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fld id="{9DC2F593-E958-4D89-AAAD-DB865DC2BFE6}" type="TxLink">
            <a:rPr lang="en-US" sz="2000" b="1" i="0" u="none" strike="noStrike">
              <a:solidFill>
                <a:schemeClr val="bg1">
                  <a:lumMod val="95000"/>
                </a:schemeClr>
              </a:solidFill>
              <a:latin typeface="Calibri"/>
              <a:cs typeface="Calibri"/>
            </a:rPr>
            <a:pPr algn="ctr"/>
            <a:t>131,761</a:t>
          </a:fld>
          <a:endParaRPr lang="pt-BR" sz="49600" b="1">
            <a:solidFill>
              <a:schemeClr val="bg1">
                <a:lumMod val="95000"/>
              </a:schemeClr>
            </a:solidFill>
          </a:endParaRPr>
        </a:p>
      </xdr:txBody>
    </xdr:sp>
    <xdr:clientData/>
  </xdr:oneCellAnchor>
  <xdr:twoCellAnchor>
    <xdr:from>
      <xdr:col>0</xdr:col>
      <xdr:colOff>66674</xdr:colOff>
      <xdr:row>20</xdr:row>
      <xdr:rowOff>100011</xdr:rowOff>
    </xdr:from>
    <xdr:to>
      <xdr:col>6</xdr:col>
      <xdr:colOff>11999</xdr:colOff>
      <xdr:row>33</xdr:row>
      <xdr:rowOff>143511</xdr:rowOff>
    </xdr:to>
    <xdr:sp macro="" textlink="">
      <xdr:nvSpPr>
        <xdr:cNvPr id="45" name="Retângulo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66674" y="4071936"/>
          <a:ext cx="3021900" cy="2520000"/>
        </a:xfrm>
        <a:prstGeom prst="rect">
          <a:avLst/>
        </a:prstGeom>
        <a:solidFill>
          <a:srgbClr val="41426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408622</xdr:colOff>
      <xdr:row>2</xdr:row>
      <xdr:rowOff>161529</xdr:rowOff>
    </xdr:from>
    <xdr:to>
      <xdr:col>16</xdr:col>
      <xdr:colOff>408622</xdr:colOff>
      <xdr:row>5</xdr:row>
      <xdr:rowOff>166029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/>
      </xdr:nvCxnSpPr>
      <xdr:spPr>
        <a:xfrm rot="5400000">
          <a:off x="9293197" y="992454"/>
          <a:ext cx="576000" cy="0"/>
        </a:xfrm>
        <a:prstGeom prst="line">
          <a:avLst/>
        </a:prstGeom>
        <a:ln w="28575">
          <a:solidFill>
            <a:srgbClr val="9F79D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362155</xdr:colOff>
      <xdr:row>4</xdr:row>
      <xdr:rowOff>57216</xdr:rowOff>
    </xdr:from>
    <xdr:ext cx="444609" cy="405432"/>
    <xdr:sp macro="" textlink="Auxiliar!AA41">
      <xdr:nvSpPr>
        <xdr:cNvPr id="47" name="CaixaDeTexto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 txBox="1"/>
      </xdr:nvSpPr>
      <xdr:spPr>
        <a:xfrm>
          <a:off x="10753930" y="981141"/>
          <a:ext cx="44460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fld id="{A07FB385-789A-4B8E-97DD-EA5571B4D91A}" type="TxLink">
            <a:rPr lang="en-US" sz="2000" b="1" i="0" u="none" strike="noStrike">
              <a:solidFill>
                <a:schemeClr val="bg1">
                  <a:lumMod val="95000"/>
                </a:schemeClr>
              </a:solidFill>
              <a:latin typeface="Calibri"/>
              <a:cs typeface="Calibri"/>
            </a:rPr>
            <a:pPr algn="ctr"/>
            <a:t>55</a:t>
          </a:fld>
          <a:endParaRPr lang="pt-BR" sz="123400" b="1">
            <a:solidFill>
              <a:schemeClr val="bg1">
                <a:lumMod val="95000"/>
              </a:schemeClr>
            </a:solidFill>
          </a:endParaRPr>
        </a:p>
      </xdr:txBody>
    </xdr:sp>
    <xdr:clientData/>
  </xdr:oneCellAnchor>
  <xdr:twoCellAnchor>
    <xdr:from>
      <xdr:col>1</xdr:col>
      <xdr:colOff>0</xdr:colOff>
      <xdr:row>20</xdr:row>
      <xdr:rowOff>109537</xdr:rowOff>
    </xdr:from>
    <xdr:to>
      <xdr:col>6</xdr:col>
      <xdr:colOff>14100</xdr:colOff>
      <xdr:row>33</xdr:row>
      <xdr:rowOff>153037</xdr:rowOff>
    </xdr:to>
    <xdr:graphicFrame macro="">
      <xdr:nvGraphicFramePr>
        <xdr:cNvPr id="21" name="Gráfico 9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2</xdr:col>
      <xdr:colOff>461683</xdr:colOff>
      <xdr:row>27</xdr:row>
      <xdr:rowOff>9525</xdr:rowOff>
    </xdr:from>
    <xdr:ext cx="957634" cy="405432"/>
    <xdr:sp macro="" textlink="Auxiliar!X41">
      <xdr:nvSpPr>
        <xdr:cNvPr id="7168" name="CaixaDeTexto 7167">
          <a:extLst>
            <a:ext uri="{FF2B5EF4-FFF2-40B4-BE49-F238E27FC236}">
              <a16:creationId xmlns:a16="http://schemas.microsoft.com/office/drawing/2014/main" id="{00000000-0008-0000-0300-0000001C0000}"/>
            </a:ext>
          </a:extLst>
        </xdr:cNvPr>
        <xdr:cNvSpPr txBox="1"/>
      </xdr:nvSpPr>
      <xdr:spPr>
        <a:xfrm>
          <a:off x="1099858" y="5314950"/>
          <a:ext cx="95763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fld id="{ABD5F41A-6DAA-4924-89D2-22BD1889A5C6}" type="TxLink">
            <a:rPr lang="en-US" sz="2000" b="1" i="0" u="none" strike="noStrike">
              <a:solidFill>
                <a:schemeClr val="bg1">
                  <a:lumMod val="95000"/>
                </a:schemeClr>
              </a:solidFill>
              <a:latin typeface="Calibri"/>
              <a:cs typeface="Calibri"/>
            </a:rPr>
            <a:pPr/>
            <a:t>92,58%</a:t>
          </a:fld>
          <a:endParaRPr lang="pt-BR" sz="2000" b="1">
            <a:solidFill>
              <a:schemeClr val="bg1">
                <a:lumMod val="95000"/>
              </a:schemeClr>
            </a:solidFill>
          </a:endParaRPr>
        </a:p>
      </xdr:txBody>
    </xdr:sp>
    <xdr:clientData/>
  </xdr:oneCellAnchor>
  <xdr:twoCellAnchor>
    <xdr:from>
      <xdr:col>6</xdr:col>
      <xdr:colOff>104775</xdr:colOff>
      <xdr:row>20</xdr:row>
      <xdr:rowOff>71437</xdr:rowOff>
    </xdr:from>
    <xdr:to>
      <xdr:col>11</xdr:col>
      <xdr:colOff>188775</xdr:colOff>
      <xdr:row>33</xdr:row>
      <xdr:rowOff>114937</xdr:rowOff>
    </xdr:to>
    <xdr:graphicFrame macro="">
      <xdr:nvGraphicFramePr>
        <xdr:cNvPr id="7169" name="Gráfico 10">
          <a:extLst>
            <a:ext uri="{FF2B5EF4-FFF2-40B4-BE49-F238E27FC236}">
              <a16:creationId xmlns:a16="http://schemas.microsoft.com/office/drawing/2014/main" id="{00000000-0008-0000-0300-0000011C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7</xdr:col>
      <xdr:colOff>582358</xdr:colOff>
      <xdr:row>27</xdr:row>
      <xdr:rowOff>9525</xdr:rowOff>
    </xdr:from>
    <xdr:ext cx="957634" cy="405432"/>
    <xdr:sp macro="" textlink="Auxiliar!Y41">
      <xdr:nvSpPr>
        <xdr:cNvPr id="53" name="CaixaDeTexto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 txBox="1"/>
      </xdr:nvSpPr>
      <xdr:spPr>
        <a:xfrm>
          <a:off x="4268533" y="5314950"/>
          <a:ext cx="95763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fld id="{39E24197-2BA8-4806-B89E-CB5E0E7FEDFD}" type="TxLink">
            <a:rPr lang="en-US" sz="2000" b="1" i="0" u="none" strike="noStrike">
              <a:solidFill>
                <a:schemeClr val="bg1">
                  <a:lumMod val="95000"/>
                </a:schemeClr>
              </a:solidFill>
              <a:latin typeface="Calibri"/>
              <a:cs typeface="Calibri"/>
            </a:rPr>
            <a:pPr algn="ctr"/>
            <a:t>89,23%</a:t>
          </a:fld>
          <a:endParaRPr lang="pt-BR" sz="4000" b="1">
            <a:solidFill>
              <a:schemeClr val="bg1">
                <a:lumMod val="95000"/>
              </a:schemeClr>
            </a:solidFill>
          </a:endParaRPr>
        </a:p>
      </xdr:txBody>
    </xdr:sp>
    <xdr:clientData/>
  </xdr:oneCellAnchor>
  <xdr:twoCellAnchor>
    <xdr:from>
      <xdr:col>16</xdr:col>
      <xdr:colOff>314325</xdr:colOff>
      <xdr:row>20</xdr:row>
      <xdr:rowOff>109537</xdr:rowOff>
    </xdr:from>
    <xdr:to>
      <xdr:col>21</xdr:col>
      <xdr:colOff>218325</xdr:colOff>
      <xdr:row>33</xdr:row>
      <xdr:rowOff>153037</xdr:rowOff>
    </xdr:to>
    <xdr:graphicFrame macro="">
      <xdr:nvGraphicFramePr>
        <xdr:cNvPr id="7174" name="Gráfico 12">
          <a:extLst>
            <a:ext uri="{FF2B5EF4-FFF2-40B4-BE49-F238E27FC236}">
              <a16:creationId xmlns:a16="http://schemas.microsoft.com/office/drawing/2014/main" id="{00000000-0008-0000-0300-0000061C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18</xdr:col>
      <xdr:colOff>92308</xdr:colOff>
      <xdr:row>27</xdr:row>
      <xdr:rowOff>9525</xdr:rowOff>
    </xdr:from>
    <xdr:ext cx="957634" cy="405432"/>
    <xdr:sp macro="" textlink="Auxiliar!Z41">
      <xdr:nvSpPr>
        <xdr:cNvPr id="57" name="CaixaDeTexto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/>
      </xdr:nvSpPr>
      <xdr:spPr>
        <a:xfrm>
          <a:off x="10484083" y="5314950"/>
          <a:ext cx="95763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fld id="{DC2D343A-AC76-42BA-8B45-B089A2FC5351}" type="TxLink">
            <a:rPr lang="en-US" sz="2000" b="1" i="0" u="none" strike="noStrike">
              <a:solidFill>
                <a:schemeClr val="bg1">
                  <a:lumMod val="95000"/>
                </a:schemeClr>
              </a:solidFill>
              <a:latin typeface="Calibri"/>
              <a:cs typeface="Calibri"/>
            </a:rPr>
            <a:pPr algn="ctr"/>
            <a:t>80,17%</a:t>
          </a:fld>
          <a:endParaRPr lang="pt-BR" sz="11500" b="1">
            <a:solidFill>
              <a:schemeClr val="bg1">
                <a:lumMod val="95000"/>
              </a:schemeClr>
            </a:solidFill>
          </a:endParaRPr>
        </a:p>
      </xdr:txBody>
    </xdr:sp>
    <xdr:clientData/>
  </xdr:oneCellAnchor>
  <xdr:twoCellAnchor>
    <xdr:from>
      <xdr:col>16</xdr:col>
      <xdr:colOff>314325</xdr:colOff>
      <xdr:row>6</xdr:row>
      <xdr:rowOff>128587</xdr:rowOff>
    </xdr:from>
    <xdr:to>
      <xdr:col>21</xdr:col>
      <xdr:colOff>218325</xdr:colOff>
      <xdr:row>19</xdr:row>
      <xdr:rowOff>172087</xdr:rowOff>
    </xdr:to>
    <xdr:graphicFrame macro="">
      <xdr:nvGraphicFramePr>
        <xdr:cNvPr id="13" name="Gráfico 8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114300</xdr:colOff>
      <xdr:row>6</xdr:row>
      <xdr:rowOff>147636</xdr:rowOff>
    </xdr:from>
    <xdr:to>
      <xdr:col>11</xdr:col>
      <xdr:colOff>171450</xdr:colOff>
      <xdr:row>20</xdr:row>
      <xdr:rowOff>636</xdr:rowOff>
    </xdr:to>
    <xdr:graphicFrame macro="">
      <xdr:nvGraphicFramePr>
        <xdr:cNvPr id="11" name="Gráfico 6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oneCellAnchor>
    <xdr:from>
      <xdr:col>13</xdr:col>
      <xdr:colOff>63733</xdr:colOff>
      <xdr:row>27</xdr:row>
      <xdr:rowOff>9525</xdr:rowOff>
    </xdr:from>
    <xdr:ext cx="957634" cy="405432"/>
    <xdr:sp macro="" textlink="Auxiliar!AB41">
      <xdr:nvSpPr>
        <xdr:cNvPr id="55" name="CaixaDeTexto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 txBox="1"/>
      </xdr:nvSpPr>
      <xdr:spPr>
        <a:xfrm>
          <a:off x="7407508" y="5276850"/>
          <a:ext cx="95763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fld id="{3C56184E-8D64-4DBD-8F3E-C054ED3400FE}" type="TxLink">
            <a:rPr lang="en-US" sz="2000" b="1" i="0" u="none" strike="noStrike">
              <a:solidFill>
                <a:schemeClr val="bg1">
                  <a:lumMod val="95000"/>
                </a:schemeClr>
              </a:solidFill>
              <a:latin typeface="Calibri"/>
              <a:cs typeface="Calibri"/>
            </a:rPr>
            <a:pPr algn="ctr"/>
            <a:t>96,22%</a:t>
          </a:fld>
          <a:endParaRPr lang="pt-BR" sz="6600" b="1">
            <a:solidFill>
              <a:schemeClr val="bg1">
                <a:lumMod val="95000"/>
              </a:schemeClr>
            </a:solidFill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6E323-E26E-4DBE-8FDC-D5D02E6C687E}" name="Dados" displayName="Dados" ref="A1:U299" totalsRowShown="0" headerRowDxfId="22" dataDxfId="21" dataCellStyle="Porcentagem">
  <autoFilter ref="A1:U299" xr:uid="{9CB9AB2B-16B9-46F7-886F-8278CD1FB07F}"/>
  <tableColumns count="21">
    <tableColumn id="1" xr3:uid="{1FE663C1-1E64-4827-A904-AC94748E264B}" name="Período" dataDxfId="20"/>
    <tableColumn id="16" xr3:uid="{05A26BD3-337E-454B-9BDC-592E96886356}" name="Setores" dataDxfId="19"/>
    <tableColumn id="2" xr3:uid="{8087354A-B44E-4249-9457-BC30294A8039}" name="Nome" dataDxfId="18"/>
    <tableColumn id="3" xr3:uid="{C8EAD03C-AA49-47AC-A912-2A948FD5A8BA}" name="Horas Disp." dataDxfId="17"/>
    <tableColumn id="4" xr3:uid="{3081EFA1-5969-47C0-A7D4-A8C0B16D01F0}" name="H. Ativas" dataDxfId="16">
      <calculatedColumnFormula>D2-F2</calculatedColumnFormula>
    </tableColumn>
    <tableColumn id="5" xr3:uid="{3D274423-DC87-407B-A2CD-D76C276967A4}" name="H. Inativas" dataDxfId="15"/>
    <tableColumn id="6" xr3:uid="{62F76029-2976-4FCA-8786-F439F9F0F762}" name="Vol. Padrão" dataDxfId="14"/>
    <tableColumn id="7" xr3:uid="{387A3C87-BB97-485B-AA8A-664A16AE9E40}" name="Vol. Líquido" dataDxfId="13"/>
    <tableColumn id="8" xr3:uid="{E1E1AFE7-B997-4359-91A7-9B22C86F0A41}" name="V. Refugo" dataDxfId="12"/>
    <tableColumn id="9" xr3:uid="{EE1AFA40-52BC-4524-BBDC-0EBA0F062F99}" name="Vol. Bruto" dataDxfId="11">
      <calculatedColumnFormula>SUM(H2:I2)</calculatedColumnFormula>
    </tableColumn>
    <tableColumn id="10" xr3:uid="{69C4FBE0-B139-4B82-93A9-AAC019BBB277}" name="Produtividade" dataDxfId="10" dataCellStyle="Porcentagem">
      <calculatedColumnFormula>(H2/G2)</calculatedColumnFormula>
    </tableColumn>
    <tableColumn id="11" xr3:uid="{4F2AE9E9-C528-4D4D-82E4-3F9663D7FFEF}" name="Eficiência" dataDxfId="9" dataCellStyle="Porcentagem">
      <calculatedColumnFormula>H2/(E2*55)</calculatedColumnFormula>
    </tableColumn>
    <tableColumn id="12" xr3:uid="{B019E750-5475-4163-B985-AFE303DE4976}" name="Qualidade" dataDxfId="8" dataCellStyle="Porcentagem">
      <calculatedColumnFormula>(H2/J2)</calculatedColumnFormula>
    </tableColumn>
    <tableColumn id="13" xr3:uid="{F602D031-6AD7-4EDC-A4FE-7FDD02560E34}" name="Refugo" dataDxfId="7" dataCellStyle="Porcentagem">
      <calculatedColumnFormula>I2/(H2+I2)</calculatedColumnFormula>
    </tableColumn>
    <tableColumn id="20" xr3:uid="{B07B5297-154F-446D-AC58-BA1F1187D9E8}" name="Meta Produção" dataDxfId="6" dataCellStyle="Porcentagem">
      <calculatedColumnFormula>Dados[[#This Row],[Vol. Padrão]]/Dados[[#This Row],[Horas Disp.]]</calculatedColumnFormula>
    </tableColumn>
    <tableColumn id="21" xr3:uid="{23AB8F2D-3527-4A4D-87B1-8987AE0ADEA1}" name="Meta Real" dataDxfId="5" dataCellStyle="Porcentagem">
      <calculatedColumnFormula array="1">SUM(Dados[[#This Row],[Vol. Líquido]:[V. Refugo]]/Dados[[#This Row],[H. Ativas]])</calculatedColumnFormula>
    </tableColumn>
    <tableColumn id="19" xr3:uid="{E4A2C990-0F64-4293-9935-F912C3A7D380}" name="Disponibilidade" dataDxfId="4" dataCellStyle="Porcentagem">
      <calculatedColumnFormula>Dados[[#This Row],[H. Ativas]]/Dados[[#This Row],[Horas Disp.]]</calculatedColumnFormula>
    </tableColumn>
    <tableColumn id="18" xr3:uid="{8AB517A3-90BC-4312-B01D-BB861DC8CF8D}" name="Desempenho" dataDxfId="3" dataCellStyle="Porcentagem">
      <calculatedColumnFormula>Dados[[#This Row],[Vol. Bruto]]/Dados[[#This Row],[Vol. Padrão]]</calculatedColumnFormula>
    </tableColumn>
    <tableColumn id="17" xr3:uid="{CE3E60A3-539C-401B-B511-875C9DEFFB90}" name="OEE" dataDxfId="2" dataCellStyle="Porcentagem">
      <calculatedColumnFormula>Dados[[#This Row],[Disponibilidade]]*Dados[[#This Row],[Desempenho]]*Dados[[#This Row],[Qualidade]]</calculatedColumnFormula>
    </tableColumn>
    <tableColumn id="14" xr3:uid="{FD856CAE-8670-4F5C-86E8-15D0868AFCEF}" name="Ano" dataDxfId="1" dataCellStyle="Porcentagem">
      <calculatedColumnFormula>YEAR(Dados[[#This Row],[Período]])</calculatedColumnFormula>
    </tableColumn>
    <tableColumn id="15" xr3:uid="{5A345A0D-9228-4367-A451-4439AA6DA84F}" name="Mês" dataDxfId="0" dataCellStyle="Porcentagem">
      <calculatedColumnFormula>MONTH(Dados[[#This Row],[Período]])</calculatedColumnFormula>
    </tableColumn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6901-01FC-4F24-BD08-1195C79EDF36}">
  <dimension ref="A1:U29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.5703125" style="1" bestFit="1" customWidth="1"/>
    <col min="2" max="2" width="12.28515625" style="1" bestFit="1" customWidth="1"/>
    <col min="3" max="3" width="15.42578125" style="1" bestFit="1" customWidth="1"/>
    <col min="4" max="4" width="13.28515625" style="1" bestFit="1" customWidth="1"/>
    <col min="5" max="5" width="14.7109375" style="1" bestFit="1" customWidth="1"/>
    <col min="6" max="6" width="15.7109375" style="1" bestFit="1" customWidth="1"/>
    <col min="7" max="7" width="16.140625" style="1" bestFit="1" customWidth="1"/>
    <col min="8" max="8" width="14.140625" style="1" bestFit="1" customWidth="1"/>
    <col min="9" max="9" width="14.42578125" style="1" bestFit="1" customWidth="1"/>
    <col min="10" max="10" width="18.28515625" style="1" bestFit="1" customWidth="1"/>
    <col min="11" max="11" width="14" style="1" bestFit="1" customWidth="1"/>
    <col min="12" max="12" width="14.7109375" style="1" bestFit="1" customWidth="1"/>
    <col min="13" max="13" width="11.85546875" style="1" bestFit="1" customWidth="1"/>
    <col min="14" max="14" width="9.140625" style="1" bestFit="1" customWidth="1"/>
    <col min="15" max="15" width="14.5703125" style="30" customWidth="1"/>
    <col min="16" max="16" width="12.42578125" style="30" customWidth="1"/>
    <col min="17" max="17" width="19.7109375" style="1" bestFit="1" customWidth="1"/>
    <col min="18" max="18" width="17.42578125" style="1" bestFit="1" customWidth="1"/>
    <col min="19" max="19" width="9.140625" style="1" customWidth="1"/>
    <col min="20" max="20" width="9.42578125" style="1" bestFit="1" customWidth="1"/>
    <col min="21" max="16384" width="9.140625" style="1"/>
  </cols>
  <sheetData>
    <row r="1" spans="1:21" s="2" customFormat="1" ht="15" customHeight="1" x14ac:dyDescent="0.25">
      <c r="A1" s="3" t="s">
        <v>0</v>
      </c>
      <c r="B1" s="3" t="s">
        <v>25</v>
      </c>
      <c r="C1" s="3" t="s">
        <v>1</v>
      </c>
      <c r="D1" s="3" t="s">
        <v>3</v>
      </c>
      <c r="E1" s="3" t="s">
        <v>7</v>
      </c>
      <c r="F1" s="3" t="s">
        <v>8</v>
      </c>
      <c r="G1" s="3" t="s">
        <v>4</v>
      </c>
      <c r="H1" s="3" t="s">
        <v>5</v>
      </c>
      <c r="I1" s="3" t="s">
        <v>12</v>
      </c>
      <c r="J1" s="3" t="s">
        <v>6</v>
      </c>
      <c r="K1" s="3" t="s">
        <v>9</v>
      </c>
      <c r="L1" s="3" t="s">
        <v>10</v>
      </c>
      <c r="M1" s="3" t="s">
        <v>11</v>
      </c>
      <c r="N1" s="3" t="s">
        <v>2</v>
      </c>
      <c r="O1" s="28" t="s">
        <v>130</v>
      </c>
      <c r="P1" s="28" t="s">
        <v>131</v>
      </c>
      <c r="Q1" s="3" t="s">
        <v>125</v>
      </c>
      <c r="R1" s="3" t="s">
        <v>126</v>
      </c>
      <c r="S1" s="3" t="s">
        <v>127</v>
      </c>
      <c r="T1" s="13" t="s">
        <v>23</v>
      </c>
      <c r="U1" s="13" t="s">
        <v>24</v>
      </c>
    </row>
    <row r="2" spans="1:21" x14ac:dyDescent="0.25">
      <c r="A2" s="4">
        <v>43101</v>
      </c>
      <c r="B2" s="4" t="s">
        <v>26</v>
      </c>
      <c r="C2" s="5" t="s">
        <v>21</v>
      </c>
      <c r="D2" s="6">
        <v>8</v>
      </c>
      <c r="E2" s="6">
        <f>D2-F2</f>
        <v>7.67</v>
      </c>
      <c r="F2" s="6">
        <v>0.33</v>
      </c>
      <c r="G2" s="7">
        <v>440</v>
      </c>
      <c r="H2" s="7">
        <v>356.50700000000001</v>
      </c>
      <c r="I2" s="7">
        <v>13.754</v>
      </c>
      <c r="J2" s="7">
        <f>SUM(H2:I2)</f>
        <v>370.26100000000002</v>
      </c>
      <c r="K2" s="8">
        <f t="shared" ref="K2:K11" si="0">(H2/G2)</f>
        <v>0.81024318181818178</v>
      </c>
      <c r="L2" s="8">
        <f t="shared" ref="L2:L55" si="1">H2/(E2*55)</f>
        <v>0.84510370984947247</v>
      </c>
      <c r="M2" s="8">
        <f t="shared" ref="M2:M11" si="2">(H2/J2)</f>
        <v>0.96285323055898397</v>
      </c>
      <c r="N2" s="8">
        <f t="shared" ref="N2:N11" si="3">I2/(H2+I2)</f>
        <v>3.7146769441015928E-2</v>
      </c>
      <c r="O2" s="29">
        <f>Dados[[#This Row],[Vol. Padrão]]/Dados[[#This Row],[Horas Disp.]]</f>
        <v>55</v>
      </c>
      <c r="P2" s="31" cm="1">
        <f t="array" ref="P2">SUM(Dados[[#This Row],[Vol. Líquido]:[V. Refugo]]/Dados[[#This Row],[H. Ativas]])</f>
        <v>48.273924380704038</v>
      </c>
      <c r="Q2" s="8">
        <f>Dados[[#This Row],[H. Ativas]]/Dados[[#This Row],[Horas Disp.]]</f>
        <v>0.95874999999999999</v>
      </c>
      <c r="R2" s="8">
        <f>Dados[[#This Row],[Vol. Bruto]]/Dados[[#This Row],[Vol. Padrão]]</f>
        <v>0.84150227272727274</v>
      </c>
      <c r="S2" s="8">
        <f>Dados[[#This Row],[Disponibilidade]]*Dados[[#This Row],[Desempenho]]*Dados[[#This Row],[Qualidade]]</f>
        <v>0.77682065056818173</v>
      </c>
      <c r="T2" s="14">
        <f>YEAR(Dados[[#This Row],[Período]])</f>
        <v>2018</v>
      </c>
      <c r="U2" s="14">
        <f>MONTH(Dados[[#This Row],[Período]])</f>
        <v>1</v>
      </c>
    </row>
    <row r="3" spans="1:21" x14ac:dyDescent="0.25">
      <c r="A3" s="4">
        <v>43102</v>
      </c>
      <c r="B3" s="4" t="s">
        <v>27</v>
      </c>
      <c r="C3" s="5" t="s">
        <v>17</v>
      </c>
      <c r="D3" s="6">
        <v>8</v>
      </c>
      <c r="E3" s="6">
        <f t="shared" ref="E3:E11" si="4">D3-F3</f>
        <v>7.5</v>
      </c>
      <c r="F3" s="6">
        <v>0.5</v>
      </c>
      <c r="G3" s="7">
        <v>440</v>
      </c>
      <c r="H3" s="7">
        <v>327.49200000000002</v>
      </c>
      <c r="I3" s="7">
        <v>17.911999999999999</v>
      </c>
      <c r="J3" s="7">
        <f t="shared" ref="J3:J11" si="5">SUM(H3:I3)</f>
        <v>345.404</v>
      </c>
      <c r="K3" s="8">
        <f t="shared" si="0"/>
        <v>0.74430000000000007</v>
      </c>
      <c r="L3" s="8">
        <f t="shared" si="1"/>
        <v>0.79392000000000007</v>
      </c>
      <c r="M3" s="8">
        <f t="shared" si="2"/>
        <v>0.9481418860233235</v>
      </c>
      <c r="N3" s="8">
        <f t="shared" si="3"/>
        <v>5.1858113976676584E-2</v>
      </c>
      <c r="O3" s="29">
        <f>Dados[[#This Row],[Vol. Padrão]]/Dados[[#This Row],[Horas Disp.]]</f>
        <v>55</v>
      </c>
      <c r="P3" s="31" cm="1">
        <f t="array" ref="P3">SUM(Dados[[#This Row],[Vol. Líquido]:[V. Refugo]]/Dados[[#This Row],[H. Ativas]])</f>
        <v>46.053866666666671</v>
      </c>
      <c r="Q3" s="8">
        <f>Dados[[#This Row],[H. Ativas]]/Dados[[#This Row],[Horas Disp.]]</f>
        <v>0.9375</v>
      </c>
      <c r="R3" s="8">
        <f>Dados[[#This Row],[Vol. Bruto]]/Dados[[#This Row],[Vol. Padrão]]</f>
        <v>0.78500909090909088</v>
      </c>
      <c r="S3" s="8">
        <f>Dados[[#This Row],[Disponibilidade]]*Dados[[#This Row],[Desempenho]]*Dados[[#This Row],[Qualidade]]</f>
        <v>0.69778125000000002</v>
      </c>
      <c r="T3" s="14">
        <f>YEAR(Dados[[#This Row],[Período]])</f>
        <v>2018</v>
      </c>
      <c r="U3" s="14">
        <f>MONTH(Dados[[#This Row],[Período]])</f>
        <v>1</v>
      </c>
    </row>
    <row r="4" spans="1:21" x14ac:dyDescent="0.25">
      <c r="A4" s="4">
        <v>43103</v>
      </c>
      <c r="B4" s="4" t="s">
        <v>28</v>
      </c>
      <c r="C4" s="5" t="s">
        <v>15</v>
      </c>
      <c r="D4" s="6">
        <v>8</v>
      </c>
      <c r="E4" s="6">
        <f t="shared" si="4"/>
        <v>7.58</v>
      </c>
      <c r="F4" s="6">
        <v>0.42</v>
      </c>
      <c r="G4" s="7">
        <v>440</v>
      </c>
      <c r="H4" s="7">
        <v>277.81599999999997</v>
      </c>
      <c r="I4" s="7">
        <v>21.375</v>
      </c>
      <c r="J4" s="7">
        <f t="shared" si="5"/>
        <v>299.19099999999997</v>
      </c>
      <c r="K4" s="8">
        <f t="shared" si="0"/>
        <v>0.63139999999999996</v>
      </c>
      <c r="L4" s="8">
        <f t="shared" si="1"/>
        <v>0.66638522427440627</v>
      </c>
      <c r="M4" s="8">
        <f t="shared" si="2"/>
        <v>0.92855734296820425</v>
      </c>
      <c r="N4" s="8">
        <f t="shared" si="3"/>
        <v>7.1442657031795753E-2</v>
      </c>
      <c r="O4" s="29">
        <f>Dados[[#This Row],[Vol. Padrão]]/Dados[[#This Row],[Horas Disp.]]</f>
        <v>55</v>
      </c>
      <c r="P4" s="31" cm="1">
        <f t="array" ref="P4">SUM(Dados[[#This Row],[Vol. Líquido]:[V. Refugo]]/Dados[[#This Row],[H. Ativas]])</f>
        <v>39.471108179419524</v>
      </c>
      <c r="Q4" s="8">
        <f>Dados[[#This Row],[H. Ativas]]/Dados[[#This Row],[Horas Disp.]]</f>
        <v>0.94750000000000001</v>
      </c>
      <c r="R4" s="8">
        <f>Dados[[#This Row],[Vol. Bruto]]/Dados[[#This Row],[Vol. Padrão]]</f>
        <v>0.67997954545454542</v>
      </c>
      <c r="S4" s="8">
        <f>Dados[[#This Row],[Disponibilidade]]*Dados[[#This Row],[Desempenho]]*Dados[[#This Row],[Qualidade]]</f>
        <v>0.59825149999999994</v>
      </c>
      <c r="T4" s="14">
        <f>YEAR(Dados[[#This Row],[Período]])</f>
        <v>2018</v>
      </c>
      <c r="U4" s="14">
        <f>MONTH(Dados[[#This Row],[Período]])</f>
        <v>1</v>
      </c>
    </row>
    <row r="5" spans="1:21" x14ac:dyDescent="0.25">
      <c r="A5" s="4">
        <v>43104</v>
      </c>
      <c r="B5" s="4" t="s">
        <v>29</v>
      </c>
      <c r="C5" s="5" t="s">
        <v>19</v>
      </c>
      <c r="D5" s="6">
        <v>8</v>
      </c>
      <c r="E5" s="6">
        <f t="shared" si="4"/>
        <v>7.75</v>
      </c>
      <c r="F5" s="6">
        <v>0.25</v>
      </c>
      <c r="G5" s="7">
        <v>440</v>
      </c>
      <c r="H5" s="7">
        <v>404.11500000000001</v>
      </c>
      <c r="I5" s="7">
        <v>25.518999999999998</v>
      </c>
      <c r="J5" s="7">
        <f t="shared" si="5"/>
        <v>429.63400000000001</v>
      </c>
      <c r="K5" s="8">
        <f t="shared" si="0"/>
        <v>0.91844318181818185</v>
      </c>
      <c r="L5" s="8">
        <f t="shared" si="1"/>
        <v>0.94807038123167153</v>
      </c>
      <c r="M5" s="8">
        <f t="shared" si="2"/>
        <v>0.94060293179776278</v>
      </c>
      <c r="N5" s="8">
        <f t="shared" si="3"/>
        <v>5.9397068202237245E-2</v>
      </c>
      <c r="O5" s="29">
        <f>Dados[[#This Row],[Vol. Padrão]]/Dados[[#This Row],[Horas Disp.]]</f>
        <v>55</v>
      </c>
      <c r="P5" s="31" cm="1">
        <f t="array" ref="P5">SUM(Dados[[#This Row],[Vol. Líquido]:[V. Refugo]]/Dados[[#This Row],[H. Ativas]])</f>
        <v>55.436645161290329</v>
      </c>
      <c r="Q5" s="8">
        <f>Dados[[#This Row],[H. Ativas]]/Dados[[#This Row],[Horas Disp.]]</f>
        <v>0.96875</v>
      </c>
      <c r="R5" s="8">
        <f>Dados[[#This Row],[Vol. Bruto]]/Dados[[#This Row],[Vol. Padrão]]</f>
        <v>0.97644090909090908</v>
      </c>
      <c r="S5" s="8">
        <f>Dados[[#This Row],[Disponibilidade]]*Dados[[#This Row],[Desempenho]]*Dados[[#This Row],[Qualidade]]</f>
        <v>0.88974183238636373</v>
      </c>
      <c r="T5" s="14">
        <f>YEAR(Dados[[#This Row],[Período]])</f>
        <v>2018</v>
      </c>
      <c r="U5" s="14">
        <f>MONTH(Dados[[#This Row],[Período]])</f>
        <v>1</v>
      </c>
    </row>
    <row r="6" spans="1:21" x14ac:dyDescent="0.25">
      <c r="A6" s="4">
        <v>43105</v>
      </c>
      <c r="B6" s="4" t="s">
        <v>30</v>
      </c>
      <c r="C6" s="5" t="s">
        <v>18</v>
      </c>
      <c r="D6" s="6">
        <v>8</v>
      </c>
      <c r="E6" s="6">
        <f t="shared" si="4"/>
        <v>7.17</v>
      </c>
      <c r="F6" s="6">
        <v>0.83</v>
      </c>
      <c r="G6" s="7">
        <v>440</v>
      </c>
      <c r="H6" s="7">
        <v>271.11500000000001</v>
      </c>
      <c r="I6" s="7">
        <v>11.598000000000001</v>
      </c>
      <c r="J6" s="7">
        <f t="shared" si="5"/>
        <v>282.71300000000002</v>
      </c>
      <c r="K6" s="8">
        <f t="shared" si="0"/>
        <v>0.6161704545454546</v>
      </c>
      <c r="L6" s="8">
        <f t="shared" si="1"/>
        <v>0.68749841511347787</v>
      </c>
      <c r="M6" s="8">
        <f t="shared" si="2"/>
        <v>0.95897606406497049</v>
      </c>
      <c r="N6" s="8">
        <f t="shared" si="3"/>
        <v>4.1023935935029517E-2</v>
      </c>
      <c r="O6" s="29">
        <f>Dados[[#This Row],[Vol. Padrão]]/Dados[[#This Row],[Horas Disp.]]</f>
        <v>55</v>
      </c>
      <c r="P6" s="31" cm="1">
        <f t="array" ref="P6">SUM(Dados[[#This Row],[Vol. Líquido]:[V. Refugo]]/Dados[[#This Row],[H. Ativas]])</f>
        <v>39.429986052998608</v>
      </c>
      <c r="Q6" s="8">
        <f>Dados[[#This Row],[H. Ativas]]/Dados[[#This Row],[Horas Disp.]]</f>
        <v>0.89624999999999999</v>
      </c>
      <c r="R6" s="8">
        <f>Dados[[#This Row],[Vol. Bruto]]/Dados[[#This Row],[Vol. Padrão]]</f>
        <v>0.64252954545454555</v>
      </c>
      <c r="S6" s="8">
        <f>Dados[[#This Row],[Disponibilidade]]*Dados[[#This Row],[Desempenho]]*Dados[[#This Row],[Qualidade]]</f>
        <v>0.55224276988636378</v>
      </c>
      <c r="T6" s="14">
        <f>YEAR(Dados[[#This Row],[Período]])</f>
        <v>2018</v>
      </c>
      <c r="U6" s="14">
        <f>MONTH(Dados[[#This Row],[Período]])</f>
        <v>1</v>
      </c>
    </row>
    <row r="7" spans="1:21" x14ac:dyDescent="0.25">
      <c r="A7" s="4">
        <v>43106</v>
      </c>
      <c r="B7" s="4" t="s">
        <v>28</v>
      </c>
      <c r="C7" s="5" t="s">
        <v>13</v>
      </c>
      <c r="D7" s="6">
        <v>8</v>
      </c>
      <c r="E7" s="6">
        <f t="shared" si="4"/>
        <v>7.33</v>
      </c>
      <c r="F7" s="6">
        <v>0.67</v>
      </c>
      <c r="G7" s="7">
        <v>440</v>
      </c>
      <c r="H7" s="7">
        <v>370.79</v>
      </c>
      <c r="I7" s="7">
        <v>48.180999999999997</v>
      </c>
      <c r="J7" s="7">
        <f t="shared" si="5"/>
        <v>418.971</v>
      </c>
      <c r="K7" s="8">
        <f t="shared" si="0"/>
        <v>0.84270454545454554</v>
      </c>
      <c r="L7" s="8">
        <f t="shared" si="1"/>
        <v>0.91973210963661178</v>
      </c>
      <c r="M7" s="8">
        <f t="shared" si="2"/>
        <v>0.88500158722202737</v>
      </c>
      <c r="N7" s="8">
        <f t="shared" si="3"/>
        <v>0.11499841277797269</v>
      </c>
      <c r="O7" s="29">
        <f>Dados[[#This Row],[Vol. Padrão]]/Dados[[#This Row],[Horas Disp.]]</f>
        <v>55</v>
      </c>
      <c r="P7" s="31" cm="1">
        <f t="array" ref="P7">SUM(Dados[[#This Row],[Vol. Líquido]:[V. Refugo]]/Dados[[#This Row],[H. Ativas]])</f>
        <v>57.15839017735334</v>
      </c>
      <c r="Q7" s="8">
        <f>Dados[[#This Row],[H. Ativas]]/Dados[[#This Row],[Horas Disp.]]</f>
        <v>0.91625000000000001</v>
      </c>
      <c r="R7" s="8">
        <f>Dados[[#This Row],[Vol. Bruto]]/Dados[[#This Row],[Vol. Padrão]]</f>
        <v>0.95220681818181818</v>
      </c>
      <c r="S7" s="8">
        <f>Dados[[#This Row],[Disponibilidade]]*Dados[[#This Row],[Desempenho]]*Dados[[#This Row],[Qualidade]]</f>
        <v>0.77212803977272726</v>
      </c>
      <c r="T7" s="14">
        <f>YEAR(Dados[[#This Row],[Período]])</f>
        <v>2018</v>
      </c>
      <c r="U7" s="14">
        <f>MONTH(Dados[[#This Row],[Período]])</f>
        <v>1</v>
      </c>
    </row>
    <row r="8" spans="1:21" x14ac:dyDescent="0.25">
      <c r="A8" s="4">
        <v>43107</v>
      </c>
      <c r="B8" s="4" t="s">
        <v>27</v>
      </c>
      <c r="C8" s="5" t="s">
        <v>20</v>
      </c>
      <c r="D8" s="6">
        <v>8</v>
      </c>
      <c r="E8" s="6">
        <f t="shared" si="4"/>
        <v>6.67</v>
      </c>
      <c r="F8" s="6">
        <v>1.33</v>
      </c>
      <c r="G8" s="7">
        <v>440</v>
      </c>
      <c r="H8" s="7">
        <v>260.08300000000003</v>
      </c>
      <c r="I8" s="7">
        <v>15.323</v>
      </c>
      <c r="J8" s="7">
        <f t="shared" si="5"/>
        <v>275.40600000000001</v>
      </c>
      <c r="K8" s="8">
        <f t="shared" si="0"/>
        <v>0.59109772727272736</v>
      </c>
      <c r="L8" s="8">
        <f t="shared" si="1"/>
        <v>0.708962791331607</v>
      </c>
      <c r="M8" s="8">
        <f t="shared" si="2"/>
        <v>0.94436214171078348</v>
      </c>
      <c r="N8" s="8">
        <f t="shared" si="3"/>
        <v>5.5637858289216649E-2</v>
      </c>
      <c r="O8" s="29">
        <f>Dados[[#This Row],[Vol. Padrão]]/Dados[[#This Row],[Horas Disp.]]</f>
        <v>55</v>
      </c>
      <c r="P8" s="31" cm="1">
        <f t="array" ref="P8">SUM(Dados[[#This Row],[Vol. Líquido]:[V. Refugo]]/Dados[[#This Row],[H. Ativas]])</f>
        <v>41.290254872563722</v>
      </c>
      <c r="Q8" s="8">
        <f>Dados[[#This Row],[H. Ativas]]/Dados[[#This Row],[Horas Disp.]]</f>
        <v>0.83374999999999999</v>
      </c>
      <c r="R8" s="8">
        <f>Dados[[#This Row],[Vol. Bruto]]/Dados[[#This Row],[Vol. Padrão]]</f>
        <v>0.62592272727272724</v>
      </c>
      <c r="S8" s="8">
        <f>Dados[[#This Row],[Disponibilidade]]*Dados[[#This Row],[Desempenho]]*Dados[[#This Row],[Qualidade]]</f>
        <v>0.49282773011363634</v>
      </c>
      <c r="T8" s="14">
        <f>YEAR(Dados[[#This Row],[Período]])</f>
        <v>2018</v>
      </c>
      <c r="U8" s="14">
        <f>MONTH(Dados[[#This Row],[Período]])</f>
        <v>1</v>
      </c>
    </row>
    <row r="9" spans="1:21" x14ac:dyDescent="0.25">
      <c r="A9" s="4">
        <v>43108</v>
      </c>
      <c r="B9" s="4" t="s">
        <v>26</v>
      </c>
      <c r="C9" s="5" t="s">
        <v>22</v>
      </c>
      <c r="D9" s="6">
        <v>8</v>
      </c>
      <c r="E9" s="6">
        <f t="shared" si="4"/>
        <v>7.3</v>
      </c>
      <c r="F9" s="6">
        <v>0.7</v>
      </c>
      <c r="G9" s="7">
        <v>440</v>
      </c>
      <c r="H9" s="7">
        <v>373.40499999999997</v>
      </c>
      <c r="I9" s="7">
        <v>21.545000000000002</v>
      </c>
      <c r="J9" s="7">
        <f t="shared" si="5"/>
        <v>394.95</v>
      </c>
      <c r="K9" s="8">
        <f t="shared" si="0"/>
        <v>0.84864772727272719</v>
      </c>
      <c r="L9" s="8">
        <f t="shared" si="1"/>
        <v>0.93002490660024895</v>
      </c>
      <c r="M9" s="8">
        <f t="shared" si="2"/>
        <v>0.94544879098620072</v>
      </c>
      <c r="N9" s="8">
        <f t="shared" si="3"/>
        <v>5.4551209013799222E-2</v>
      </c>
      <c r="O9" s="29">
        <f>Dados[[#This Row],[Vol. Padrão]]/Dados[[#This Row],[Horas Disp.]]</f>
        <v>55</v>
      </c>
      <c r="P9" s="31" cm="1">
        <f t="array" ref="P9">SUM(Dados[[#This Row],[Vol. Líquido]:[V. Refugo]]/Dados[[#This Row],[H. Ativas]])</f>
        <v>54.102739726027394</v>
      </c>
      <c r="Q9" s="8">
        <f>Dados[[#This Row],[H. Ativas]]/Dados[[#This Row],[Horas Disp.]]</f>
        <v>0.91249999999999998</v>
      </c>
      <c r="R9" s="8">
        <f>Dados[[#This Row],[Vol. Bruto]]/Dados[[#This Row],[Vol. Padrão]]</f>
        <v>0.89761363636363634</v>
      </c>
      <c r="S9" s="8">
        <f>Dados[[#This Row],[Disponibilidade]]*Dados[[#This Row],[Desempenho]]*Dados[[#This Row],[Qualidade]]</f>
        <v>0.77439105113636353</v>
      </c>
      <c r="T9" s="14">
        <f>YEAR(Dados[[#This Row],[Período]])</f>
        <v>2018</v>
      </c>
      <c r="U9" s="14">
        <f>MONTH(Dados[[#This Row],[Período]])</f>
        <v>1</v>
      </c>
    </row>
    <row r="10" spans="1:21" x14ac:dyDescent="0.25">
      <c r="A10" s="4">
        <v>43109</v>
      </c>
      <c r="B10" s="4" t="s">
        <v>29</v>
      </c>
      <c r="C10" s="5" t="s">
        <v>14</v>
      </c>
      <c r="D10" s="6">
        <v>8</v>
      </c>
      <c r="E10" s="6">
        <f t="shared" si="4"/>
        <v>7.67</v>
      </c>
      <c r="F10" s="6">
        <v>0.33</v>
      </c>
      <c r="G10" s="7">
        <v>440</v>
      </c>
      <c r="H10" s="7">
        <v>400.99299999999999</v>
      </c>
      <c r="I10" s="7">
        <v>24.734999999999999</v>
      </c>
      <c r="J10" s="7">
        <f t="shared" si="5"/>
        <v>425.72800000000001</v>
      </c>
      <c r="K10" s="8">
        <f t="shared" si="0"/>
        <v>0.91134772727272728</v>
      </c>
      <c r="L10" s="8">
        <f t="shared" si="1"/>
        <v>0.95055825530401794</v>
      </c>
      <c r="M10" s="8">
        <f t="shared" si="2"/>
        <v>0.94189952269993982</v>
      </c>
      <c r="N10" s="8">
        <f t="shared" si="3"/>
        <v>5.8100477300060127E-2</v>
      </c>
      <c r="O10" s="29">
        <f>Dados[[#This Row],[Vol. Padrão]]/Dados[[#This Row],[Horas Disp.]]</f>
        <v>55</v>
      </c>
      <c r="P10" s="31" cm="1">
        <f t="array" ref="P10">SUM(Dados[[#This Row],[Vol. Líquido]:[V. Refugo]]/Dados[[#This Row],[H. Ativas]])</f>
        <v>55.505606258148624</v>
      </c>
      <c r="Q10" s="8">
        <f>Dados[[#This Row],[H. Ativas]]/Dados[[#This Row],[Horas Disp.]]</f>
        <v>0.95874999999999999</v>
      </c>
      <c r="R10" s="8">
        <f>Dados[[#This Row],[Vol. Bruto]]/Dados[[#This Row],[Vol. Padrão]]</f>
        <v>0.9675636363636364</v>
      </c>
      <c r="S10" s="8">
        <f>Dados[[#This Row],[Disponibilidade]]*Dados[[#This Row],[Desempenho]]*Dados[[#This Row],[Qualidade]]</f>
        <v>0.8737546335227272</v>
      </c>
      <c r="T10" s="14">
        <f>YEAR(Dados[[#This Row],[Período]])</f>
        <v>2018</v>
      </c>
      <c r="U10" s="14">
        <f>MONTH(Dados[[#This Row],[Período]])</f>
        <v>1</v>
      </c>
    </row>
    <row r="11" spans="1:21" x14ac:dyDescent="0.25">
      <c r="A11" s="4">
        <v>43110</v>
      </c>
      <c r="B11" s="4" t="s">
        <v>30</v>
      </c>
      <c r="C11" s="5" t="s">
        <v>16</v>
      </c>
      <c r="D11" s="6">
        <v>8</v>
      </c>
      <c r="E11" s="6">
        <f t="shared" si="4"/>
        <v>7.42</v>
      </c>
      <c r="F11" s="6">
        <v>0.57999999999999996</v>
      </c>
      <c r="G11" s="7">
        <v>440</v>
      </c>
      <c r="H11" s="7">
        <v>355.322</v>
      </c>
      <c r="I11" s="7">
        <v>30.087</v>
      </c>
      <c r="J11" s="7">
        <f t="shared" si="5"/>
        <v>385.40899999999999</v>
      </c>
      <c r="K11" s="8">
        <f t="shared" si="0"/>
        <v>0.80754999999999999</v>
      </c>
      <c r="L11" s="8">
        <f t="shared" si="1"/>
        <v>0.87067385444743928</v>
      </c>
      <c r="M11" s="8">
        <f t="shared" si="2"/>
        <v>0.92193487956949638</v>
      </c>
      <c r="N11" s="8">
        <f t="shared" si="3"/>
        <v>7.8065120430503704E-2</v>
      </c>
      <c r="O11" s="29">
        <f>Dados[[#This Row],[Vol. Padrão]]/Dados[[#This Row],[Horas Disp.]]</f>
        <v>55</v>
      </c>
      <c r="P11" s="31" cm="1">
        <f t="array" ref="P11">SUM(Dados[[#This Row],[Vol. Líquido]:[V. Refugo]]/Dados[[#This Row],[H. Ativas]])</f>
        <v>51.941913746630725</v>
      </c>
      <c r="Q11" s="8">
        <f>Dados[[#This Row],[H. Ativas]]/Dados[[#This Row],[Horas Disp.]]</f>
        <v>0.92749999999999999</v>
      </c>
      <c r="R11" s="8">
        <f>Dados[[#This Row],[Vol. Bruto]]/Dados[[#This Row],[Vol. Padrão]]</f>
        <v>0.87592954545454549</v>
      </c>
      <c r="S11" s="8">
        <f>Dados[[#This Row],[Disponibilidade]]*Dados[[#This Row],[Desempenho]]*Dados[[#This Row],[Qualidade]]</f>
        <v>0.74900262500000014</v>
      </c>
      <c r="T11" s="14">
        <f>YEAR(Dados[[#This Row],[Período]])</f>
        <v>2018</v>
      </c>
      <c r="U11" s="14">
        <f>MONTH(Dados[[#This Row],[Período]])</f>
        <v>1</v>
      </c>
    </row>
    <row r="12" spans="1:21" x14ac:dyDescent="0.25">
      <c r="A12" s="4">
        <v>43111</v>
      </c>
      <c r="B12" s="4" t="s">
        <v>26</v>
      </c>
      <c r="C12" s="5" t="s">
        <v>21</v>
      </c>
      <c r="D12" s="6">
        <v>8</v>
      </c>
      <c r="E12" s="6">
        <f t="shared" ref="E12:E24" si="6">D12-F12</f>
        <v>7.68</v>
      </c>
      <c r="F12" s="6">
        <v>0.32</v>
      </c>
      <c r="G12" s="7">
        <v>440</v>
      </c>
      <c r="H12" s="7">
        <v>356.47800000000001</v>
      </c>
      <c r="I12" s="7">
        <v>15.754</v>
      </c>
      <c r="J12" s="7">
        <f t="shared" ref="J12:J24" si="7">SUM(H12:I12)</f>
        <v>372.23200000000003</v>
      </c>
      <c r="K12" s="8">
        <f t="shared" ref="K12:K24" si="8">(H12/G12)</f>
        <v>0.8101772727272728</v>
      </c>
      <c r="L12" s="8">
        <f t="shared" ref="L12:L24" si="9">H12/(E12*55)</f>
        <v>0.84393465909090915</v>
      </c>
      <c r="M12" s="8">
        <f t="shared" ref="M12:M24" si="10">(H12/J12)</f>
        <v>0.95767693266564935</v>
      </c>
      <c r="N12" s="8">
        <f t="shared" ref="N12:N24" si="11">I12/(H12+I12)</f>
        <v>4.2323067334350616E-2</v>
      </c>
      <c r="O12" s="29">
        <f>Dados[[#This Row],[Vol. Padrão]]/Dados[[#This Row],[Horas Disp.]]</f>
        <v>55</v>
      </c>
      <c r="P12" s="31" cm="1">
        <f t="array" ref="P12">SUM(Dados[[#This Row],[Vol. Líquido]:[V. Refugo]]/Dados[[#This Row],[H. Ativas]])</f>
        <v>48.467708333333334</v>
      </c>
      <c r="Q12" s="8">
        <f>Dados[[#This Row],[H. Ativas]]/Dados[[#This Row],[Horas Disp.]]</f>
        <v>0.96</v>
      </c>
      <c r="R12" s="8">
        <f>Dados[[#This Row],[Vol. Bruto]]/Dados[[#This Row],[Vol. Padrão]]</f>
        <v>0.84598181818181828</v>
      </c>
      <c r="S12" s="8">
        <f>Dados[[#This Row],[Disponibilidade]]*Dados[[#This Row],[Desempenho]]*Dados[[#This Row],[Qualidade]]</f>
        <v>0.77777018181818192</v>
      </c>
      <c r="T12" s="14">
        <f>YEAR(Dados[[#This Row],[Período]])</f>
        <v>2018</v>
      </c>
      <c r="U12" s="14">
        <f>MONTH(Dados[[#This Row],[Período]])</f>
        <v>1</v>
      </c>
    </row>
    <row r="13" spans="1:21" x14ac:dyDescent="0.25">
      <c r="A13" s="4">
        <v>43112</v>
      </c>
      <c r="B13" s="4" t="s">
        <v>28</v>
      </c>
      <c r="C13" s="5" t="s">
        <v>15</v>
      </c>
      <c r="D13" s="6">
        <v>8</v>
      </c>
      <c r="E13" s="6">
        <f t="shared" si="6"/>
        <v>7.75</v>
      </c>
      <c r="F13" s="6">
        <v>0.25</v>
      </c>
      <c r="G13" s="7">
        <v>440</v>
      </c>
      <c r="H13" s="7">
        <v>317.12400000000002</v>
      </c>
      <c r="I13" s="7">
        <v>12.912000000000001</v>
      </c>
      <c r="J13" s="7">
        <f t="shared" si="7"/>
        <v>330.036</v>
      </c>
      <c r="K13" s="8">
        <f t="shared" si="8"/>
        <v>0.72073636363636373</v>
      </c>
      <c r="L13" s="8">
        <f t="shared" si="9"/>
        <v>0.74398592375366579</v>
      </c>
      <c r="M13" s="8">
        <f t="shared" si="10"/>
        <v>0.9608769952368833</v>
      </c>
      <c r="N13" s="8">
        <f t="shared" si="11"/>
        <v>3.9123004763116753E-2</v>
      </c>
      <c r="O13" s="29">
        <f>Dados[[#This Row],[Vol. Padrão]]/Dados[[#This Row],[Horas Disp.]]</f>
        <v>55</v>
      </c>
      <c r="P13" s="31" cm="1">
        <f t="array" ref="P13">SUM(Dados[[#This Row],[Vol. Líquido]:[V. Refugo]]/Dados[[#This Row],[H. Ativas]])</f>
        <v>42.585290322580647</v>
      </c>
      <c r="Q13" s="8">
        <f>Dados[[#This Row],[H. Ativas]]/Dados[[#This Row],[Horas Disp.]]</f>
        <v>0.96875</v>
      </c>
      <c r="R13" s="8">
        <f>Dados[[#This Row],[Vol. Bruto]]/Dados[[#This Row],[Vol. Padrão]]</f>
        <v>0.75008181818181818</v>
      </c>
      <c r="S13" s="8">
        <f>Dados[[#This Row],[Disponibilidade]]*Dados[[#This Row],[Desempenho]]*Dados[[#This Row],[Qualidade]]</f>
        <v>0.69821335227272729</v>
      </c>
      <c r="T13" s="14">
        <f>YEAR(Dados[[#This Row],[Período]])</f>
        <v>2018</v>
      </c>
      <c r="U13" s="14">
        <f>MONTH(Dados[[#This Row],[Período]])</f>
        <v>1</v>
      </c>
    </row>
    <row r="14" spans="1:21" x14ac:dyDescent="0.25">
      <c r="A14" s="4">
        <v>43113</v>
      </c>
      <c r="B14" s="4" t="s">
        <v>27</v>
      </c>
      <c r="C14" s="5" t="s">
        <v>20</v>
      </c>
      <c r="D14" s="6">
        <v>8</v>
      </c>
      <c r="E14" s="6">
        <f t="shared" si="6"/>
        <v>7.58</v>
      </c>
      <c r="F14" s="6">
        <v>0.42</v>
      </c>
      <c r="G14" s="7">
        <v>440</v>
      </c>
      <c r="H14" s="7">
        <v>287.81599999999997</v>
      </c>
      <c r="I14" s="7">
        <v>19.375</v>
      </c>
      <c r="J14" s="7">
        <f t="shared" si="7"/>
        <v>307.19099999999997</v>
      </c>
      <c r="K14" s="8">
        <f t="shared" si="8"/>
        <v>0.65412727272727267</v>
      </c>
      <c r="L14" s="8">
        <f t="shared" si="9"/>
        <v>0.69037179179659391</v>
      </c>
      <c r="M14" s="8">
        <f t="shared" si="10"/>
        <v>0.9369284907435439</v>
      </c>
      <c r="N14" s="8">
        <f t="shared" si="11"/>
        <v>6.307150925645609E-2</v>
      </c>
      <c r="O14" s="29">
        <f>Dados[[#This Row],[Vol. Padrão]]/Dados[[#This Row],[Horas Disp.]]</f>
        <v>55</v>
      </c>
      <c r="P14" s="31" cm="1">
        <f t="array" ref="P14">SUM(Dados[[#This Row],[Vol. Líquido]:[V. Refugo]]/Dados[[#This Row],[H. Ativas]])</f>
        <v>40.526517150395776</v>
      </c>
      <c r="Q14" s="8">
        <f>Dados[[#This Row],[H. Ativas]]/Dados[[#This Row],[Horas Disp.]]</f>
        <v>0.94750000000000001</v>
      </c>
      <c r="R14" s="8">
        <f>Dados[[#This Row],[Vol. Bruto]]/Dados[[#This Row],[Vol. Padrão]]</f>
        <v>0.69816136363636361</v>
      </c>
      <c r="S14" s="8">
        <f>Dados[[#This Row],[Disponibilidade]]*Dados[[#This Row],[Desempenho]]*Dados[[#This Row],[Qualidade]]</f>
        <v>0.61978559090909091</v>
      </c>
      <c r="T14" s="14">
        <f>YEAR(Dados[[#This Row],[Período]])</f>
        <v>2018</v>
      </c>
      <c r="U14" s="14">
        <f>MONTH(Dados[[#This Row],[Período]])</f>
        <v>1</v>
      </c>
    </row>
    <row r="15" spans="1:21" x14ac:dyDescent="0.25">
      <c r="A15" s="4">
        <v>43114</v>
      </c>
      <c r="B15" s="4" t="s">
        <v>29</v>
      </c>
      <c r="C15" s="5" t="s">
        <v>19</v>
      </c>
      <c r="D15" s="6">
        <v>8</v>
      </c>
      <c r="E15" s="6">
        <f t="shared" si="6"/>
        <v>7.5</v>
      </c>
      <c r="F15" s="6">
        <v>0.5</v>
      </c>
      <c r="G15" s="7">
        <v>440</v>
      </c>
      <c r="H15" s="7">
        <v>394.11500000000001</v>
      </c>
      <c r="I15" s="7">
        <v>27.518999999999998</v>
      </c>
      <c r="J15" s="7">
        <f t="shared" si="7"/>
        <v>421.63400000000001</v>
      </c>
      <c r="K15" s="8">
        <f t="shared" si="8"/>
        <v>0.89571590909090915</v>
      </c>
      <c r="L15" s="8">
        <f t="shared" si="9"/>
        <v>0.95543030303030307</v>
      </c>
      <c r="M15" s="8">
        <f t="shared" si="10"/>
        <v>0.93473249311013817</v>
      </c>
      <c r="N15" s="8">
        <f t="shared" si="11"/>
        <v>6.5267506889861812E-2</v>
      </c>
      <c r="O15" s="29">
        <f>Dados[[#This Row],[Vol. Padrão]]/Dados[[#This Row],[Horas Disp.]]</f>
        <v>55</v>
      </c>
      <c r="P15" s="31" cm="1">
        <f t="array" ref="P15">SUM(Dados[[#This Row],[Vol. Líquido]:[V. Refugo]]/Dados[[#This Row],[H. Ativas]])</f>
        <v>56.217866666666666</v>
      </c>
      <c r="Q15" s="8">
        <f>Dados[[#This Row],[H. Ativas]]/Dados[[#This Row],[Horas Disp.]]</f>
        <v>0.9375</v>
      </c>
      <c r="R15" s="8">
        <f>Dados[[#This Row],[Vol. Bruto]]/Dados[[#This Row],[Vol. Padrão]]</f>
        <v>0.95825909090909089</v>
      </c>
      <c r="S15" s="8">
        <f>Dados[[#This Row],[Disponibilidade]]*Dados[[#This Row],[Desempenho]]*Dados[[#This Row],[Qualidade]]</f>
        <v>0.83973366477272715</v>
      </c>
      <c r="T15" s="14">
        <f>YEAR(Dados[[#This Row],[Período]])</f>
        <v>2018</v>
      </c>
      <c r="U15" s="14">
        <f>MONTH(Dados[[#This Row],[Período]])</f>
        <v>1</v>
      </c>
    </row>
    <row r="16" spans="1:21" x14ac:dyDescent="0.25">
      <c r="A16" s="4">
        <v>43115</v>
      </c>
      <c r="B16" s="4" t="s">
        <v>30</v>
      </c>
      <c r="C16" s="5" t="s">
        <v>18</v>
      </c>
      <c r="D16" s="6">
        <v>8</v>
      </c>
      <c r="E16" s="6">
        <f t="shared" si="6"/>
        <v>7.64</v>
      </c>
      <c r="F16" s="6">
        <v>0.36</v>
      </c>
      <c r="G16" s="7">
        <v>440</v>
      </c>
      <c r="H16" s="7">
        <v>273.11500000000001</v>
      </c>
      <c r="I16" s="7">
        <v>14.598000000000001</v>
      </c>
      <c r="J16" s="7">
        <f t="shared" si="7"/>
        <v>287.71300000000002</v>
      </c>
      <c r="K16" s="8">
        <f t="shared" si="8"/>
        <v>0.62071590909090912</v>
      </c>
      <c r="L16" s="8">
        <f t="shared" si="9"/>
        <v>0.64996430271299388</v>
      </c>
      <c r="M16" s="8">
        <f t="shared" si="10"/>
        <v>0.94926193811193793</v>
      </c>
      <c r="N16" s="8">
        <f t="shared" si="11"/>
        <v>5.0738061888062062E-2</v>
      </c>
      <c r="O16" s="29">
        <f>Dados[[#This Row],[Vol. Padrão]]/Dados[[#This Row],[Horas Disp.]]</f>
        <v>55</v>
      </c>
      <c r="P16" s="31" cm="1">
        <f t="array" ref="P16">SUM(Dados[[#This Row],[Vol. Líquido]:[V. Refugo]]/Dados[[#This Row],[H. Ativas]])</f>
        <v>37.658769633507859</v>
      </c>
      <c r="Q16" s="8">
        <f>Dados[[#This Row],[H. Ativas]]/Dados[[#This Row],[Horas Disp.]]</f>
        <v>0.95499999999999996</v>
      </c>
      <c r="R16" s="8">
        <f>Dados[[#This Row],[Vol. Bruto]]/Dados[[#This Row],[Vol. Padrão]]</f>
        <v>0.6538931818181819</v>
      </c>
      <c r="S16" s="8">
        <f>Dados[[#This Row],[Disponibilidade]]*Dados[[#This Row],[Desempenho]]*Dados[[#This Row],[Qualidade]]</f>
        <v>0.59278369318181823</v>
      </c>
      <c r="T16" s="14">
        <f>YEAR(Dados[[#This Row],[Período]])</f>
        <v>2018</v>
      </c>
      <c r="U16" s="14">
        <f>MONTH(Dados[[#This Row],[Período]])</f>
        <v>1</v>
      </c>
    </row>
    <row r="17" spans="1:21" x14ac:dyDescent="0.25">
      <c r="A17" s="4">
        <v>43116</v>
      </c>
      <c r="B17" s="4" t="s">
        <v>27</v>
      </c>
      <c r="C17" s="5" t="s">
        <v>17</v>
      </c>
      <c r="D17" s="6">
        <v>8</v>
      </c>
      <c r="E17" s="6">
        <f t="shared" si="6"/>
        <v>7.83</v>
      </c>
      <c r="F17" s="6">
        <v>0.17</v>
      </c>
      <c r="G17" s="7">
        <v>440</v>
      </c>
      <c r="H17" s="7">
        <v>373.79</v>
      </c>
      <c r="I17" s="7">
        <v>43.180999999999997</v>
      </c>
      <c r="J17" s="7">
        <f t="shared" si="7"/>
        <v>416.971</v>
      </c>
      <c r="K17" s="8">
        <f t="shared" si="8"/>
        <v>0.84952272727272737</v>
      </c>
      <c r="L17" s="8">
        <f t="shared" si="9"/>
        <v>0.86796702658771629</v>
      </c>
      <c r="M17" s="8">
        <f t="shared" si="10"/>
        <v>0.8964412393188016</v>
      </c>
      <c r="N17" s="8">
        <f t="shared" si="11"/>
        <v>0.10355876068119844</v>
      </c>
      <c r="O17" s="29">
        <f>Dados[[#This Row],[Vol. Padrão]]/Dados[[#This Row],[Horas Disp.]]</f>
        <v>55</v>
      </c>
      <c r="P17" s="31" cm="1">
        <f t="array" ref="P17">SUM(Dados[[#This Row],[Vol. Líquido]:[V. Refugo]]/Dados[[#This Row],[H. Ativas]])</f>
        <v>53.253001277139205</v>
      </c>
      <c r="Q17" s="8">
        <f>Dados[[#This Row],[H. Ativas]]/Dados[[#This Row],[Horas Disp.]]</f>
        <v>0.97875000000000001</v>
      </c>
      <c r="R17" s="8">
        <f>Dados[[#This Row],[Vol. Bruto]]/Dados[[#This Row],[Vol. Padrão]]</f>
        <v>0.94766136363636366</v>
      </c>
      <c r="S17" s="8">
        <f>Dados[[#This Row],[Disponibilidade]]*Dados[[#This Row],[Desempenho]]*Dados[[#This Row],[Qualidade]]</f>
        <v>0.83147036931818186</v>
      </c>
      <c r="T17" s="14">
        <f>YEAR(Dados[[#This Row],[Período]])</f>
        <v>2018</v>
      </c>
      <c r="U17" s="14">
        <f>MONTH(Dados[[#This Row],[Período]])</f>
        <v>1</v>
      </c>
    </row>
    <row r="18" spans="1:21" x14ac:dyDescent="0.25">
      <c r="A18" s="4">
        <v>43117</v>
      </c>
      <c r="B18" s="4" t="s">
        <v>30</v>
      </c>
      <c r="C18" s="5" t="s">
        <v>16</v>
      </c>
      <c r="D18" s="6">
        <v>8</v>
      </c>
      <c r="E18" s="6">
        <f t="shared" si="6"/>
        <v>7.42</v>
      </c>
      <c r="F18" s="6">
        <v>0.57999999999999996</v>
      </c>
      <c r="G18" s="7">
        <v>440</v>
      </c>
      <c r="H18" s="7">
        <v>266.08300000000003</v>
      </c>
      <c r="I18" s="7">
        <v>17.323</v>
      </c>
      <c r="J18" s="7">
        <f t="shared" si="7"/>
        <v>283.40600000000001</v>
      </c>
      <c r="K18" s="8">
        <f t="shared" si="8"/>
        <v>0.60473409090909092</v>
      </c>
      <c r="L18" s="8">
        <f t="shared" si="9"/>
        <v>0.652004410683656</v>
      </c>
      <c r="M18" s="8">
        <f t="shared" si="10"/>
        <v>0.93887567659118021</v>
      </c>
      <c r="N18" s="8">
        <f t="shared" si="11"/>
        <v>6.1124323408819854E-2</v>
      </c>
      <c r="O18" s="29">
        <f>Dados[[#This Row],[Vol. Padrão]]/Dados[[#This Row],[Horas Disp.]]</f>
        <v>55</v>
      </c>
      <c r="P18" s="31" cm="1">
        <f t="array" ref="P18">SUM(Dados[[#This Row],[Vol. Líquido]:[V. Refugo]]/Dados[[#This Row],[H. Ativas]])</f>
        <v>38.194878706199468</v>
      </c>
      <c r="Q18" s="8">
        <f>Dados[[#This Row],[H. Ativas]]/Dados[[#This Row],[Horas Disp.]]</f>
        <v>0.92749999999999999</v>
      </c>
      <c r="R18" s="8">
        <f>Dados[[#This Row],[Vol. Bruto]]/Dados[[#This Row],[Vol. Padrão]]</f>
        <v>0.64410454545454543</v>
      </c>
      <c r="S18" s="8">
        <f>Dados[[#This Row],[Disponibilidade]]*Dados[[#This Row],[Desempenho]]*Dados[[#This Row],[Qualidade]]</f>
        <v>0.56089086931818188</v>
      </c>
      <c r="T18" s="14">
        <f>YEAR(Dados[[#This Row],[Período]])</f>
        <v>2018</v>
      </c>
      <c r="U18" s="14">
        <f>MONTH(Dados[[#This Row],[Período]])</f>
        <v>1</v>
      </c>
    </row>
    <row r="19" spans="1:21" x14ac:dyDescent="0.25">
      <c r="A19" s="4">
        <v>43118</v>
      </c>
      <c r="B19" s="4" t="s">
        <v>29</v>
      </c>
      <c r="C19" s="5" t="s">
        <v>14</v>
      </c>
      <c r="D19" s="6">
        <v>8</v>
      </c>
      <c r="E19" s="6">
        <f t="shared" si="6"/>
        <v>7.33</v>
      </c>
      <c r="F19" s="6">
        <v>0.67</v>
      </c>
      <c r="G19" s="7">
        <v>440</v>
      </c>
      <c r="H19" s="7">
        <v>383.40499999999997</v>
      </c>
      <c r="I19" s="7">
        <v>24.545000000000002</v>
      </c>
      <c r="J19" s="7">
        <f t="shared" si="7"/>
        <v>407.95</v>
      </c>
      <c r="K19" s="8">
        <f t="shared" si="8"/>
        <v>0.8713749999999999</v>
      </c>
      <c r="L19" s="8">
        <f t="shared" si="9"/>
        <v>0.95102319236016375</v>
      </c>
      <c r="M19" s="8">
        <f t="shared" si="10"/>
        <v>0.93983331290599337</v>
      </c>
      <c r="N19" s="8">
        <f t="shared" si="11"/>
        <v>6.0166687094006625E-2</v>
      </c>
      <c r="O19" s="29">
        <f>Dados[[#This Row],[Vol. Padrão]]/Dados[[#This Row],[Horas Disp.]]</f>
        <v>55</v>
      </c>
      <c r="P19" s="31" cm="1">
        <f t="array" ref="P19">SUM(Dados[[#This Row],[Vol. Líquido]:[V. Refugo]]/Dados[[#This Row],[H. Ativas]])</f>
        <v>55.654843110504771</v>
      </c>
      <c r="Q19" s="8">
        <f>Dados[[#This Row],[H. Ativas]]/Dados[[#This Row],[Horas Disp.]]</f>
        <v>0.91625000000000001</v>
      </c>
      <c r="R19" s="8">
        <f>Dados[[#This Row],[Vol. Bruto]]/Dados[[#This Row],[Vol. Padrão]]</f>
        <v>0.92715909090909088</v>
      </c>
      <c r="S19" s="8">
        <f>Dados[[#This Row],[Disponibilidade]]*Dados[[#This Row],[Desempenho]]*Dados[[#This Row],[Qualidade]]</f>
        <v>0.79839734374999993</v>
      </c>
      <c r="T19" s="14">
        <f>YEAR(Dados[[#This Row],[Período]])</f>
        <v>2018</v>
      </c>
      <c r="U19" s="14">
        <f>MONTH(Dados[[#This Row],[Período]])</f>
        <v>1</v>
      </c>
    </row>
    <row r="20" spans="1:21" x14ac:dyDescent="0.25">
      <c r="A20" s="4">
        <v>43119</v>
      </c>
      <c r="B20" s="4" t="s">
        <v>28</v>
      </c>
      <c r="C20" s="5" t="s">
        <v>13</v>
      </c>
      <c r="D20" s="6">
        <v>8</v>
      </c>
      <c r="E20" s="6">
        <f t="shared" si="6"/>
        <v>7.55</v>
      </c>
      <c r="F20" s="6">
        <v>0.45</v>
      </c>
      <c r="G20" s="7">
        <v>440</v>
      </c>
      <c r="H20" s="7">
        <v>402.99299999999999</v>
      </c>
      <c r="I20" s="7">
        <v>21.734999999999999</v>
      </c>
      <c r="J20" s="7">
        <f t="shared" si="7"/>
        <v>424.72800000000001</v>
      </c>
      <c r="K20" s="8">
        <f t="shared" si="8"/>
        <v>0.9158931818181818</v>
      </c>
      <c r="L20" s="8">
        <f t="shared" si="9"/>
        <v>0.97048284166164955</v>
      </c>
      <c r="M20" s="8">
        <f t="shared" si="10"/>
        <v>0.94882607221562976</v>
      </c>
      <c r="N20" s="8">
        <f t="shared" si="11"/>
        <v>5.1173927784370229E-2</v>
      </c>
      <c r="O20" s="29">
        <f>Dados[[#This Row],[Vol. Padrão]]/Dados[[#This Row],[Horas Disp.]]</f>
        <v>55</v>
      </c>
      <c r="P20" s="31" cm="1">
        <f t="array" ref="P20">SUM(Dados[[#This Row],[Vol. Líquido]:[V. Refugo]]/Dados[[#This Row],[H. Ativas]])</f>
        <v>56.255364238410593</v>
      </c>
      <c r="Q20" s="8">
        <f>Dados[[#This Row],[H. Ativas]]/Dados[[#This Row],[Horas Disp.]]</f>
        <v>0.94374999999999998</v>
      </c>
      <c r="R20" s="8">
        <f>Dados[[#This Row],[Vol. Bruto]]/Dados[[#This Row],[Vol. Padrão]]</f>
        <v>0.96529090909090909</v>
      </c>
      <c r="S20" s="8">
        <f>Dados[[#This Row],[Disponibilidade]]*Dados[[#This Row],[Desempenho]]*Dados[[#This Row],[Qualidade]]</f>
        <v>0.86437419034090901</v>
      </c>
      <c r="T20" s="14">
        <f>YEAR(Dados[[#This Row],[Período]])</f>
        <v>2018</v>
      </c>
      <c r="U20" s="14">
        <f>MONTH(Dados[[#This Row],[Período]])</f>
        <v>1</v>
      </c>
    </row>
    <row r="21" spans="1:21" x14ac:dyDescent="0.25">
      <c r="A21" s="4">
        <v>43120</v>
      </c>
      <c r="B21" s="4" t="s">
        <v>26</v>
      </c>
      <c r="C21" s="5" t="s">
        <v>22</v>
      </c>
      <c r="D21" s="6">
        <v>8</v>
      </c>
      <c r="E21" s="6">
        <f t="shared" si="6"/>
        <v>7.25</v>
      </c>
      <c r="F21" s="6">
        <v>0.75</v>
      </c>
      <c r="G21" s="7">
        <v>440</v>
      </c>
      <c r="H21" s="7">
        <v>357.322</v>
      </c>
      <c r="I21" s="7">
        <v>33.087000000000003</v>
      </c>
      <c r="J21" s="7">
        <f t="shared" si="7"/>
        <v>390.40899999999999</v>
      </c>
      <c r="K21" s="8">
        <f t="shared" si="8"/>
        <v>0.81209545454545451</v>
      </c>
      <c r="L21" s="8">
        <f t="shared" si="9"/>
        <v>0.89610532915360497</v>
      </c>
      <c r="M21" s="8">
        <f t="shared" si="10"/>
        <v>0.91525041687051278</v>
      </c>
      <c r="N21" s="8">
        <f t="shared" si="11"/>
        <v>8.4749583129487285E-2</v>
      </c>
      <c r="O21" s="29">
        <f>Dados[[#This Row],[Vol. Padrão]]/Dados[[#This Row],[Horas Disp.]]</f>
        <v>55</v>
      </c>
      <c r="P21" s="31" cm="1">
        <f t="array" ref="P21">SUM(Dados[[#This Row],[Vol. Líquido]:[V. Refugo]]/Dados[[#This Row],[H. Ativas]])</f>
        <v>53.84951724137931</v>
      </c>
      <c r="Q21" s="8">
        <f>Dados[[#This Row],[H. Ativas]]/Dados[[#This Row],[Horas Disp.]]</f>
        <v>0.90625</v>
      </c>
      <c r="R21" s="8">
        <f>Dados[[#This Row],[Vol. Bruto]]/Dados[[#This Row],[Vol. Padrão]]</f>
        <v>0.88729318181818184</v>
      </c>
      <c r="S21" s="8">
        <f>Dados[[#This Row],[Disponibilidade]]*Dados[[#This Row],[Desempenho]]*Dados[[#This Row],[Qualidade]]</f>
        <v>0.73596150568181828</v>
      </c>
      <c r="T21" s="14">
        <f>YEAR(Dados[[#This Row],[Período]])</f>
        <v>2018</v>
      </c>
      <c r="U21" s="14">
        <f>MONTH(Dados[[#This Row],[Período]])</f>
        <v>1</v>
      </c>
    </row>
    <row r="22" spans="1:21" x14ac:dyDescent="0.25">
      <c r="A22" s="4">
        <v>43121</v>
      </c>
      <c r="B22" s="4" t="s">
        <v>29</v>
      </c>
      <c r="C22" s="5" t="s">
        <v>14</v>
      </c>
      <c r="D22" s="6">
        <v>8</v>
      </c>
      <c r="E22" s="6">
        <f t="shared" si="6"/>
        <v>7.22</v>
      </c>
      <c r="F22" s="6">
        <v>0.78</v>
      </c>
      <c r="G22" s="7">
        <v>440</v>
      </c>
      <c r="H22" s="7">
        <v>289.19200000000001</v>
      </c>
      <c r="I22" s="7">
        <v>9.8780000000000001</v>
      </c>
      <c r="J22" s="7">
        <f t="shared" si="7"/>
        <v>299.07</v>
      </c>
      <c r="K22" s="8">
        <f t="shared" si="8"/>
        <v>0.65725454545454542</v>
      </c>
      <c r="L22" s="8">
        <f t="shared" si="9"/>
        <v>0.7282598841601613</v>
      </c>
      <c r="M22" s="8">
        <f t="shared" si="10"/>
        <v>0.96697094325743138</v>
      </c>
      <c r="N22" s="8">
        <f t="shared" si="11"/>
        <v>3.3029056742568633E-2</v>
      </c>
      <c r="O22" s="29">
        <f>Dados[[#This Row],[Vol. Padrão]]/Dados[[#This Row],[Horas Disp.]]</f>
        <v>55</v>
      </c>
      <c r="P22" s="31" cm="1">
        <f t="array" ref="P22">SUM(Dados[[#This Row],[Vol. Líquido]:[V. Refugo]]/Dados[[#This Row],[H. Ativas]])</f>
        <v>41.42243767313019</v>
      </c>
      <c r="Q22" s="8">
        <f>Dados[[#This Row],[H. Ativas]]/Dados[[#This Row],[Horas Disp.]]</f>
        <v>0.90249999999999997</v>
      </c>
      <c r="R22" s="8">
        <f>Dados[[#This Row],[Vol. Bruto]]/Dados[[#This Row],[Vol. Padrão]]</f>
        <v>0.67970454545454539</v>
      </c>
      <c r="S22" s="8">
        <f>Dados[[#This Row],[Disponibilidade]]*Dados[[#This Row],[Desempenho]]*Dados[[#This Row],[Qualidade]]</f>
        <v>0.59317222727272723</v>
      </c>
      <c r="T22" s="14">
        <f>YEAR(Dados[[#This Row],[Período]])</f>
        <v>2018</v>
      </c>
      <c r="U22" s="14">
        <f>MONTH(Dados[[#This Row],[Período]])</f>
        <v>1</v>
      </c>
    </row>
    <row r="23" spans="1:21" x14ac:dyDescent="0.25">
      <c r="A23" s="4">
        <v>43122</v>
      </c>
      <c r="B23" s="4" t="s">
        <v>27</v>
      </c>
      <c r="C23" s="5" t="s">
        <v>17</v>
      </c>
      <c r="D23" s="6">
        <v>8</v>
      </c>
      <c r="E23" s="6">
        <f t="shared" si="6"/>
        <v>7</v>
      </c>
      <c r="F23" s="6">
        <v>1</v>
      </c>
      <c r="G23" s="7">
        <v>440</v>
      </c>
      <c r="H23" s="7">
        <v>371.4</v>
      </c>
      <c r="I23" s="7">
        <v>17.754000000000001</v>
      </c>
      <c r="J23" s="7">
        <f t="shared" si="7"/>
        <v>389.154</v>
      </c>
      <c r="K23" s="8">
        <f t="shared" si="8"/>
        <v>0.844090909090909</v>
      </c>
      <c r="L23" s="8">
        <f t="shared" si="9"/>
        <v>0.96467532467532457</v>
      </c>
      <c r="M23" s="8">
        <f t="shared" si="10"/>
        <v>0.95437795834039985</v>
      </c>
      <c r="N23" s="8">
        <f t="shared" si="11"/>
        <v>4.5622041659600057E-2</v>
      </c>
      <c r="O23" s="29">
        <f>Dados[[#This Row],[Vol. Padrão]]/Dados[[#This Row],[Horas Disp.]]</f>
        <v>55</v>
      </c>
      <c r="P23" s="31" cm="1">
        <f t="array" ref="P23">SUM(Dados[[#This Row],[Vol. Líquido]:[V. Refugo]]/Dados[[#This Row],[H. Ativas]])</f>
        <v>55.593428571428575</v>
      </c>
      <c r="Q23" s="8">
        <f>Dados[[#This Row],[H. Ativas]]/Dados[[#This Row],[Horas Disp.]]</f>
        <v>0.875</v>
      </c>
      <c r="R23" s="8">
        <f>Dados[[#This Row],[Vol. Bruto]]/Dados[[#This Row],[Vol. Padrão]]</f>
        <v>0.88444090909090911</v>
      </c>
      <c r="S23" s="8">
        <f>Dados[[#This Row],[Disponibilidade]]*Dados[[#This Row],[Desempenho]]*Dados[[#This Row],[Qualidade]]</f>
        <v>0.73857954545454541</v>
      </c>
      <c r="T23" s="14">
        <f>YEAR(Dados[[#This Row],[Período]])</f>
        <v>2018</v>
      </c>
      <c r="U23" s="14">
        <f>MONTH(Dados[[#This Row],[Período]])</f>
        <v>1</v>
      </c>
    </row>
    <row r="24" spans="1:21" x14ac:dyDescent="0.25">
      <c r="A24" s="4">
        <v>43123</v>
      </c>
      <c r="B24" s="4" t="s">
        <v>28</v>
      </c>
      <c r="C24" s="5" t="s">
        <v>13</v>
      </c>
      <c r="D24" s="6">
        <v>8</v>
      </c>
      <c r="E24" s="6">
        <f t="shared" si="6"/>
        <v>7.72</v>
      </c>
      <c r="F24" s="6">
        <v>0.28000000000000003</v>
      </c>
      <c r="G24" s="7">
        <v>440</v>
      </c>
      <c r="H24" s="7">
        <v>298.89999999999998</v>
      </c>
      <c r="I24" s="7">
        <v>13.333</v>
      </c>
      <c r="J24" s="7">
        <f t="shared" si="7"/>
        <v>312.233</v>
      </c>
      <c r="K24" s="8">
        <f t="shared" si="8"/>
        <v>0.67931818181818182</v>
      </c>
      <c r="L24" s="8">
        <f t="shared" si="9"/>
        <v>0.70395666509656152</v>
      </c>
      <c r="M24" s="8">
        <f t="shared" si="10"/>
        <v>0.95729791533886543</v>
      </c>
      <c r="N24" s="8">
        <f t="shared" si="11"/>
        <v>4.2702084661134475E-2</v>
      </c>
      <c r="O24" s="29">
        <f>Dados[[#This Row],[Vol. Padrão]]/Dados[[#This Row],[Horas Disp.]]</f>
        <v>55</v>
      </c>
      <c r="P24" s="31" cm="1">
        <f t="array" ref="P24">SUM(Dados[[#This Row],[Vol. Líquido]:[V. Refugo]]/Dados[[#This Row],[H. Ativas]])</f>
        <v>40.444689119170988</v>
      </c>
      <c r="Q24" s="8">
        <f>Dados[[#This Row],[H. Ativas]]/Dados[[#This Row],[Horas Disp.]]</f>
        <v>0.96499999999999997</v>
      </c>
      <c r="R24" s="8">
        <f>Dados[[#This Row],[Vol. Bruto]]/Dados[[#This Row],[Vol. Padrão]]</f>
        <v>0.70962045454545453</v>
      </c>
      <c r="S24" s="8">
        <f>Dados[[#This Row],[Disponibilidade]]*Dados[[#This Row],[Desempenho]]*Dados[[#This Row],[Qualidade]]</f>
        <v>0.65554204545454531</v>
      </c>
      <c r="T24" s="14">
        <f>YEAR(Dados[[#This Row],[Período]])</f>
        <v>2018</v>
      </c>
      <c r="U24" s="14">
        <f>MONTH(Dados[[#This Row],[Período]])</f>
        <v>1</v>
      </c>
    </row>
    <row r="25" spans="1:21" x14ac:dyDescent="0.25">
      <c r="A25" s="4">
        <v>43132</v>
      </c>
      <c r="B25" s="4" t="s">
        <v>28</v>
      </c>
      <c r="C25" s="5" t="s">
        <v>13</v>
      </c>
      <c r="D25" s="6">
        <v>8</v>
      </c>
      <c r="E25" s="6">
        <f t="shared" ref="E25:E65" si="12">D25-F25</f>
        <v>7.75</v>
      </c>
      <c r="F25" s="6">
        <v>0.25</v>
      </c>
      <c r="G25" s="7">
        <v>440</v>
      </c>
      <c r="H25" s="7">
        <v>319.12299999999999</v>
      </c>
      <c r="I25" s="7">
        <v>18.32</v>
      </c>
      <c r="J25" s="7">
        <f t="shared" ref="J25:J65" si="13">SUM(H25:I25)</f>
        <v>337.44299999999998</v>
      </c>
      <c r="K25" s="8">
        <f t="shared" ref="K25:K65" si="14">(H25/G25)</f>
        <v>0.72527954545454543</v>
      </c>
      <c r="L25" s="8">
        <f t="shared" si="1"/>
        <v>0.74867565982404694</v>
      </c>
      <c r="M25" s="8">
        <f t="shared" ref="M25:M65" si="15">(H25/J25)</f>
        <v>0.94570934943086682</v>
      </c>
      <c r="N25" s="8">
        <f t="shared" ref="N25:N65" si="16">I25/(H25+I25)</f>
        <v>5.429065056913316E-2</v>
      </c>
      <c r="O25" s="29">
        <f>Dados[[#This Row],[Vol. Padrão]]/Dados[[#This Row],[Horas Disp.]]</f>
        <v>55</v>
      </c>
      <c r="P25" s="31" cm="1">
        <f t="array" ref="P25">SUM(Dados[[#This Row],[Vol. Líquido]:[V. Refugo]]/Dados[[#This Row],[H. Ativas]])</f>
        <v>43.541032258064519</v>
      </c>
      <c r="Q25" s="8">
        <f>Dados[[#This Row],[H. Ativas]]/Dados[[#This Row],[Horas Disp.]]</f>
        <v>0.96875</v>
      </c>
      <c r="R25" s="8">
        <f>Dados[[#This Row],[Vol. Bruto]]/Dados[[#This Row],[Vol. Padrão]]</f>
        <v>0.76691590909090901</v>
      </c>
      <c r="S25" s="8">
        <f>Dados[[#This Row],[Disponibilidade]]*Dados[[#This Row],[Desempenho]]*Dados[[#This Row],[Qualidade]]</f>
        <v>0.70261455965909081</v>
      </c>
      <c r="T25" s="14">
        <f>YEAR(Dados[[#This Row],[Período]])</f>
        <v>2018</v>
      </c>
      <c r="U25" s="14">
        <f>MONTH(Dados[[#This Row],[Período]])</f>
        <v>2</v>
      </c>
    </row>
    <row r="26" spans="1:21" x14ac:dyDescent="0.25">
      <c r="A26" s="4">
        <v>43133</v>
      </c>
      <c r="B26" s="4" t="s">
        <v>30</v>
      </c>
      <c r="C26" s="5" t="s">
        <v>18</v>
      </c>
      <c r="D26" s="10">
        <v>8</v>
      </c>
      <c r="E26" s="10">
        <f t="shared" si="12"/>
        <v>7.42</v>
      </c>
      <c r="F26" s="10">
        <v>0.57999999999999996</v>
      </c>
      <c r="G26" s="11">
        <v>440</v>
      </c>
      <c r="H26" s="11">
        <v>389.45699999999999</v>
      </c>
      <c r="I26" s="11">
        <v>5.5670000000000002</v>
      </c>
      <c r="J26" s="11">
        <f t="shared" si="13"/>
        <v>395.024</v>
      </c>
      <c r="K26" s="12">
        <f t="shared" si="14"/>
        <v>0.88512954545454547</v>
      </c>
      <c r="L26" s="12">
        <f t="shared" si="1"/>
        <v>0.95431756922322952</v>
      </c>
      <c r="M26" s="12">
        <f t="shared" si="15"/>
        <v>0.98590718538620437</v>
      </c>
      <c r="N26" s="12">
        <f t="shared" si="16"/>
        <v>1.4092814613795617E-2</v>
      </c>
      <c r="O26" s="14">
        <f>Dados[[#This Row],[Vol. Padrão]]/Dados[[#This Row],[Horas Disp.]]</f>
        <v>55</v>
      </c>
      <c r="P26" s="32" cm="1">
        <f t="array" ref="P26">SUM(Dados[[#This Row],[Vol. Líquido]:[V. Refugo]]/Dados[[#This Row],[H. Ativas]])</f>
        <v>53.237735849056605</v>
      </c>
      <c r="Q26" s="12">
        <f>Dados[[#This Row],[H. Ativas]]/Dados[[#This Row],[Horas Disp.]]</f>
        <v>0.92749999999999999</v>
      </c>
      <c r="R26" s="12">
        <f>Dados[[#This Row],[Vol. Bruto]]/Dados[[#This Row],[Vol. Padrão]]</f>
        <v>0.89778181818181824</v>
      </c>
      <c r="S26" s="12">
        <f>Dados[[#This Row],[Disponibilidade]]*Dados[[#This Row],[Desempenho]]*Dados[[#This Row],[Qualidade]]</f>
        <v>0.82095765340909099</v>
      </c>
      <c r="T26" s="14">
        <f>YEAR(Dados[[#This Row],[Período]])</f>
        <v>2018</v>
      </c>
      <c r="U26" s="14">
        <f>MONTH(Dados[[#This Row],[Período]])</f>
        <v>2</v>
      </c>
    </row>
    <row r="27" spans="1:21" x14ac:dyDescent="0.25">
      <c r="A27" s="4">
        <v>43134</v>
      </c>
      <c r="B27" s="4" t="s">
        <v>26</v>
      </c>
      <c r="C27" s="5" t="s">
        <v>22</v>
      </c>
      <c r="D27" s="10">
        <v>8</v>
      </c>
      <c r="E27" s="10">
        <f t="shared" si="12"/>
        <v>7.67</v>
      </c>
      <c r="F27" s="10">
        <v>0.33</v>
      </c>
      <c r="G27" s="11">
        <v>440</v>
      </c>
      <c r="H27" s="11">
        <v>242.45599999999999</v>
      </c>
      <c r="I27" s="11">
        <v>23.4</v>
      </c>
      <c r="J27" s="11">
        <f t="shared" si="13"/>
        <v>265.85599999999999</v>
      </c>
      <c r="K27" s="12">
        <f t="shared" si="14"/>
        <v>0.55103636363636366</v>
      </c>
      <c r="L27" s="12">
        <f t="shared" si="1"/>
        <v>0.57474457745644181</v>
      </c>
      <c r="M27" s="12">
        <f t="shared" si="15"/>
        <v>0.9119824265767934</v>
      </c>
      <c r="N27" s="12">
        <f t="shared" si="16"/>
        <v>8.8017573423206541E-2</v>
      </c>
      <c r="O27" s="14">
        <f>Dados[[#This Row],[Vol. Padrão]]/Dados[[#This Row],[Horas Disp.]]</f>
        <v>55</v>
      </c>
      <c r="P27" s="32" cm="1">
        <f t="array" ref="P27">SUM(Dados[[#This Row],[Vol. Líquido]:[V. Refugo]]/Dados[[#This Row],[H. Ativas]])</f>
        <v>34.661799217731421</v>
      </c>
      <c r="Q27" s="12">
        <f>Dados[[#This Row],[H. Ativas]]/Dados[[#This Row],[Horas Disp.]]</f>
        <v>0.95874999999999999</v>
      </c>
      <c r="R27" s="12">
        <f>Dados[[#This Row],[Vol. Bruto]]/Dados[[#This Row],[Vol. Padrão]]</f>
        <v>0.60421818181818177</v>
      </c>
      <c r="S27" s="12">
        <f>Dados[[#This Row],[Disponibilidade]]*Dados[[#This Row],[Desempenho]]*Dados[[#This Row],[Qualidade]]</f>
        <v>0.52830611363636348</v>
      </c>
      <c r="T27" s="14">
        <f>YEAR(Dados[[#This Row],[Período]])</f>
        <v>2018</v>
      </c>
      <c r="U27" s="14">
        <f>MONTH(Dados[[#This Row],[Período]])</f>
        <v>2</v>
      </c>
    </row>
    <row r="28" spans="1:21" x14ac:dyDescent="0.25">
      <c r="A28" s="4">
        <v>43135</v>
      </c>
      <c r="B28" s="4" t="s">
        <v>29</v>
      </c>
      <c r="C28" s="5" t="s">
        <v>14</v>
      </c>
      <c r="D28" s="10">
        <v>8</v>
      </c>
      <c r="E28" s="10">
        <f t="shared" si="12"/>
        <v>7.58</v>
      </c>
      <c r="F28" s="10">
        <v>0.42</v>
      </c>
      <c r="G28" s="11">
        <v>440</v>
      </c>
      <c r="H28" s="11">
        <v>350.32100000000003</v>
      </c>
      <c r="I28" s="11">
        <v>2.3450000000000002</v>
      </c>
      <c r="J28" s="11">
        <f t="shared" si="13"/>
        <v>352.66600000000005</v>
      </c>
      <c r="K28" s="12">
        <f t="shared" si="14"/>
        <v>0.79618409090909092</v>
      </c>
      <c r="L28" s="12">
        <f t="shared" si="1"/>
        <v>0.84029983209402748</v>
      </c>
      <c r="M28" s="12">
        <f t="shared" si="15"/>
        <v>0.99335064905604731</v>
      </c>
      <c r="N28" s="12">
        <f t="shared" si="16"/>
        <v>6.6493509439526349E-3</v>
      </c>
      <c r="O28" s="14">
        <f>Dados[[#This Row],[Vol. Padrão]]/Dados[[#This Row],[Horas Disp.]]</f>
        <v>55</v>
      </c>
      <c r="P28" s="32" cm="1">
        <f t="array" ref="P28">SUM(Dados[[#This Row],[Vol. Líquido]:[V. Refugo]]/Dados[[#This Row],[H. Ativas]])</f>
        <v>46.525857519788921</v>
      </c>
      <c r="Q28" s="12">
        <f>Dados[[#This Row],[H. Ativas]]/Dados[[#This Row],[Horas Disp.]]</f>
        <v>0.94750000000000001</v>
      </c>
      <c r="R28" s="12">
        <f>Dados[[#This Row],[Vol. Bruto]]/Dados[[#This Row],[Vol. Padrão]]</f>
        <v>0.80151363636363648</v>
      </c>
      <c r="S28" s="12">
        <f>Dados[[#This Row],[Disponibilidade]]*Dados[[#This Row],[Desempenho]]*Dados[[#This Row],[Qualidade]]</f>
        <v>0.75438442613636369</v>
      </c>
      <c r="T28" s="14">
        <f>YEAR(Dados[[#This Row],[Período]])</f>
        <v>2018</v>
      </c>
      <c r="U28" s="14">
        <f>MONTH(Dados[[#This Row],[Período]])</f>
        <v>2</v>
      </c>
    </row>
    <row r="29" spans="1:21" x14ac:dyDescent="0.25">
      <c r="A29" s="4">
        <v>43136</v>
      </c>
      <c r="B29" s="4" t="s">
        <v>27</v>
      </c>
      <c r="C29" s="5" t="s">
        <v>17</v>
      </c>
      <c r="D29" s="10">
        <v>8</v>
      </c>
      <c r="E29" s="10">
        <f t="shared" si="12"/>
        <v>8</v>
      </c>
      <c r="F29" s="10">
        <v>0</v>
      </c>
      <c r="G29" s="11">
        <v>440</v>
      </c>
      <c r="H29" s="11">
        <v>398.13400000000001</v>
      </c>
      <c r="I29" s="11">
        <v>8.7889999999999997</v>
      </c>
      <c r="J29" s="11">
        <f t="shared" si="13"/>
        <v>406.923</v>
      </c>
      <c r="K29" s="12">
        <f t="shared" si="14"/>
        <v>0.90485000000000004</v>
      </c>
      <c r="L29" s="12">
        <f t="shared" si="1"/>
        <v>0.90485000000000004</v>
      </c>
      <c r="M29" s="12">
        <f t="shared" si="15"/>
        <v>0.97840131916849138</v>
      </c>
      <c r="N29" s="12">
        <f t="shared" si="16"/>
        <v>2.1598680831508663E-2</v>
      </c>
      <c r="O29" s="14">
        <f>Dados[[#This Row],[Vol. Padrão]]/Dados[[#This Row],[Horas Disp.]]</f>
        <v>55</v>
      </c>
      <c r="P29" s="32" cm="1">
        <f t="array" ref="P29">SUM(Dados[[#This Row],[Vol. Líquido]:[V. Refugo]]/Dados[[#This Row],[H. Ativas]])</f>
        <v>50.865375</v>
      </c>
      <c r="Q29" s="12">
        <f>Dados[[#This Row],[H. Ativas]]/Dados[[#This Row],[Horas Disp.]]</f>
        <v>1</v>
      </c>
      <c r="R29" s="12">
        <f>Dados[[#This Row],[Vol. Bruto]]/Dados[[#This Row],[Vol. Padrão]]</f>
        <v>0.92482500000000001</v>
      </c>
      <c r="S29" s="12">
        <f>Dados[[#This Row],[Disponibilidade]]*Dados[[#This Row],[Desempenho]]*Dados[[#This Row],[Qualidade]]</f>
        <v>0.90485000000000004</v>
      </c>
      <c r="T29" s="14">
        <f>YEAR(Dados[[#This Row],[Período]])</f>
        <v>2018</v>
      </c>
      <c r="U29" s="14">
        <f>MONTH(Dados[[#This Row],[Período]])</f>
        <v>2</v>
      </c>
    </row>
    <row r="30" spans="1:21" x14ac:dyDescent="0.25">
      <c r="A30" s="4">
        <v>43137</v>
      </c>
      <c r="B30" s="4" t="s">
        <v>26</v>
      </c>
      <c r="C30" s="5" t="s">
        <v>21</v>
      </c>
      <c r="D30" s="10">
        <v>8</v>
      </c>
      <c r="E30" s="10">
        <f t="shared" si="12"/>
        <v>6.75</v>
      </c>
      <c r="F30" s="10">
        <v>1.25</v>
      </c>
      <c r="G30" s="11">
        <v>440</v>
      </c>
      <c r="H30" s="11">
        <v>347.98700000000002</v>
      </c>
      <c r="I30" s="11">
        <v>12.432</v>
      </c>
      <c r="J30" s="11">
        <f t="shared" si="13"/>
        <v>360.41900000000004</v>
      </c>
      <c r="K30" s="12">
        <f t="shared" si="14"/>
        <v>0.79087954545454553</v>
      </c>
      <c r="L30" s="12">
        <f t="shared" si="1"/>
        <v>0.93733872053872058</v>
      </c>
      <c r="M30" s="12">
        <f t="shared" si="15"/>
        <v>0.96550681290387019</v>
      </c>
      <c r="N30" s="12">
        <f t="shared" si="16"/>
        <v>3.4493187096129779E-2</v>
      </c>
      <c r="O30" s="14">
        <f>Dados[[#This Row],[Vol. Padrão]]/Dados[[#This Row],[Horas Disp.]]</f>
        <v>55</v>
      </c>
      <c r="P30" s="32" cm="1">
        <f t="array" ref="P30">SUM(Dados[[#This Row],[Vol. Líquido]:[V. Refugo]]/Dados[[#This Row],[H. Ativas]])</f>
        <v>53.395407407407411</v>
      </c>
      <c r="Q30" s="12">
        <f>Dados[[#This Row],[H. Ativas]]/Dados[[#This Row],[Horas Disp.]]</f>
        <v>0.84375</v>
      </c>
      <c r="R30" s="12">
        <f>Dados[[#This Row],[Vol. Bruto]]/Dados[[#This Row],[Vol. Padrão]]</f>
        <v>0.81913409090909095</v>
      </c>
      <c r="S30" s="12">
        <f>Dados[[#This Row],[Disponibilidade]]*Dados[[#This Row],[Desempenho]]*Dados[[#This Row],[Qualidade]]</f>
        <v>0.66730461647727268</v>
      </c>
      <c r="T30" s="14">
        <f>YEAR(Dados[[#This Row],[Período]])</f>
        <v>2018</v>
      </c>
      <c r="U30" s="14">
        <f>MONTH(Dados[[#This Row],[Período]])</f>
        <v>2</v>
      </c>
    </row>
    <row r="31" spans="1:21" x14ac:dyDescent="0.25">
      <c r="A31" s="4">
        <v>43138</v>
      </c>
      <c r="B31" s="4" t="s">
        <v>28</v>
      </c>
      <c r="C31" s="5" t="s">
        <v>15</v>
      </c>
      <c r="D31" s="10">
        <v>8</v>
      </c>
      <c r="E31" s="10">
        <f t="shared" si="12"/>
        <v>7.45</v>
      </c>
      <c r="F31" s="10">
        <v>0.55000000000000004</v>
      </c>
      <c r="G31" s="11">
        <v>440</v>
      </c>
      <c r="H31" s="11">
        <v>365.12</v>
      </c>
      <c r="I31" s="11">
        <v>43.95</v>
      </c>
      <c r="J31" s="11">
        <f t="shared" si="13"/>
        <v>409.07</v>
      </c>
      <c r="K31" s="12">
        <f t="shared" si="14"/>
        <v>0.82981818181818179</v>
      </c>
      <c r="L31" s="12">
        <f t="shared" si="1"/>
        <v>0.89107992678462478</v>
      </c>
      <c r="M31" s="12">
        <f t="shared" si="15"/>
        <v>0.89256117534896229</v>
      </c>
      <c r="N31" s="12">
        <f t="shared" si="16"/>
        <v>0.10743882465103773</v>
      </c>
      <c r="O31" s="14">
        <f>Dados[[#This Row],[Vol. Padrão]]/Dados[[#This Row],[Horas Disp.]]</f>
        <v>55</v>
      </c>
      <c r="P31" s="32" cm="1">
        <f t="array" ref="P31">SUM(Dados[[#This Row],[Vol. Líquido]:[V. Refugo]]/Dados[[#This Row],[H. Ativas]])</f>
        <v>54.908724832214766</v>
      </c>
      <c r="Q31" s="12">
        <f>Dados[[#This Row],[H. Ativas]]/Dados[[#This Row],[Horas Disp.]]</f>
        <v>0.93125000000000002</v>
      </c>
      <c r="R31" s="12">
        <f>Dados[[#This Row],[Vol. Bruto]]/Dados[[#This Row],[Vol. Padrão]]</f>
        <v>0.92970454545454539</v>
      </c>
      <c r="S31" s="12">
        <f>Dados[[#This Row],[Disponibilidade]]*Dados[[#This Row],[Desempenho]]*Dados[[#This Row],[Qualidade]]</f>
        <v>0.77276818181818174</v>
      </c>
      <c r="T31" s="14">
        <f>YEAR(Dados[[#This Row],[Período]])</f>
        <v>2018</v>
      </c>
      <c r="U31" s="14">
        <f>MONTH(Dados[[#This Row],[Período]])</f>
        <v>2</v>
      </c>
    </row>
    <row r="32" spans="1:21" x14ac:dyDescent="0.25">
      <c r="A32" s="4">
        <v>43139</v>
      </c>
      <c r="B32" s="4" t="s">
        <v>27</v>
      </c>
      <c r="C32" s="5" t="s">
        <v>20</v>
      </c>
      <c r="D32" s="10">
        <v>8</v>
      </c>
      <c r="E32" s="10">
        <f t="shared" si="12"/>
        <v>7.83</v>
      </c>
      <c r="F32" s="10">
        <v>0.17</v>
      </c>
      <c r="G32" s="11">
        <v>440</v>
      </c>
      <c r="H32" s="11">
        <v>278.33300000000003</v>
      </c>
      <c r="I32" s="11">
        <v>9.0850000000000009</v>
      </c>
      <c r="J32" s="11">
        <f t="shared" si="13"/>
        <v>287.41800000000001</v>
      </c>
      <c r="K32" s="12">
        <f t="shared" si="14"/>
        <v>0.63257500000000011</v>
      </c>
      <c r="L32" s="12">
        <f t="shared" si="1"/>
        <v>0.64630906768837815</v>
      </c>
      <c r="M32" s="12">
        <f t="shared" si="15"/>
        <v>0.96839098455907435</v>
      </c>
      <c r="N32" s="12">
        <f t="shared" si="16"/>
        <v>3.1609015440925765E-2</v>
      </c>
      <c r="O32" s="14">
        <f>Dados[[#This Row],[Vol. Padrão]]/Dados[[#This Row],[Horas Disp.]]</f>
        <v>55</v>
      </c>
      <c r="P32" s="32" cm="1">
        <f t="array" ref="P32">SUM(Dados[[#This Row],[Vol. Líquido]:[V. Refugo]]/Dados[[#This Row],[H. Ativas]])</f>
        <v>36.707279693486591</v>
      </c>
      <c r="Q32" s="12">
        <f>Dados[[#This Row],[H. Ativas]]/Dados[[#This Row],[Horas Disp.]]</f>
        <v>0.97875000000000001</v>
      </c>
      <c r="R32" s="12">
        <f>Dados[[#This Row],[Vol. Bruto]]/Dados[[#This Row],[Vol. Padrão]]</f>
        <v>0.65322272727272723</v>
      </c>
      <c r="S32" s="12">
        <f>Dados[[#This Row],[Disponibilidade]]*Dados[[#This Row],[Desempenho]]*Dados[[#This Row],[Qualidade]]</f>
        <v>0.61913278125000004</v>
      </c>
      <c r="T32" s="14">
        <f>YEAR(Dados[[#This Row],[Período]])</f>
        <v>2018</v>
      </c>
      <c r="U32" s="14">
        <f>MONTH(Dados[[#This Row],[Período]])</f>
        <v>2</v>
      </c>
    </row>
    <row r="33" spans="1:21" x14ac:dyDescent="0.25">
      <c r="A33" s="4">
        <v>43140</v>
      </c>
      <c r="B33" s="4" t="s">
        <v>29</v>
      </c>
      <c r="C33" s="5" t="s">
        <v>19</v>
      </c>
      <c r="D33" s="10">
        <v>8</v>
      </c>
      <c r="E33" s="10">
        <f t="shared" si="12"/>
        <v>7.85</v>
      </c>
      <c r="F33" s="10">
        <v>0.15</v>
      </c>
      <c r="G33" s="11">
        <v>440</v>
      </c>
      <c r="H33" s="11">
        <v>408.19200000000001</v>
      </c>
      <c r="I33" s="11">
        <v>1.2450000000000001</v>
      </c>
      <c r="J33" s="11">
        <f t="shared" si="13"/>
        <v>409.43700000000001</v>
      </c>
      <c r="K33" s="12">
        <f t="shared" si="14"/>
        <v>0.92770909090909093</v>
      </c>
      <c r="L33" s="12">
        <f t="shared" si="1"/>
        <v>0.94543601621308626</v>
      </c>
      <c r="M33" s="12">
        <f t="shared" si="15"/>
        <v>0.99695923915034546</v>
      </c>
      <c r="N33" s="12">
        <f t="shared" si="16"/>
        <v>3.040760849654526E-3</v>
      </c>
      <c r="O33" s="14">
        <f>Dados[[#This Row],[Vol. Padrão]]/Dados[[#This Row],[Horas Disp.]]</f>
        <v>55</v>
      </c>
      <c r="P33" s="32" cm="1">
        <f t="array" ref="P33">SUM(Dados[[#This Row],[Vol. Líquido]:[V. Refugo]]/Dados[[#This Row],[H. Ativas]])</f>
        <v>52.157579617834394</v>
      </c>
      <c r="Q33" s="12">
        <f>Dados[[#This Row],[H. Ativas]]/Dados[[#This Row],[Horas Disp.]]</f>
        <v>0.98124999999999996</v>
      </c>
      <c r="R33" s="12">
        <f>Dados[[#This Row],[Vol. Bruto]]/Dados[[#This Row],[Vol. Padrão]]</f>
        <v>0.93053863636363643</v>
      </c>
      <c r="S33" s="12">
        <f>Dados[[#This Row],[Disponibilidade]]*Dados[[#This Row],[Desempenho]]*Dados[[#This Row],[Qualidade]]</f>
        <v>0.91031454545454549</v>
      </c>
      <c r="T33" s="14">
        <f>YEAR(Dados[[#This Row],[Período]])</f>
        <v>2018</v>
      </c>
      <c r="U33" s="14">
        <f>MONTH(Dados[[#This Row],[Período]])</f>
        <v>2</v>
      </c>
    </row>
    <row r="34" spans="1:21" x14ac:dyDescent="0.25">
      <c r="A34" s="4">
        <v>43141</v>
      </c>
      <c r="B34" s="4" t="s">
        <v>30</v>
      </c>
      <c r="C34" s="5" t="s">
        <v>16</v>
      </c>
      <c r="D34" s="10">
        <v>8</v>
      </c>
      <c r="E34" s="10">
        <f t="shared" si="12"/>
        <v>7.33</v>
      </c>
      <c r="F34" s="10">
        <v>0.67</v>
      </c>
      <c r="G34" s="11">
        <v>440</v>
      </c>
      <c r="H34" s="11">
        <v>309.79899999999998</v>
      </c>
      <c r="I34" s="11">
        <v>4.5</v>
      </c>
      <c r="J34" s="11">
        <f t="shared" si="13"/>
        <v>314.29899999999998</v>
      </c>
      <c r="K34" s="12">
        <f t="shared" si="14"/>
        <v>0.70408863636363628</v>
      </c>
      <c r="L34" s="12">
        <f t="shared" si="1"/>
        <v>0.76844598784571494</v>
      </c>
      <c r="M34" s="12">
        <f t="shared" si="15"/>
        <v>0.98568242342482792</v>
      </c>
      <c r="N34" s="12">
        <f t="shared" si="16"/>
        <v>1.4317576575172051E-2</v>
      </c>
      <c r="O34" s="14">
        <f>Dados[[#This Row],[Vol. Padrão]]/Dados[[#This Row],[Horas Disp.]]</f>
        <v>55</v>
      </c>
      <c r="P34" s="32" cm="1">
        <f t="array" ref="P34">SUM(Dados[[#This Row],[Vol. Líquido]:[V. Refugo]]/Dados[[#This Row],[H. Ativas]])</f>
        <v>42.878444747612541</v>
      </c>
      <c r="Q34" s="12">
        <f>Dados[[#This Row],[H. Ativas]]/Dados[[#This Row],[Horas Disp.]]</f>
        <v>0.91625000000000001</v>
      </c>
      <c r="R34" s="12">
        <f>Dados[[#This Row],[Vol. Bruto]]/Dados[[#This Row],[Vol. Padrão]]</f>
        <v>0.71431590909090903</v>
      </c>
      <c r="S34" s="12">
        <f>Dados[[#This Row],[Disponibilidade]]*Dados[[#This Row],[Desempenho]]*Dados[[#This Row],[Qualidade]]</f>
        <v>0.64512121306818182</v>
      </c>
      <c r="T34" s="14">
        <f>YEAR(Dados[[#This Row],[Período]])</f>
        <v>2018</v>
      </c>
      <c r="U34" s="14">
        <f>MONTH(Dados[[#This Row],[Período]])</f>
        <v>2</v>
      </c>
    </row>
    <row r="35" spans="1:21" x14ac:dyDescent="0.25">
      <c r="A35" s="4">
        <v>43142</v>
      </c>
      <c r="B35" s="4" t="s">
        <v>26</v>
      </c>
      <c r="C35" s="5" t="s">
        <v>22</v>
      </c>
      <c r="D35" s="10">
        <v>8</v>
      </c>
      <c r="E35" s="10">
        <f t="shared" ref="E35:E43" si="17">D35-F35</f>
        <v>7.17</v>
      </c>
      <c r="F35" s="10">
        <v>0.83</v>
      </c>
      <c r="G35" s="11">
        <v>440</v>
      </c>
      <c r="H35" s="11">
        <v>270.39999999999998</v>
      </c>
      <c r="I35" s="11">
        <v>8.3000000000000007</v>
      </c>
      <c r="J35" s="11">
        <f t="shared" ref="J35:J43" si="18">SUM(H35:I35)</f>
        <v>278.7</v>
      </c>
      <c r="K35" s="12">
        <f t="shared" ref="K35:K43" si="19">(H35/G35)</f>
        <v>0.61454545454545451</v>
      </c>
      <c r="L35" s="12">
        <f t="shared" ref="L35:L43" si="20">H35/(E35*55)</f>
        <v>0.68568530493216673</v>
      </c>
      <c r="M35" s="12">
        <f t="shared" ref="M35:M43" si="21">(H35/J35)</f>
        <v>0.97021887334050949</v>
      </c>
      <c r="N35" s="12">
        <f t="shared" ref="N35:N43" si="22">I35/(H35+I35)</f>
        <v>2.9781126659490495E-2</v>
      </c>
      <c r="O35" s="14">
        <f>Dados[[#This Row],[Vol. Padrão]]/Dados[[#This Row],[Horas Disp.]]</f>
        <v>55</v>
      </c>
      <c r="P35" s="32" cm="1">
        <f t="array" ref="P35">SUM(Dados[[#This Row],[Vol. Líquido]:[V. Refugo]]/Dados[[#This Row],[H. Ativas]])</f>
        <v>38.870292887029287</v>
      </c>
      <c r="Q35" s="12">
        <f>Dados[[#This Row],[H. Ativas]]/Dados[[#This Row],[Horas Disp.]]</f>
        <v>0.89624999999999999</v>
      </c>
      <c r="R35" s="12">
        <f>Dados[[#This Row],[Vol. Bruto]]/Dados[[#This Row],[Vol. Padrão]]</f>
        <v>0.63340909090909092</v>
      </c>
      <c r="S35" s="12">
        <f>Dados[[#This Row],[Disponibilidade]]*Dados[[#This Row],[Desempenho]]*Dados[[#This Row],[Qualidade]]</f>
        <v>0.55078636363636357</v>
      </c>
      <c r="T35" s="14">
        <f>YEAR(Dados[[#This Row],[Período]])</f>
        <v>2018</v>
      </c>
      <c r="U35" s="14">
        <f>MONTH(Dados[[#This Row],[Período]])</f>
        <v>2</v>
      </c>
    </row>
    <row r="36" spans="1:21" x14ac:dyDescent="0.25">
      <c r="A36" s="4">
        <v>43143</v>
      </c>
      <c r="B36" s="4" t="s">
        <v>27</v>
      </c>
      <c r="C36" s="5" t="s">
        <v>17</v>
      </c>
      <c r="D36" s="10">
        <v>8</v>
      </c>
      <c r="E36" s="10">
        <f t="shared" si="17"/>
        <v>7.53</v>
      </c>
      <c r="F36" s="10">
        <v>0.47</v>
      </c>
      <c r="G36" s="11">
        <v>440</v>
      </c>
      <c r="H36" s="11">
        <v>362.87</v>
      </c>
      <c r="I36" s="11">
        <v>12.34</v>
      </c>
      <c r="J36" s="11">
        <f t="shared" si="18"/>
        <v>375.21</v>
      </c>
      <c r="K36" s="12">
        <f t="shared" si="19"/>
        <v>0.82470454545454541</v>
      </c>
      <c r="L36" s="12">
        <f t="shared" si="20"/>
        <v>0.87618012797295663</v>
      </c>
      <c r="M36" s="12">
        <f t="shared" si="21"/>
        <v>0.96711175075291178</v>
      </c>
      <c r="N36" s="12">
        <f t="shared" si="22"/>
        <v>3.2888249247088296E-2</v>
      </c>
      <c r="O36" s="14">
        <f>Dados[[#This Row],[Vol. Padrão]]/Dados[[#This Row],[Horas Disp.]]</f>
        <v>55</v>
      </c>
      <c r="P36" s="32" cm="1">
        <f t="array" ref="P36">SUM(Dados[[#This Row],[Vol. Líquido]:[V. Refugo]]/Dados[[#This Row],[H. Ativas]])</f>
        <v>49.828685258964143</v>
      </c>
      <c r="Q36" s="12">
        <f>Dados[[#This Row],[H. Ativas]]/Dados[[#This Row],[Horas Disp.]]</f>
        <v>0.94125000000000003</v>
      </c>
      <c r="R36" s="12">
        <f>Dados[[#This Row],[Vol. Bruto]]/Dados[[#This Row],[Vol. Padrão]]</f>
        <v>0.85275000000000001</v>
      </c>
      <c r="S36" s="12">
        <f>Dados[[#This Row],[Disponibilidade]]*Dados[[#This Row],[Desempenho]]*Dados[[#This Row],[Qualidade]]</f>
        <v>0.77625315340909107</v>
      </c>
      <c r="T36" s="14">
        <f>YEAR(Dados[[#This Row],[Período]])</f>
        <v>2018</v>
      </c>
      <c r="U36" s="14">
        <f>MONTH(Dados[[#This Row],[Período]])</f>
        <v>2</v>
      </c>
    </row>
    <row r="37" spans="1:21" x14ac:dyDescent="0.25">
      <c r="A37" s="4">
        <v>43144</v>
      </c>
      <c r="B37" s="4" t="s">
        <v>28</v>
      </c>
      <c r="C37" s="5" t="s">
        <v>15</v>
      </c>
      <c r="D37" s="10">
        <v>8</v>
      </c>
      <c r="E37" s="10">
        <f t="shared" si="17"/>
        <v>7.48</v>
      </c>
      <c r="F37" s="10">
        <v>0.52</v>
      </c>
      <c r="G37" s="11">
        <v>440</v>
      </c>
      <c r="H37" s="11">
        <v>282.39999999999998</v>
      </c>
      <c r="I37" s="11">
        <v>16.765000000000001</v>
      </c>
      <c r="J37" s="11">
        <f t="shared" si="18"/>
        <v>299.16499999999996</v>
      </c>
      <c r="K37" s="12">
        <f t="shared" si="19"/>
        <v>0.64181818181818173</v>
      </c>
      <c r="L37" s="12">
        <f t="shared" si="20"/>
        <v>0.68643655809431203</v>
      </c>
      <c r="M37" s="12">
        <f t="shared" si="21"/>
        <v>0.9439606905888055</v>
      </c>
      <c r="N37" s="12">
        <f t="shared" si="22"/>
        <v>5.6039309411194498E-2</v>
      </c>
      <c r="O37" s="14">
        <f>Dados[[#This Row],[Vol. Padrão]]/Dados[[#This Row],[Horas Disp.]]</f>
        <v>55</v>
      </c>
      <c r="P37" s="32" cm="1">
        <f t="array" ref="P37">SUM(Dados[[#This Row],[Vol. Líquido]:[V. Refugo]]/Dados[[#This Row],[H. Ativas]])</f>
        <v>39.99532085561497</v>
      </c>
      <c r="Q37" s="12">
        <f>Dados[[#This Row],[H. Ativas]]/Dados[[#This Row],[Horas Disp.]]</f>
        <v>0.93500000000000005</v>
      </c>
      <c r="R37" s="12">
        <f>Dados[[#This Row],[Vol. Bruto]]/Dados[[#This Row],[Vol. Padrão]]</f>
        <v>0.67992045454545447</v>
      </c>
      <c r="S37" s="12">
        <f>Dados[[#This Row],[Disponibilidade]]*Dados[[#This Row],[Desempenho]]*Dados[[#This Row],[Qualidade]]</f>
        <v>0.60009999999999997</v>
      </c>
      <c r="T37" s="14">
        <f>YEAR(Dados[[#This Row],[Período]])</f>
        <v>2018</v>
      </c>
      <c r="U37" s="14">
        <f>MONTH(Dados[[#This Row],[Período]])</f>
        <v>2</v>
      </c>
    </row>
    <row r="38" spans="1:21" x14ac:dyDescent="0.25">
      <c r="A38" s="4">
        <v>43145</v>
      </c>
      <c r="B38" s="4" t="s">
        <v>29</v>
      </c>
      <c r="C38" s="5" t="s">
        <v>19</v>
      </c>
      <c r="D38" s="10">
        <v>8</v>
      </c>
      <c r="E38" s="10">
        <f t="shared" si="17"/>
        <v>7.05</v>
      </c>
      <c r="F38" s="10">
        <v>0.95</v>
      </c>
      <c r="G38" s="11">
        <v>440</v>
      </c>
      <c r="H38" s="11">
        <v>369.78</v>
      </c>
      <c r="I38" s="11">
        <v>2.7890000000000001</v>
      </c>
      <c r="J38" s="11">
        <f t="shared" si="18"/>
        <v>372.56899999999996</v>
      </c>
      <c r="K38" s="12">
        <f t="shared" si="19"/>
        <v>0.84040909090909088</v>
      </c>
      <c r="L38" s="12">
        <f t="shared" si="20"/>
        <v>0.95365570599613148</v>
      </c>
      <c r="M38" s="12">
        <f t="shared" si="21"/>
        <v>0.99251413832068691</v>
      </c>
      <c r="N38" s="12">
        <f t="shared" si="22"/>
        <v>7.4858616793130953E-3</v>
      </c>
      <c r="O38" s="14">
        <f>Dados[[#This Row],[Vol. Padrão]]/Dados[[#This Row],[Horas Disp.]]</f>
        <v>55</v>
      </c>
      <c r="P38" s="32" cm="1">
        <f t="array" ref="P38">SUM(Dados[[#This Row],[Vol. Líquido]:[V. Refugo]]/Dados[[#This Row],[H. Ativas]])</f>
        <v>52.846666666666664</v>
      </c>
      <c r="Q38" s="12">
        <f>Dados[[#This Row],[H. Ativas]]/Dados[[#This Row],[Horas Disp.]]</f>
        <v>0.88124999999999998</v>
      </c>
      <c r="R38" s="12">
        <f>Dados[[#This Row],[Vol. Bruto]]/Dados[[#This Row],[Vol. Padrão]]</f>
        <v>0.84674772727272718</v>
      </c>
      <c r="S38" s="12">
        <f>Dados[[#This Row],[Disponibilidade]]*Dados[[#This Row],[Desempenho]]*Dados[[#This Row],[Qualidade]]</f>
        <v>0.74061051136363631</v>
      </c>
      <c r="T38" s="14">
        <f>YEAR(Dados[[#This Row],[Período]])</f>
        <v>2018</v>
      </c>
      <c r="U38" s="14">
        <f>MONTH(Dados[[#This Row],[Período]])</f>
        <v>2</v>
      </c>
    </row>
    <row r="39" spans="1:21" x14ac:dyDescent="0.25">
      <c r="A39" s="4">
        <v>43146</v>
      </c>
      <c r="B39" s="4" t="s">
        <v>30</v>
      </c>
      <c r="C39" s="5" t="s">
        <v>16</v>
      </c>
      <c r="D39" s="10">
        <v>8</v>
      </c>
      <c r="E39" s="10">
        <f t="shared" si="17"/>
        <v>7.67</v>
      </c>
      <c r="F39" s="10">
        <v>0.33</v>
      </c>
      <c r="G39" s="11">
        <v>440</v>
      </c>
      <c r="H39" s="11">
        <v>290.45</v>
      </c>
      <c r="I39" s="11">
        <v>17.34</v>
      </c>
      <c r="J39" s="11">
        <f t="shared" si="18"/>
        <v>307.78999999999996</v>
      </c>
      <c r="K39" s="12">
        <f t="shared" si="19"/>
        <v>0.66011363636363629</v>
      </c>
      <c r="L39" s="12">
        <f t="shared" si="20"/>
        <v>0.68851487495555286</v>
      </c>
      <c r="M39" s="12">
        <f t="shared" si="21"/>
        <v>0.94366288703336698</v>
      </c>
      <c r="N39" s="12">
        <f t="shared" si="22"/>
        <v>5.6337112966633102E-2</v>
      </c>
      <c r="O39" s="14">
        <f>Dados[[#This Row],[Vol. Padrão]]/Dados[[#This Row],[Horas Disp.]]</f>
        <v>55</v>
      </c>
      <c r="P39" s="32" cm="1">
        <f t="array" ref="P39">SUM(Dados[[#This Row],[Vol. Líquido]:[V. Refugo]]/Dados[[#This Row],[H. Ativas]])</f>
        <v>40.129074315514991</v>
      </c>
      <c r="Q39" s="12">
        <f>Dados[[#This Row],[H. Ativas]]/Dados[[#This Row],[Horas Disp.]]</f>
        <v>0.95874999999999999</v>
      </c>
      <c r="R39" s="12">
        <f>Dados[[#This Row],[Vol. Bruto]]/Dados[[#This Row],[Vol. Padrão]]</f>
        <v>0.69952272727272724</v>
      </c>
      <c r="S39" s="12">
        <f>Dados[[#This Row],[Disponibilidade]]*Dados[[#This Row],[Desempenho]]*Dados[[#This Row],[Qualidade]]</f>
        <v>0.63288394886363641</v>
      </c>
      <c r="T39" s="14">
        <f>YEAR(Dados[[#This Row],[Período]])</f>
        <v>2018</v>
      </c>
      <c r="U39" s="14">
        <f>MONTH(Dados[[#This Row],[Período]])</f>
        <v>2</v>
      </c>
    </row>
    <row r="40" spans="1:21" x14ac:dyDescent="0.25">
      <c r="A40" s="4">
        <v>43147</v>
      </c>
      <c r="B40" s="4" t="s">
        <v>28</v>
      </c>
      <c r="C40" s="5" t="s">
        <v>13</v>
      </c>
      <c r="D40" s="10">
        <v>8</v>
      </c>
      <c r="E40" s="10">
        <f t="shared" si="17"/>
        <v>7.75</v>
      </c>
      <c r="F40" s="10">
        <v>0.25</v>
      </c>
      <c r="G40" s="11">
        <v>440</v>
      </c>
      <c r="H40" s="11">
        <v>302.3</v>
      </c>
      <c r="I40" s="11">
        <v>5.21</v>
      </c>
      <c r="J40" s="11">
        <f t="shared" si="18"/>
        <v>307.51</v>
      </c>
      <c r="K40" s="12">
        <f t="shared" si="19"/>
        <v>0.68704545454545463</v>
      </c>
      <c r="L40" s="12">
        <f t="shared" si="20"/>
        <v>0.70920821114369503</v>
      </c>
      <c r="M40" s="12">
        <f t="shared" si="21"/>
        <v>0.98305746154596607</v>
      </c>
      <c r="N40" s="12">
        <f t="shared" si="22"/>
        <v>1.6942538454034015E-2</v>
      </c>
      <c r="O40" s="14">
        <f>Dados[[#This Row],[Vol. Padrão]]/Dados[[#This Row],[Horas Disp.]]</f>
        <v>55</v>
      </c>
      <c r="P40" s="32" cm="1">
        <f t="array" ref="P40">SUM(Dados[[#This Row],[Vol. Líquido]:[V. Refugo]]/Dados[[#This Row],[H. Ativas]])</f>
        <v>39.678709677419356</v>
      </c>
      <c r="Q40" s="12">
        <f>Dados[[#This Row],[H. Ativas]]/Dados[[#This Row],[Horas Disp.]]</f>
        <v>0.96875</v>
      </c>
      <c r="R40" s="12">
        <f>Dados[[#This Row],[Vol. Bruto]]/Dados[[#This Row],[Vol. Padrão]]</f>
        <v>0.69888636363636358</v>
      </c>
      <c r="S40" s="12">
        <f>Dados[[#This Row],[Disponibilidade]]*Dados[[#This Row],[Desempenho]]*Dados[[#This Row],[Qualidade]]</f>
        <v>0.66557528409090916</v>
      </c>
      <c r="T40" s="14">
        <f>YEAR(Dados[[#This Row],[Período]])</f>
        <v>2018</v>
      </c>
      <c r="U40" s="14">
        <f>MONTH(Dados[[#This Row],[Período]])</f>
        <v>2</v>
      </c>
    </row>
    <row r="41" spans="1:21" x14ac:dyDescent="0.25">
      <c r="A41" s="4">
        <v>43148</v>
      </c>
      <c r="B41" s="4" t="s">
        <v>30</v>
      </c>
      <c r="C41" s="5" t="s">
        <v>18</v>
      </c>
      <c r="D41" s="10">
        <v>8</v>
      </c>
      <c r="E41" s="10">
        <f t="shared" si="17"/>
        <v>7.58</v>
      </c>
      <c r="F41" s="10">
        <v>0.42</v>
      </c>
      <c r="G41" s="11">
        <v>440</v>
      </c>
      <c r="H41" s="11">
        <v>404.65</v>
      </c>
      <c r="I41" s="11">
        <v>5.3470000000000004</v>
      </c>
      <c r="J41" s="11">
        <f t="shared" si="18"/>
        <v>409.99699999999996</v>
      </c>
      <c r="K41" s="12">
        <f t="shared" si="19"/>
        <v>0.91965909090909082</v>
      </c>
      <c r="L41" s="12">
        <f t="shared" si="20"/>
        <v>0.97061645478532022</v>
      </c>
      <c r="M41" s="12">
        <f t="shared" si="21"/>
        <v>0.98695844115932563</v>
      </c>
      <c r="N41" s="12">
        <f t="shared" si="22"/>
        <v>1.3041558840674447E-2</v>
      </c>
      <c r="O41" s="14">
        <f>Dados[[#This Row],[Vol. Padrão]]/Dados[[#This Row],[Horas Disp.]]</f>
        <v>55</v>
      </c>
      <c r="P41" s="32" cm="1">
        <f t="array" ref="P41">SUM(Dados[[#This Row],[Vol. Líquido]:[V. Refugo]]/Dados[[#This Row],[H. Ativas]])</f>
        <v>54.089313984168861</v>
      </c>
      <c r="Q41" s="12">
        <f>Dados[[#This Row],[H. Ativas]]/Dados[[#This Row],[Horas Disp.]]</f>
        <v>0.94750000000000001</v>
      </c>
      <c r="R41" s="12">
        <f>Dados[[#This Row],[Vol. Bruto]]/Dados[[#This Row],[Vol. Padrão]]</f>
        <v>0.93181136363636352</v>
      </c>
      <c r="S41" s="12">
        <f>Dados[[#This Row],[Disponibilidade]]*Dados[[#This Row],[Desempenho]]*Dados[[#This Row],[Qualidade]]</f>
        <v>0.87137698863636359</v>
      </c>
      <c r="T41" s="14">
        <f>YEAR(Dados[[#This Row],[Período]])</f>
        <v>2018</v>
      </c>
      <c r="U41" s="14">
        <f>MONTH(Dados[[#This Row],[Período]])</f>
        <v>2</v>
      </c>
    </row>
    <row r="42" spans="1:21" x14ac:dyDescent="0.25">
      <c r="A42" s="4">
        <v>43149</v>
      </c>
      <c r="B42" s="4" t="s">
        <v>27</v>
      </c>
      <c r="C42" s="5" t="s">
        <v>20</v>
      </c>
      <c r="D42" s="10">
        <v>8</v>
      </c>
      <c r="E42" s="10">
        <f t="shared" si="17"/>
        <v>7.55</v>
      </c>
      <c r="F42" s="10">
        <v>0.45</v>
      </c>
      <c r="G42" s="11">
        <v>440</v>
      </c>
      <c r="H42" s="11">
        <v>349.12</v>
      </c>
      <c r="I42" s="11">
        <v>10.798</v>
      </c>
      <c r="J42" s="11">
        <f t="shared" si="18"/>
        <v>359.91800000000001</v>
      </c>
      <c r="K42" s="12">
        <f t="shared" si="19"/>
        <v>0.79345454545454541</v>
      </c>
      <c r="L42" s="12">
        <f t="shared" si="20"/>
        <v>0.84074653822998191</v>
      </c>
      <c r="M42" s="12">
        <f t="shared" si="21"/>
        <v>0.96999872193110648</v>
      </c>
      <c r="N42" s="12">
        <f t="shared" si="22"/>
        <v>3.000127806889347E-2</v>
      </c>
      <c r="O42" s="14">
        <f>Dados[[#This Row],[Vol. Padrão]]/Dados[[#This Row],[Horas Disp.]]</f>
        <v>55</v>
      </c>
      <c r="P42" s="32" cm="1">
        <f t="array" ref="P42">SUM(Dados[[#This Row],[Vol. Líquido]:[V. Refugo]]/Dados[[#This Row],[H. Ativas]])</f>
        <v>47.6712582781457</v>
      </c>
      <c r="Q42" s="12">
        <f>Dados[[#This Row],[H. Ativas]]/Dados[[#This Row],[Horas Disp.]]</f>
        <v>0.94374999999999998</v>
      </c>
      <c r="R42" s="12">
        <f>Dados[[#This Row],[Vol. Bruto]]/Dados[[#This Row],[Vol. Padrão]]</f>
        <v>0.81799545454545453</v>
      </c>
      <c r="S42" s="12">
        <f>Dados[[#This Row],[Disponibilidade]]*Dados[[#This Row],[Desempenho]]*Dados[[#This Row],[Qualidade]]</f>
        <v>0.74882272727272714</v>
      </c>
      <c r="T42" s="14">
        <f>YEAR(Dados[[#This Row],[Período]])</f>
        <v>2018</v>
      </c>
      <c r="U42" s="14">
        <f>MONTH(Dados[[#This Row],[Período]])</f>
        <v>2</v>
      </c>
    </row>
    <row r="43" spans="1:21" x14ac:dyDescent="0.25">
      <c r="A43" s="4">
        <v>43150</v>
      </c>
      <c r="B43" s="4" t="s">
        <v>29</v>
      </c>
      <c r="C43" s="5" t="s">
        <v>14</v>
      </c>
      <c r="D43" s="10">
        <v>8</v>
      </c>
      <c r="E43" s="10">
        <f t="shared" si="17"/>
        <v>7.85</v>
      </c>
      <c r="F43" s="10">
        <v>0.15</v>
      </c>
      <c r="G43" s="11">
        <v>440</v>
      </c>
      <c r="H43" s="11">
        <v>377.34199999999998</v>
      </c>
      <c r="I43" s="11">
        <v>17.8</v>
      </c>
      <c r="J43" s="11">
        <f t="shared" si="18"/>
        <v>395.142</v>
      </c>
      <c r="K43" s="12">
        <f t="shared" si="19"/>
        <v>0.85759545454545449</v>
      </c>
      <c r="L43" s="12">
        <f t="shared" si="20"/>
        <v>0.87398262883613198</v>
      </c>
      <c r="M43" s="12">
        <f t="shared" si="21"/>
        <v>0.95495290300702018</v>
      </c>
      <c r="N43" s="12">
        <f t="shared" si="22"/>
        <v>4.5047096992979742E-2</v>
      </c>
      <c r="O43" s="14">
        <f>Dados[[#This Row],[Vol. Padrão]]/Dados[[#This Row],[Horas Disp.]]</f>
        <v>55</v>
      </c>
      <c r="P43" s="32" cm="1">
        <f t="array" ref="P43">SUM(Dados[[#This Row],[Vol. Líquido]:[V. Refugo]]/Dados[[#This Row],[H. Ativas]])</f>
        <v>50.336560509554147</v>
      </c>
      <c r="Q43" s="12">
        <f>Dados[[#This Row],[H. Ativas]]/Dados[[#This Row],[Horas Disp.]]</f>
        <v>0.98124999999999996</v>
      </c>
      <c r="R43" s="12">
        <f>Dados[[#This Row],[Vol. Bruto]]/Dados[[#This Row],[Vol. Padrão]]</f>
        <v>0.89805000000000001</v>
      </c>
      <c r="S43" s="12">
        <f>Dados[[#This Row],[Disponibilidade]]*Dados[[#This Row],[Desempenho]]*Dados[[#This Row],[Qualidade]]</f>
        <v>0.84151553977272719</v>
      </c>
      <c r="T43" s="14">
        <f>YEAR(Dados[[#This Row],[Período]])</f>
        <v>2018</v>
      </c>
      <c r="U43" s="14">
        <f>MONTH(Dados[[#This Row],[Período]])</f>
        <v>2</v>
      </c>
    </row>
    <row r="44" spans="1:21" x14ac:dyDescent="0.25">
      <c r="A44" s="9">
        <v>43160</v>
      </c>
      <c r="B44" s="4" t="s">
        <v>26</v>
      </c>
      <c r="C44" s="5" t="s">
        <v>21</v>
      </c>
      <c r="D44" s="10">
        <v>8</v>
      </c>
      <c r="E44" s="10">
        <f t="shared" si="12"/>
        <v>7</v>
      </c>
      <c r="F44" s="10">
        <v>1</v>
      </c>
      <c r="G44" s="11">
        <v>440</v>
      </c>
      <c r="H44" s="11">
        <v>350</v>
      </c>
      <c r="I44" s="11">
        <v>3.4</v>
      </c>
      <c r="J44" s="11">
        <f t="shared" si="13"/>
        <v>353.4</v>
      </c>
      <c r="K44" s="12">
        <f t="shared" si="14"/>
        <v>0.79545454545454541</v>
      </c>
      <c r="L44" s="12">
        <f t="shared" si="1"/>
        <v>0.90909090909090906</v>
      </c>
      <c r="M44" s="12">
        <f t="shared" si="15"/>
        <v>0.99037917374080364</v>
      </c>
      <c r="N44" s="12">
        <f t="shared" si="16"/>
        <v>9.6208262591963786E-3</v>
      </c>
      <c r="O44" s="14">
        <f>Dados[[#This Row],[Vol. Padrão]]/Dados[[#This Row],[Horas Disp.]]</f>
        <v>55</v>
      </c>
      <c r="P44" s="32" cm="1">
        <f t="array" ref="P44">SUM(Dados[[#This Row],[Vol. Líquido]:[V. Refugo]]/Dados[[#This Row],[H. Ativas]])</f>
        <v>50.485714285714288</v>
      </c>
      <c r="Q44" s="12">
        <f>Dados[[#This Row],[H. Ativas]]/Dados[[#This Row],[Horas Disp.]]</f>
        <v>0.875</v>
      </c>
      <c r="R44" s="12">
        <f>Dados[[#This Row],[Vol. Bruto]]/Dados[[#This Row],[Vol. Padrão]]</f>
        <v>0.80318181818181811</v>
      </c>
      <c r="S44" s="12">
        <f>Dados[[#This Row],[Disponibilidade]]*Dados[[#This Row],[Desempenho]]*Dados[[#This Row],[Qualidade]]</f>
        <v>0.69602272727272729</v>
      </c>
      <c r="T44" s="14">
        <f>YEAR(Dados[[#This Row],[Período]])</f>
        <v>2018</v>
      </c>
      <c r="U44" s="14">
        <f>MONTH(Dados[[#This Row],[Período]])</f>
        <v>3</v>
      </c>
    </row>
    <row r="45" spans="1:21" x14ac:dyDescent="0.25">
      <c r="A45" s="9">
        <v>43161</v>
      </c>
      <c r="B45" s="4" t="s">
        <v>27</v>
      </c>
      <c r="C45" s="5" t="s">
        <v>17</v>
      </c>
      <c r="D45" s="10">
        <v>8</v>
      </c>
      <c r="E45" s="10">
        <f t="shared" si="12"/>
        <v>7.5</v>
      </c>
      <c r="F45" s="10">
        <v>0.5</v>
      </c>
      <c r="G45" s="11">
        <v>440</v>
      </c>
      <c r="H45" s="11">
        <v>415.34</v>
      </c>
      <c r="I45" s="11">
        <v>8.9</v>
      </c>
      <c r="J45" s="11">
        <f t="shared" si="13"/>
        <v>424.23999999999995</v>
      </c>
      <c r="K45" s="12">
        <f t="shared" si="14"/>
        <v>0.94395454545454538</v>
      </c>
      <c r="L45" s="12">
        <f t="shared" si="1"/>
        <v>1.0068848484848485</v>
      </c>
      <c r="M45" s="12">
        <f t="shared" si="15"/>
        <v>0.97902130869319259</v>
      </c>
      <c r="N45" s="12">
        <f t="shared" si="16"/>
        <v>2.0978691306807469E-2</v>
      </c>
      <c r="O45" s="14">
        <f>Dados[[#This Row],[Vol. Padrão]]/Dados[[#This Row],[Horas Disp.]]</f>
        <v>55</v>
      </c>
      <c r="P45" s="32" cm="1">
        <f t="array" ref="P45">SUM(Dados[[#This Row],[Vol. Líquido]:[V. Refugo]]/Dados[[#This Row],[H. Ativas]])</f>
        <v>56.565333333333328</v>
      </c>
      <c r="Q45" s="12">
        <f>Dados[[#This Row],[H. Ativas]]/Dados[[#This Row],[Horas Disp.]]</f>
        <v>0.9375</v>
      </c>
      <c r="R45" s="12">
        <f>Dados[[#This Row],[Vol. Bruto]]/Dados[[#This Row],[Vol. Padrão]]</f>
        <v>0.96418181818181803</v>
      </c>
      <c r="S45" s="12">
        <f>Dados[[#This Row],[Disponibilidade]]*Dados[[#This Row],[Desempenho]]*Dados[[#This Row],[Qualidade]]</f>
        <v>0.8849573863636363</v>
      </c>
      <c r="T45" s="14">
        <f>YEAR(Dados[[#This Row],[Período]])</f>
        <v>2018</v>
      </c>
      <c r="U45" s="14">
        <f>MONTH(Dados[[#This Row],[Período]])</f>
        <v>3</v>
      </c>
    </row>
    <row r="46" spans="1:21" x14ac:dyDescent="0.25">
      <c r="A46" s="9">
        <v>43162</v>
      </c>
      <c r="B46" s="4" t="s">
        <v>28</v>
      </c>
      <c r="C46" s="5" t="s">
        <v>13</v>
      </c>
      <c r="D46" s="10">
        <v>8</v>
      </c>
      <c r="E46" s="10">
        <f t="shared" si="12"/>
        <v>7.17</v>
      </c>
      <c r="F46" s="10">
        <v>0.83</v>
      </c>
      <c r="G46" s="11">
        <v>440</v>
      </c>
      <c r="H46" s="11">
        <v>278.85000000000002</v>
      </c>
      <c r="I46" s="11">
        <v>45.7</v>
      </c>
      <c r="J46" s="11">
        <f t="shared" si="13"/>
        <v>324.55</v>
      </c>
      <c r="K46" s="12">
        <f t="shared" si="14"/>
        <v>0.63375000000000004</v>
      </c>
      <c r="L46" s="12">
        <f t="shared" si="1"/>
        <v>0.70711297071129708</v>
      </c>
      <c r="M46" s="12">
        <f t="shared" si="15"/>
        <v>0.85918964720382074</v>
      </c>
      <c r="N46" s="12">
        <f t="shared" si="16"/>
        <v>0.14081035279617932</v>
      </c>
      <c r="O46" s="14">
        <f>Dados[[#This Row],[Vol. Padrão]]/Dados[[#This Row],[Horas Disp.]]</f>
        <v>55</v>
      </c>
      <c r="P46" s="32" cm="1">
        <f t="array" ref="P46">SUM(Dados[[#This Row],[Vol. Líquido]:[V. Refugo]]/Dados[[#This Row],[H. Ativas]])</f>
        <v>45.264993026499305</v>
      </c>
      <c r="Q46" s="12">
        <f>Dados[[#This Row],[H. Ativas]]/Dados[[#This Row],[Horas Disp.]]</f>
        <v>0.89624999999999999</v>
      </c>
      <c r="R46" s="12">
        <f>Dados[[#This Row],[Vol. Bruto]]/Dados[[#This Row],[Vol. Padrão]]</f>
        <v>0.73761363636363642</v>
      </c>
      <c r="S46" s="12">
        <f>Dados[[#This Row],[Disponibilidade]]*Dados[[#This Row],[Desempenho]]*Dados[[#This Row],[Qualidade]]</f>
        <v>0.56799843750000012</v>
      </c>
      <c r="T46" s="14">
        <f>YEAR(Dados[[#This Row],[Período]])</f>
        <v>2018</v>
      </c>
      <c r="U46" s="14">
        <f>MONTH(Dados[[#This Row],[Período]])</f>
        <v>3</v>
      </c>
    </row>
    <row r="47" spans="1:21" x14ac:dyDescent="0.25">
      <c r="A47" s="9">
        <v>43163</v>
      </c>
      <c r="B47" s="4" t="s">
        <v>29</v>
      </c>
      <c r="C47" s="5" t="s">
        <v>14</v>
      </c>
      <c r="D47" s="10">
        <v>8</v>
      </c>
      <c r="E47" s="10">
        <f t="shared" si="12"/>
        <v>7.08</v>
      </c>
      <c r="F47" s="10">
        <v>0.92</v>
      </c>
      <c r="G47" s="11">
        <v>440</v>
      </c>
      <c r="H47" s="11">
        <v>347.89</v>
      </c>
      <c r="I47" s="11">
        <v>12.44</v>
      </c>
      <c r="J47" s="11">
        <f t="shared" si="13"/>
        <v>360.33</v>
      </c>
      <c r="K47" s="12">
        <f t="shared" si="14"/>
        <v>0.79065909090909092</v>
      </c>
      <c r="L47" s="12">
        <f t="shared" si="1"/>
        <v>0.89340010272213666</v>
      </c>
      <c r="M47" s="12">
        <f t="shared" si="15"/>
        <v>0.96547609136069712</v>
      </c>
      <c r="N47" s="12">
        <f t="shared" si="16"/>
        <v>3.452390863930286E-2</v>
      </c>
      <c r="O47" s="14">
        <f>Dados[[#This Row],[Vol. Padrão]]/Dados[[#This Row],[Horas Disp.]]</f>
        <v>55</v>
      </c>
      <c r="P47" s="32" cm="1">
        <f t="array" ref="P47">SUM(Dados[[#This Row],[Vol. Líquido]:[V. Refugo]]/Dados[[#This Row],[H. Ativas]])</f>
        <v>50.894067796610166</v>
      </c>
      <c r="Q47" s="12">
        <f>Dados[[#This Row],[H. Ativas]]/Dados[[#This Row],[Horas Disp.]]</f>
        <v>0.88500000000000001</v>
      </c>
      <c r="R47" s="12">
        <f>Dados[[#This Row],[Vol. Bruto]]/Dados[[#This Row],[Vol. Padrão]]</f>
        <v>0.81893181818181815</v>
      </c>
      <c r="S47" s="12">
        <f>Dados[[#This Row],[Disponibilidade]]*Dados[[#This Row],[Desempenho]]*Dados[[#This Row],[Qualidade]]</f>
        <v>0.69973329545454543</v>
      </c>
      <c r="T47" s="14">
        <f>YEAR(Dados[[#This Row],[Período]])</f>
        <v>2018</v>
      </c>
      <c r="U47" s="14">
        <f>MONTH(Dados[[#This Row],[Período]])</f>
        <v>3</v>
      </c>
    </row>
    <row r="48" spans="1:21" x14ac:dyDescent="0.25">
      <c r="A48" s="9">
        <v>43164</v>
      </c>
      <c r="B48" s="4" t="s">
        <v>30</v>
      </c>
      <c r="C48" s="5" t="s">
        <v>16</v>
      </c>
      <c r="D48" s="10">
        <v>8</v>
      </c>
      <c r="E48" s="10">
        <f t="shared" si="12"/>
        <v>7.58</v>
      </c>
      <c r="F48" s="10">
        <v>0.42</v>
      </c>
      <c r="G48" s="11">
        <v>440</v>
      </c>
      <c r="H48" s="11">
        <v>380.09800000000001</v>
      </c>
      <c r="I48" s="11">
        <v>5.7679999999999998</v>
      </c>
      <c r="J48" s="11">
        <f t="shared" si="13"/>
        <v>385.86599999999999</v>
      </c>
      <c r="K48" s="12">
        <f t="shared" si="14"/>
        <v>0.86385909090909097</v>
      </c>
      <c r="L48" s="12">
        <f t="shared" si="1"/>
        <v>0.9117246342048454</v>
      </c>
      <c r="M48" s="12">
        <f t="shared" si="15"/>
        <v>0.98505180554907668</v>
      </c>
      <c r="N48" s="12">
        <f t="shared" si="16"/>
        <v>1.4948194450923378E-2</v>
      </c>
      <c r="O48" s="14">
        <f>Dados[[#This Row],[Vol. Padrão]]/Dados[[#This Row],[Horas Disp.]]</f>
        <v>55</v>
      </c>
      <c r="P48" s="32" cm="1">
        <f t="array" ref="P48">SUM(Dados[[#This Row],[Vol. Líquido]:[V. Refugo]]/Dados[[#This Row],[H. Ativas]])</f>
        <v>50.905804749340369</v>
      </c>
      <c r="Q48" s="12">
        <f>Dados[[#This Row],[H. Ativas]]/Dados[[#This Row],[Horas Disp.]]</f>
        <v>0.94750000000000001</v>
      </c>
      <c r="R48" s="12">
        <f>Dados[[#This Row],[Vol. Bruto]]/Dados[[#This Row],[Vol. Padrão]]</f>
        <v>0.87696818181818181</v>
      </c>
      <c r="S48" s="12">
        <f>Dados[[#This Row],[Disponibilidade]]*Dados[[#This Row],[Desempenho]]*Dados[[#This Row],[Qualidade]]</f>
        <v>0.81850648863636366</v>
      </c>
      <c r="T48" s="14">
        <f>YEAR(Dados[[#This Row],[Período]])</f>
        <v>2018</v>
      </c>
      <c r="U48" s="14">
        <f>MONTH(Dados[[#This Row],[Período]])</f>
        <v>3</v>
      </c>
    </row>
    <row r="49" spans="1:21" x14ac:dyDescent="0.25">
      <c r="A49" s="9">
        <v>43165</v>
      </c>
      <c r="B49" s="4" t="s">
        <v>26</v>
      </c>
      <c r="C49" s="5" t="s">
        <v>22</v>
      </c>
      <c r="D49" s="10">
        <v>8</v>
      </c>
      <c r="E49" s="10">
        <f t="shared" si="12"/>
        <v>6.5</v>
      </c>
      <c r="F49" s="10">
        <v>1.5</v>
      </c>
      <c r="G49" s="11">
        <v>440</v>
      </c>
      <c r="H49" s="11">
        <v>277.39999999999998</v>
      </c>
      <c r="I49" s="11">
        <v>12.3</v>
      </c>
      <c r="J49" s="11">
        <f t="shared" si="13"/>
        <v>289.7</v>
      </c>
      <c r="K49" s="12">
        <f t="shared" si="14"/>
        <v>0.63045454545454538</v>
      </c>
      <c r="L49" s="12">
        <f t="shared" si="1"/>
        <v>0.77594405594405591</v>
      </c>
      <c r="M49" s="12">
        <f t="shared" si="15"/>
        <v>0.95754228512254047</v>
      </c>
      <c r="N49" s="12">
        <f t="shared" si="16"/>
        <v>4.2457714877459446E-2</v>
      </c>
      <c r="O49" s="14">
        <f>Dados[[#This Row],[Vol. Padrão]]/Dados[[#This Row],[Horas Disp.]]</f>
        <v>55</v>
      </c>
      <c r="P49" s="32" cm="1">
        <f t="array" ref="P49">SUM(Dados[[#This Row],[Vol. Líquido]:[V. Refugo]]/Dados[[#This Row],[H. Ativas]])</f>
        <v>44.569230769230764</v>
      </c>
      <c r="Q49" s="12">
        <f>Dados[[#This Row],[H. Ativas]]/Dados[[#This Row],[Horas Disp.]]</f>
        <v>0.8125</v>
      </c>
      <c r="R49" s="12">
        <f>Dados[[#This Row],[Vol. Bruto]]/Dados[[#This Row],[Vol. Padrão]]</f>
        <v>0.65840909090909083</v>
      </c>
      <c r="S49" s="12">
        <f>Dados[[#This Row],[Disponibilidade]]*Dados[[#This Row],[Desempenho]]*Dados[[#This Row],[Qualidade]]</f>
        <v>0.51224431818181815</v>
      </c>
      <c r="T49" s="14">
        <f>YEAR(Dados[[#This Row],[Período]])</f>
        <v>2018</v>
      </c>
      <c r="U49" s="14">
        <f>MONTH(Dados[[#This Row],[Período]])</f>
        <v>3</v>
      </c>
    </row>
    <row r="50" spans="1:21" x14ac:dyDescent="0.25">
      <c r="A50" s="9">
        <v>43166</v>
      </c>
      <c r="B50" s="4" t="s">
        <v>27</v>
      </c>
      <c r="C50" s="5" t="s">
        <v>20</v>
      </c>
      <c r="D50" s="10">
        <v>8</v>
      </c>
      <c r="E50" s="10">
        <f t="shared" si="12"/>
        <v>7.25</v>
      </c>
      <c r="F50" s="10">
        <v>0.75</v>
      </c>
      <c r="G50" s="11">
        <v>440</v>
      </c>
      <c r="H50" s="11">
        <v>369.87</v>
      </c>
      <c r="I50" s="11">
        <v>7.9</v>
      </c>
      <c r="J50" s="11">
        <f t="shared" si="13"/>
        <v>377.77</v>
      </c>
      <c r="K50" s="12">
        <f t="shared" si="14"/>
        <v>0.8406136363636364</v>
      </c>
      <c r="L50" s="12">
        <f t="shared" si="1"/>
        <v>0.92757366771159877</v>
      </c>
      <c r="M50" s="12">
        <f t="shared" si="15"/>
        <v>0.97908780474892132</v>
      </c>
      <c r="N50" s="12">
        <f t="shared" si="16"/>
        <v>2.0912195251078701E-2</v>
      </c>
      <c r="O50" s="14">
        <f>Dados[[#This Row],[Vol. Padrão]]/Dados[[#This Row],[Horas Disp.]]</f>
        <v>55</v>
      </c>
      <c r="P50" s="32" cm="1">
        <f t="array" ref="P50">SUM(Dados[[#This Row],[Vol. Líquido]:[V. Refugo]]/Dados[[#This Row],[H. Ativas]])</f>
        <v>52.106206896551726</v>
      </c>
      <c r="Q50" s="12">
        <f>Dados[[#This Row],[H. Ativas]]/Dados[[#This Row],[Horas Disp.]]</f>
        <v>0.90625</v>
      </c>
      <c r="R50" s="12">
        <f>Dados[[#This Row],[Vol. Bruto]]/Dados[[#This Row],[Vol. Padrão]]</f>
        <v>0.85856818181818173</v>
      </c>
      <c r="S50" s="12">
        <f>Dados[[#This Row],[Disponibilidade]]*Dados[[#This Row],[Desempenho]]*Dados[[#This Row],[Qualidade]]</f>
        <v>0.7618061079545454</v>
      </c>
      <c r="T50" s="14">
        <f>YEAR(Dados[[#This Row],[Período]])</f>
        <v>2018</v>
      </c>
      <c r="U50" s="14">
        <f>MONTH(Dados[[#This Row],[Período]])</f>
        <v>3</v>
      </c>
    </row>
    <row r="51" spans="1:21" x14ac:dyDescent="0.25">
      <c r="A51" s="9">
        <v>43167</v>
      </c>
      <c r="B51" s="4" t="s">
        <v>28</v>
      </c>
      <c r="C51" s="5" t="s">
        <v>15</v>
      </c>
      <c r="D51" s="10">
        <v>8</v>
      </c>
      <c r="E51" s="10">
        <f t="shared" si="12"/>
        <v>5.5</v>
      </c>
      <c r="F51" s="10">
        <v>2.5</v>
      </c>
      <c r="G51" s="11">
        <v>440</v>
      </c>
      <c r="H51" s="11">
        <v>232.4</v>
      </c>
      <c r="I51" s="11">
        <v>6.7649999999999997</v>
      </c>
      <c r="J51" s="11">
        <f t="shared" si="13"/>
        <v>239.16499999999999</v>
      </c>
      <c r="K51" s="12">
        <f t="shared" si="14"/>
        <v>0.5281818181818182</v>
      </c>
      <c r="L51" s="12">
        <f t="shared" si="1"/>
        <v>0.76826446280991734</v>
      </c>
      <c r="M51" s="12">
        <f t="shared" si="15"/>
        <v>0.97171408859992059</v>
      </c>
      <c r="N51" s="12">
        <f t="shared" si="16"/>
        <v>2.8285911400079442E-2</v>
      </c>
      <c r="O51" s="14">
        <f>Dados[[#This Row],[Vol. Padrão]]/Dados[[#This Row],[Horas Disp.]]</f>
        <v>55</v>
      </c>
      <c r="P51" s="32" cm="1">
        <f t="array" ref="P51">SUM(Dados[[#This Row],[Vol. Líquido]:[V. Refugo]]/Dados[[#This Row],[H. Ativas]])</f>
        <v>43.484545454545454</v>
      </c>
      <c r="Q51" s="12">
        <f>Dados[[#This Row],[H. Ativas]]/Dados[[#This Row],[Horas Disp.]]</f>
        <v>0.6875</v>
      </c>
      <c r="R51" s="12">
        <f>Dados[[#This Row],[Vol. Bruto]]/Dados[[#This Row],[Vol. Padrão]]</f>
        <v>0.54355681818181811</v>
      </c>
      <c r="S51" s="12">
        <f>Dados[[#This Row],[Disponibilidade]]*Dados[[#This Row],[Desempenho]]*Dados[[#This Row],[Qualidade]]</f>
        <v>0.36312499999999992</v>
      </c>
      <c r="T51" s="14">
        <f>YEAR(Dados[[#This Row],[Período]])</f>
        <v>2018</v>
      </c>
      <c r="U51" s="14">
        <f>MONTH(Dados[[#This Row],[Período]])</f>
        <v>3</v>
      </c>
    </row>
    <row r="52" spans="1:21" x14ac:dyDescent="0.25">
      <c r="A52" s="9">
        <v>43168</v>
      </c>
      <c r="B52" s="4" t="s">
        <v>29</v>
      </c>
      <c r="C52" s="5" t="s">
        <v>19</v>
      </c>
      <c r="D52" s="10">
        <v>8</v>
      </c>
      <c r="E52" s="10">
        <f t="shared" si="12"/>
        <v>7.8</v>
      </c>
      <c r="F52" s="10">
        <v>0.2</v>
      </c>
      <c r="G52" s="11">
        <v>440</v>
      </c>
      <c r="H52" s="11">
        <v>389.78</v>
      </c>
      <c r="I52" s="11">
        <v>8.7889999999999997</v>
      </c>
      <c r="J52" s="11">
        <f t="shared" si="13"/>
        <v>398.56899999999996</v>
      </c>
      <c r="K52" s="12">
        <f t="shared" si="14"/>
        <v>0.8858636363636363</v>
      </c>
      <c r="L52" s="12">
        <f t="shared" si="1"/>
        <v>0.90857808857808853</v>
      </c>
      <c r="M52" s="12">
        <f t="shared" si="15"/>
        <v>0.97794861115641207</v>
      </c>
      <c r="N52" s="12">
        <f t="shared" si="16"/>
        <v>2.2051388843587937E-2</v>
      </c>
      <c r="O52" s="14">
        <f>Dados[[#This Row],[Vol. Padrão]]/Dados[[#This Row],[Horas Disp.]]</f>
        <v>55</v>
      </c>
      <c r="P52" s="32" cm="1">
        <f t="array" ref="P52">SUM(Dados[[#This Row],[Vol. Líquido]:[V. Refugo]]/Dados[[#This Row],[H. Ativas]])</f>
        <v>51.098589743589741</v>
      </c>
      <c r="Q52" s="12">
        <f>Dados[[#This Row],[H. Ativas]]/Dados[[#This Row],[Horas Disp.]]</f>
        <v>0.97499999999999998</v>
      </c>
      <c r="R52" s="12">
        <f>Dados[[#This Row],[Vol. Bruto]]/Dados[[#This Row],[Vol. Padrão]]</f>
        <v>0.90583863636363626</v>
      </c>
      <c r="S52" s="12">
        <f>Dados[[#This Row],[Disponibilidade]]*Dados[[#This Row],[Desempenho]]*Dados[[#This Row],[Qualidade]]</f>
        <v>0.86371704545454531</v>
      </c>
      <c r="T52" s="14">
        <f>YEAR(Dados[[#This Row],[Período]])</f>
        <v>2018</v>
      </c>
      <c r="U52" s="14">
        <f>MONTH(Dados[[#This Row],[Período]])</f>
        <v>3</v>
      </c>
    </row>
    <row r="53" spans="1:21" x14ac:dyDescent="0.25">
      <c r="A53" s="9">
        <v>43169</v>
      </c>
      <c r="B53" s="4" t="s">
        <v>30</v>
      </c>
      <c r="C53" s="5" t="s">
        <v>18</v>
      </c>
      <c r="D53" s="10">
        <v>8</v>
      </c>
      <c r="E53" s="10">
        <f t="shared" si="12"/>
        <v>7.64</v>
      </c>
      <c r="F53" s="10">
        <v>0.36</v>
      </c>
      <c r="G53" s="11">
        <v>440</v>
      </c>
      <c r="H53" s="11">
        <v>270.45</v>
      </c>
      <c r="I53" s="11">
        <v>17.34</v>
      </c>
      <c r="J53" s="11">
        <f t="shared" si="13"/>
        <v>287.78999999999996</v>
      </c>
      <c r="K53" s="12">
        <f t="shared" si="14"/>
        <v>0.61465909090909088</v>
      </c>
      <c r="L53" s="12">
        <f t="shared" si="1"/>
        <v>0.64362208472156113</v>
      </c>
      <c r="M53" s="12">
        <f t="shared" si="15"/>
        <v>0.93974773272177636</v>
      </c>
      <c r="N53" s="12">
        <f t="shared" si="16"/>
        <v>6.0252267278223713E-2</v>
      </c>
      <c r="O53" s="14">
        <f>Dados[[#This Row],[Vol. Padrão]]/Dados[[#This Row],[Horas Disp.]]</f>
        <v>55</v>
      </c>
      <c r="P53" s="32" cm="1">
        <f t="array" ref="P53">SUM(Dados[[#This Row],[Vol. Líquido]:[V. Refugo]]/Dados[[#This Row],[H. Ativas]])</f>
        <v>37.668848167539267</v>
      </c>
      <c r="Q53" s="12">
        <f>Dados[[#This Row],[H. Ativas]]/Dados[[#This Row],[Horas Disp.]]</f>
        <v>0.95499999999999996</v>
      </c>
      <c r="R53" s="12">
        <f>Dados[[#This Row],[Vol. Bruto]]/Dados[[#This Row],[Vol. Padrão]]</f>
        <v>0.65406818181818172</v>
      </c>
      <c r="S53" s="12">
        <f>Dados[[#This Row],[Disponibilidade]]*Dados[[#This Row],[Desempenho]]*Dados[[#This Row],[Qualidade]]</f>
        <v>0.58699943181818171</v>
      </c>
      <c r="T53" s="14">
        <f>YEAR(Dados[[#This Row],[Período]])</f>
        <v>2018</v>
      </c>
      <c r="U53" s="14">
        <f>MONTH(Dados[[#This Row],[Período]])</f>
        <v>3</v>
      </c>
    </row>
    <row r="54" spans="1:21" x14ac:dyDescent="0.25">
      <c r="A54" s="9">
        <v>43170</v>
      </c>
      <c r="B54" s="4" t="s">
        <v>27</v>
      </c>
      <c r="C54" s="5" t="s">
        <v>20</v>
      </c>
      <c r="D54" s="10">
        <v>8</v>
      </c>
      <c r="E54" s="10">
        <f t="shared" si="12"/>
        <v>7.45</v>
      </c>
      <c r="F54" s="10">
        <v>0.55000000000000004</v>
      </c>
      <c r="G54" s="11">
        <v>440</v>
      </c>
      <c r="H54" s="11">
        <v>299.3</v>
      </c>
      <c r="I54" s="11">
        <v>3.6539999999999999</v>
      </c>
      <c r="J54" s="11">
        <f t="shared" si="13"/>
        <v>302.95400000000001</v>
      </c>
      <c r="K54" s="12">
        <f t="shared" si="14"/>
        <v>0.68022727272727279</v>
      </c>
      <c r="L54" s="12">
        <f t="shared" si="1"/>
        <v>0.73044539353264193</v>
      </c>
      <c r="M54" s="12">
        <f t="shared" si="15"/>
        <v>0.98793876298051853</v>
      </c>
      <c r="N54" s="12">
        <f t="shared" si="16"/>
        <v>1.2061237019481506E-2</v>
      </c>
      <c r="O54" s="14">
        <f>Dados[[#This Row],[Vol. Padrão]]/Dados[[#This Row],[Horas Disp.]]</f>
        <v>55</v>
      </c>
      <c r="P54" s="32" cm="1">
        <f t="array" ref="P54">SUM(Dados[[#This Row],[Vol. Líquido]:[V. Refugo]]/Dados[[#This Row],[H. Ativas]])</f>
        <v>40.664966442953023</v>
      </c>
      <c r="Q54" s="12">
        <f>Dados[[#This Row],[H. Ativas]]/Dados[[#This Row],[Horas Disp.]]</f>
        <v>0.93125000000000002</v>
      </c>
      <c r="R54" s="12">
        <f>Dados[[#This Row],[Vol. Bruto]]/Dados[[#This Row],[Vol. Padrão]]</f>
        <v>0.68853181818181819</v>
      </c>
      <c r="S54" s="12">
        <f>Dados[[#This Row],[Disponibilidade]]*Dados[[#This Row],[Desempenho]]*Dados[[#This Row],[Qualidade]]</f>
        <v>0.63346164772727276</v>
      </c>
      <c r="T54" s="14">
        <f>YEAR(Dados[[#This Row],[Período]])</f>
        <v>2018</v>
      </c>
      <c r="U54" s="14">
        <f>MONTH(Dados[[#This Row],[Período]])</f>
        <v>3</v>
      </c>
    </row>
    <row r="55" spans="1:21" x14ac:dyDescent="0.25">
      <c r="A55" s="9">
        <v>43171</v>
      </c>
      <c r="B55" s="4" t="s">
        <v>29</v>
      </c>
      <c r="C55" s="5" t="s">
        <v>14</v>
      </c>
      <c r="D55" s="10">
        <v>8</v>
      </c>
      <c r="E55" s="10">
        <f t="shared" si="12"/>
        <v>7.4</v>
      </c>
      <c r="F55" s="10">
        <v>0.6</v>
      </c>
      <c r="G55" s="11">
        <v>440</v>
      </c>
      <c r="H55" s="11">
        <v>404.65</v>
      </c>
      <c r="I55" s="11">
        <v>2.347</v>
      </c>
      <c r="J55" s="11">
        <f t="shared" si="13"/>
        <v>406.99699999999996</v>
      </c>
      <c r="K55" s="12">
        <f t="shared" si="14"/>
        <v>0.91965909090909082</v>
      </c>
      <c r="L55" s="12">
        <f t="shared" si="1"/>
        <v>0.99422604422604421</v>
      </c>
      <c r="M55" s="12">
        <f t="shared" si="15"/>
        <v>0.99423337272756318</v>
      </c>
      <c r="N55" s="12">
        <f t="shared" si="16"/>
        <v>5.7666272724368984E-3</v>
      </c>
      <c r="O55" s="14">
        <f>Dados[[#This Row],[Vol. Padrão]]/Dados[[#This Row],[Horas Disp.]]</f>
        <v>55</v>
      </c>
      <c r="P55" s="32" cm="1">
        <f t="array" ref="P55">SUM(Dados[[#This Row],[Vol. Líquido]:[V. Refugo]]/Dados[[#This Row],[H. Ativas]])</f>
        <v>54.999594594594591</v>
      </c>
      <c r="Q55" s="12">
        <f>Dados[[#This Row],[H. Ativas]]/Dados[[#This Row],[Horas Disp.]]</f>
        <v>0.92500000000000004</v>
      </c>
      <c r="R55" s="12">
        <f>Dados[[#This Row],[Vol. Bruto]]/Dados[[#This Row],[Vol. Padrão]]</f>
        <v>0.92499318181818169</v>
      </c>
      <c r="S55" s="12">
        <f>Dados[[#This Row],[Disponibilidade]]*Dados[[#This Row],[Desempenho]]*Dados[[#This Row],[Qualidade]]</f>
        <v>0.85068465909090907</v>
      </c>
      <c r="T55" s="14">
        <f>YEAR(Dados[[#This Row],[Período]])</f>
        <v>2018</v>
      </c>
      <c r="U55" s="14">
        <f>MONTH(Dados[[#This Row],[Período]])</f>
        <v>3</v>
      </c>
    </row>
    <row r="56" spans="1:21" x14ac:dyDescent="0.25">
      <c r="A56" s="9">
        <v>43172</v>
      </c>
      <c r="B56" s="4" t="s">
        <v>26</v>
      </c>
      <c r="C56" s="5" t="s">
        <v>21</v>
      </c>
      <c r="D56" s="10">
        <v>8</v>
      </c>
      <c r="E56" s="10">
        <f t="shared" si="12"/>
        <v>7.67</v>
      </c>
      <c r="F56" s="10">
        <v>0.33</v>
      </c>
      <c r="G56" s="11">
        <v>440</v>
      </c>
      <c r="H56" s="11">
        <v>369.12</v>
      </c>
      <c r="I56" s="11">
        <v>8.798</v>
      </c>
      <c r="J56" s="11">
        <f t="shared" si="13"/>
        <v>377.91800000000001</v>
      </c>
      <c r="K56" s="12">
        <f t="shared" si="14"/>
        <v>0.83890909090909094</v>
      </c>
      <c r="L56" s="12">
        <f t="shared" ref="L56:L87" si="23">H56/(E56*55)</f>
        <v>0.8750029631385563</v>
      </c>
      <c r="M56" s="12">
        <f t="shared" si="15"/>
        <v>0.97671981752655335</v>
      </c>
      <c r="N56" s="12">
        <f t="shared" si="16"/>
        <v>2.3280182473446622E-2</v>
      </c>
      <c r="O56" s="14">
        <f>Dados[[#This Row],[Vol. Padrão]]/Dados[[#This Row],[Horas Disp.]]</f>
        <v>55</v>
      </c>
      <c r="P56" s="32" cm="1">
        <f t="array" ref="P56">SUM(Dados[[#This Row],[Vol. Líquido]:[V. Refugo]]/Dados[[#This Row],[H. Ativas]])</f>
        <v>49.272229465449804</v>
      </c>
      <c r="Q56" s="12">
        <f>Dados[[#This Row],[H. Ativas]]/Dados[[#This Row],[Horas Disp.]]</f>
        <v>0.95874999999999999</v>
      </c>
      <c r="R56" s="12">
        <f>Dados[[#This Row],[Vol. Bruto]]/Dados[[#This Row],[Vol. Padrão]]</f>
        <v>0.85890454545454542</v>
      </c>
      <c r="S56" s="12">
        <f>Dados[[#This Row],[Disponibilidade]]*Dados[[#This Row],[Desempenho]]*Dados[[#This Row],[Qualidade]]</f>
        <v>0.80430409090909083</v>
      </c>
      <c r="T56" s="14">
        <f>YEAR(Dados[[#This Row],[Período]])</f>
        <v>2018</v>
      </c>
      <c r="U56" s="14">
        <f>MONTH(Dados[[#This Row],[Período]])</f>
        <v>3</v>
      </c>
    </row>
    <row r="57" spans="1:21" x14ac:dyDescent="0.25">
      <c r="A57" s="9">
        <v>43191</v>
      </c>
      <c r="B57" s="4" t="s">
        <v>27</v>
      </c>
      <c r="C57" s="5" t="s">
        <v>17</v>
      </c>
      <c r="D57" s="10">
        <v>8</v>
      </c>
      <c r="E57" s="10">
        <f t="shared" si="12"/>
        <v>6.95</v>
      </c>
      <c r="F57" s="10">
        <v>1.05</v>
      </c>
      <c r="G57" s="11">
        <v>440</v>
      </c>
      <c r="H57" s="11">
        <v>370.34500000000003</v>
      </c>
      <c r="I57" s="11">
        <v>7.8</v>
      </c>
      <c r="J57" s="11">
        <f t="shared" si="13"/>
        <v>378.14500000000004</v>
      </c>
      <c r="K57" s="12">
        <f t="shared" si="14"/>
        <v>0.84169318181818187</v>
      </c>
      <c r="L57" s="12">
        <f t="shared" si="23"/>
        <v>0.96885546108567699</v>
      </c>
      <c r="M57" s="12">
        <f t="shared" si="15"/>
        <v>0.97937299184175375</v>
      </c>
      <c r="N57" s="12">
        <f t="shared" si="16"/>
        <v>2.0627008158246172E-2</v>
      </c>
      <c r="O57" s="14">
        <f>Dados[[#This Row],[Vol. Padrão]]/Dados[[#This Row],[Horas Disp.]]</f>
        <v>55</v>
      </c>
      <c r="P57" s="32" cm="1">
        <f t="array" ref="P57">SUM(Dados[[#This Row],[Vol. Líquido]:[V. Refugo]]/Dados[[#This Row],[H. Ativas]])</f>
        <v>54.40935251798561</v>
      </c>
      <c r="Q57" s="12">
        <f>Dados[[#This Row],[H. Ativas]]/Dados[[#This Row],[Horas Disp.]]</f>
        <v>0.86875000000000002</v>
      </c>
      <c r="R57" s="12">
        <f>Dados[[#This Row],[Vol. Bruto]]/Dados[[#This Row],[Vol. Padrão]]</f>
        <v>0.85942045454545468</v>
      </c>
      <c r="S57" s="12">
        <f>Dados[[#This Row],[Disponibilidade]]*Dados[[#This Row],[Desempenho]]*Dados[[#This Row],[Qualidade]]</f>
        <v>0.7312209517045456</v>
      </c>
      <c r="T57" s="14">
        <f>YEAR(Dados[[#This Row],[Período]])</f>
        <v>2018</v>
      </c>
      <c r="U57" s="14">
        <f>MONTH(Dados[[#This Row],[Período]])</f>
        <v>4</v>
      </c>
    </row>
    <row r="58" spans="1:21" x14ac:dyDescent="0.25">
      <c r="A58" s="9">
        <v>43192</v>
      </c>
      <c r="B58" s="4" t="s">
        <v>28</v>
      </c>
      <c r="C58" s="5" t="s">
        <v>13</v>
      </c>
      <c r="D58" s="10">
        <v>8</v>
      </c>
      <c r="E58" s="10">
        <f t="shared" si="12"/>
        <v>7.33</v>
      </c>
      <c r="F58" s="10">
        <v>0.67</v>
      </c>
      <c r="G58" s="11">
        <v>440</v>
      </c>
      <c r="H58" s="11">
        <v>323.5</v>
      </c>
      <c r="I58" s="11">
        <v>34.122999999999998</v>
      </c>
      <c r="J58" s="11">
        <f t="shared" si="13"/>
        <v>357.62299999999999</v>
      </c>
      <c r="K58" s="12">
        <f t="shared" si="14"/>
        <v>0.73522727272727273</v>
      </c>
      <c r="L58" s="12">
        <f t="shared" si="23"/>
        <v>0.80243085700111627</v>
      </c>
      <c r="M58" s="12">
        <f t="shared" si="15"/>
        <v>0.90458387743517621</v>
      </c>
      <c r="N58" s="12">
        <f t="shared" si="16"/>
        <v>9.5416122564823846E-2</v>
      </c>
      <c r="O58" s="14">
        <f>Dados[[#This Row],[Vol. Padrão]]/Dados[[#This Row],[Horas Disp.]]</f>
        <v>55</v>
      </c>
      <c r="P58" s="32" cm="1">
        <f t="array" ref="P58">SUM(Dados[[#This Row],[Vol. Líquido]:[V. Refugo]]/Dados[[#This Row],[H. Ativas]])</f>
        <v>48.788949522510229</v>
      </c>
      <c r="Q58" s="12">
        <f>Dados[[#This Row],[H. Ativas]]/Dados[[#This Row],[Horas Disp.]]</f>
        <v>0.91625000000000001</v>
      </c>
      <c r="R58" s="12">
        <f>Dados[[#This Row],[Vol. Bruto]]/Dados[[#This Row],[Vol. Padrão]]</f>
        <v>0.81277954545454545</v>
      </c>
      <c r="S58" s="12">
        <f>Dados[[#This Row],[Disponibilidade]]*Dados[[#This Row],[Desempenho]]*Dados[[#This Row],[Qualidade]]</f>
        <v>0.67365198863636366</v>
      </c>
      <c r="T58" s="14">
        <f>YEAR(Dados[[#This Row],[Período]])</f>
        <v>2018</v>
      </c>
      <c r="U58" s="14">
        <f>MONTH(Dados[[#This Row],[Período]])</f>
        <v>4</v>
      </c>
    </row>
    <row r="59" spans="1:21" x14ac:dyDescent="0.25">
      <c r="A59" s="9">
        <v>43193</v>
      </c>
      <c r="B59" s="4" t="s">
        <v>29</v>
      </c>
      <c r="C59" s="5" t="s">
        <v>19</v>
      </c>
      <c r="D59" s="10">
        <v>8</v>
      </c>
      <c r="E59" s="10">
        <f t="shared" si="12"/>
        <v>7.08</v>
      </c>
      <c r="F59" s="10">
        <v>0.92</v>
      </c>
      <c r="G59" s="11">
        <v>440</v>
      </c>
      <c r="H59" s="11">
        <v>390.47</v>
      </c>
      <c r="I59" s="11">
        <v>10.89</v>
      </c>
      <c r="J59" s="11">
        <f t="shared" si="13"/>
        <v>401.36</v>
      </c>
      <c r="K59" s="12">
        <f t="shared" si="14"/>
        <v>0.88743181818181827</v>
      </c>
      <c r="L59" s="12">
        <f t="shared" si="23"/>
        <v>1.0027478171545969</v>
      </c>
      <c r="M59" s="12">
        <f t="shared" si="15"/>
        <v>0.97286725134542562</v>
      </c>
      <c r="N59" s="12">
        <f t="shared" si="16"/>
        <v>2.7132748654574448E-2</v>
      </c>
      <c r="O59" s="14">
        <f>Dados[[#This Row],[Vol. Padrão]]/Dados[[#This Row],[Horas Disp.]]</f>
        <v>55</v>
      </c>
      <c r="P59" s="32" cm="1">
        <f t="array" ref="P59">SUM(Dados[[#This Row],[Vol. Líquido]:[V. Refugo]]/Dados[[#This Row],[H. Ativas]])</f>
        <v>56.68926553672317</v>
      </c>
      <c r="Q59" s="12">
        <f>Dados[[#This Row],[H. Ativas]]/Dados[[#This Row],[Horas Disp.]]</f>
        <v>0.88500000000000001</v>
      </c>
      <c r="R59" s="12">
        <f>Dados[[#This Row],[Vol. Bruto]]/Dados[[#This Row],[Vol. Padrão]]</f>
        <v>0.9121818181818182</v>
      </c>
      <c r="S59" s="12">
        <f>Dados[[#This Row],[Disponibilidade]]*Dados[[#This Row],[Desempenho]]*Dados[[#This Row],[Qualidade]]</f>
        <v>0.7853771590909091</v>
      </c>
      <c r="T59" s="14">
        <f>YEAR(Dados[[#This Row],[Período]])</f>
        <v>2018</v>
      </c>
      <c r="U59" s="14">
        <f>MONTH(Dados[[#This Row],[Período]])</f>
        <v>4</v>
      </c>
    </row>
    <row r="60" spans="1:21" x14ac:dyDescent="0.25">
      <c r="A60" s="9">
        <v>43194</v>
      </c>
      <c r="B60" s="4" t="s">
        <v>30</v>
      </c>
      <c r="C60" s="5" t="s">
        <v>18</v>
      </c>
      <c r="D60" s="10">
        <v>8</v>
      </c>
      <c r="E60" s="10">
        <f t="shared" si="12"/>
        <v>7.67</v>
      </c>
      <c r="F60" s="10">
        <v>0.33</v>
      </c>
      <c r="G60" s="11">
        <v>440</v>
      </c>
      <c r="H60" s="11">
        <v>402.04300000000001</v>
      </c>
      <c r="I60" s="11">
        <v>3.1</v>
      </c>
      <c r="J60" s="11">
        <f t="shared" si="13"/>
        <v>405.14300000000003</v>
      </c>
      <c r="K60" s="12">
        <f t="shared" si="14"/>
        <v>0.91373409090909097</v>
      </c>
      <c r="L60" s="12">
        <f t="shared" si="23"/>
        <v>0.95304729169135949</v>
      </c>
      <c r="M60" s="12">
        <f t="shared" si="15"/>
        <v>0.99234838069521125</v>
      </c>
      <c r="N60" s="12">
        <f t="shared" si="16"/>
        <v>7.6516193047886788E-3</v>
      </c>
      <c r="O60" s="14">
        <f>Dados[[#This Row],[Vol. Padrão]]/Dados[[#This Row],[Horas Disp.]]</f>
        <v>55</v>
      </c>
      <c r="P60" s="32" cm="1">
        <f t="array" ref="P60">SUM(Dados[[#This Row],[Vol. Líquido]:[V. Refugo]]/Dados[[#This Row],[H. Ativas]])</f>
        <v>52.821773142112129</v>
      </c>
      <c r="Q60" s="12">
        <f>Dados[[#This Row],[H. Ativas]]/Dados[[#This Row],[Horas Disp.]]</f>
        <v>0.95874999999999999</v>
      </c>
      <c r="R60" s="12">
        <f>Dados[[#This Row],[Vol. Bruto]]/Dados[[#This Row],[Vol. Padrão]]</f>
        <v>0.92077954545454554</v>
      </c>
      <c r="S60" s="12">
        <f>Dados[[#This Row],[Disponibilidade]]*Dados[[#This Row],[Desempenho]]*Dados[[#This Row],[Qualidade]]</f>
        <v>0.87604255965909095</v>
      </c>
      <c r="T60" s="14">
        <f>YEAR(Dados[[#This Row],[Período]])</f>
        <v>2018</v>
      </c>
      <c r="U60" s="14">
        <f>MONTH(Dados[[#This Row],[Período]])</f>
        <v>4</v>
      </c>
    </row>
    <row r="61" spans="1:21" x14ac:dyDescent="0.25">
      <c r="A61" s="9">
        <v>43195</v>
      </c>
      <c r="B61" s="4" t="s">
        <v>26</v>
      </c>
      <c r="C61" s="5" t="s">
        <v>22</v>
      </c>
      <c r="D61" s="10">
        <v>8</v>
      </c>
      <c r="E61" s="10">
        <f t="shared" si="12"/>
        <v>7.5</v>
      </c>
      <c r="F61" s="10">
        <v>0.5</v>
      </c>
      <c r="G61" s="11">
        <v>440</v>
      </c>
      <c r="H61" s="11">
        <v>296.7</v>
      </c>
      <c r="I61" s="11">
        <v>54.567</v>
      </c>
      <c r="J61" s="11">
        <f t="shared" si="13"/>
        <v>351.267</v>
      </c>
      <c r="K61" s="12">
        <f t="shared" si="14"/>
        <v>0.67431818181818182</v>
      </c>
      <c r="L61" s="12">
        <f t="shared" si="23"/>
        <v>0.71927272727272729</v>
      </c>
      <c r="M61" s="12">
        <f t="shared" si="15"/>
        <v>0.84465662871832536</v>
      </c>
      <c r="N61" s="12">
        <f t="shared" si="16"/>
        <v>0.15534337128167464</v>
      </c>
      <c r="O61" s="14">
        <f>Dados[[#This Row],[Vol. Padrão]]/Dados[[#This Row],[Horas Disp.]]</f>
        <v>55</v>
      </c>
      <c r="P61" s="32" cm="1">
        <f t="array" ref="P61">SUM(Dados[[#This Row],[Vol. Líquido]:[V. Refugo]]/Dados[[#This Row],[H. Ativas]])</f>
        <v>46.835599999999992</v>
      </c>
      <c r="Q61" s="12">
        <f>Dados[[#This Row],[H. Ativas]]/Dados[[#This Row],[Horas Disp.]]</f>
        <v>0.9375</v>
      </c>
      <c r="R61" s="12">
        <f>Dados[[#This Row],[Vol. Bruto]]/Dados[[#This Row],[Vol. Padrão]]</f>
        <v>0.79833409090909091</v>
      </c>
      <c r="S61" s="12">
        <f>Dados[[#This Row],[Disponibilidade]]*Dados[[#This Row],[Desempenho]]*Dados[[#This Row],[Qualidade]]</f>
        <v>0.63217329545454548</v>
      </c>
      <c r="T61" s="14">
        <f>YEAR(Dados[[#This Row],[Período]])</f>
        <v>2018</v>
      </c>
      <c r="U61" s="14">
        <f>MONTH(Dados[[#This Row],[Período]])</f>
        <v>4</v>
      </c>
    </row>
    <row r="62" spans="1:21" x14ac:dyDescent="0.25">
      <c r="A62" s="9">
        <v>43196</v>
      </c>
      <c r="B62" s="4" t="s">
        <v>27</v>
      </c>
      <c r="C62" s="5" t="s">
        <v>20</v>
      </c>
      <c r="D62" s="10">
        <v>8</v>
      </c>
      <c r="E62" s="10">
        <f t="shared" si="12"/>
        <v>7.75</v>
      </c>
      <c r="F62" s="10">
        <v>0.25</v>
      </c>
      <c r="G62" s="11">
        <v>440</v>
      </c>
      <c r="H62" s="11">
        <v>350.4</v>
      </c>
      <c r="I62" s="11">
        <v>6.78</v>
      </c>
      <c r="J62" s="11">
        <f t="shared" si="13"/>
        <v>357.17999999999995</v>
      </c>
      <c r="K62" s="12">
        <f t="shared" si="14"/>
        <v>0.79636363636363627</v>
      </c>
      <c r="L62" s="12">
        <f t="shared" si="23"/>
        <v>0.82205278592375364</v>
      </c>
      <c r="M62" s="12">
        <f t="shared" si="15"/>
        <v>0.98101797413069047</v>
      </c>
      <c r="N62" s="12">
        <f t="shared" si="16"/>
        <v>1.8982025869309596E-2</v>
      </c>
      <c r="O62" s="14">
        <f>Dados[[#This Row],[Vol. Padrão]]/Dados[[#This Row],[Horas Disp.]]</f>
        <v>55</v>
      </c>
      <c r="P62" s="32" cm="1">
        <f t="array" ref="P62">SUM(Dados[[#This Row],[Vol. Líquido]:[V. Refugo]]/Dados[[#This Row],[H. Ativas]])</f>
        <v>46.087741935483869</v>
      </c>
      <c r="Q62" s="12">
        <f>Dados[[#This Row],[H. Ativas]]/Dados[[#This Row],[Horas Disp.]]</f>
        <v>0.96875</v>
      </c>
      <c r="R62" s="12">
        <f>Dados[[#This Row],[Vol. Bruto]]/Dados[[#This Row],[Vol. Padrão]]</f>
        <v>0.8117727272727272</v>
      </c>
      <c r="S62" s="12">
        <f>Dados[[#This Row],[Disponibilidade]]*Dados[[#This Row],[Desempenho]]*Dados[[#This Row],[Qualidade]]</f>
        <v>0.77147727272727262</v>
      </c>
      <c r="T62" s="14">
        <f>YEAR(Dados[[#This Row],[Período]])</f>
        <v>2018</v>
      </c>
      <c r="U62" s="14">
        <f>MONTH(Dados[[#This Row],[Período]])</f>
        <v>4</v>
      </c>
    </row>
    <row r="63" spans="1:21" x14ac:dyDescent="0.25">
      <c r="A63" s="9">
        <v>43197</v>
      </c>
      <c r="B63" s="4" t="s">
        <v>28</v>
      </c>
      <c r="C63" s="5" t="s">
        <v>15</v>
      </c>
      <c r="D63" s="10">
        <v>8</v>
      </c>
      <c r="E63" s="10">
        <f t="shared" si="12"/>
        <v>6.67</v>
      </c>
      <c r="F63" s="10">
        <v>1.33</v>
      </c>
      <c r="G63" s="11">
        <v>440</v>
      </c>
      <c r="H63" s="11">
        <v>302.5</v>
      </c>
      <c r="I63" s="11">
        <v>19.32</v>
      </c>
      <c r="J63" s="11">
        <f t="shared" si="13"/>
        <v>321.82</v>
      </c>
      <c r="K63" s="12">
        <f t="shared" si="14"/>
        <v>0.6875</v>
      </c>
      <c r="L63" s="12">
        <f t="shared" si="23"/>
        <v>0.82458770614692645</v>
      </c>
      <c r="M63" s="12">
        <f t="shared" si="15"/>
        <v>0.93996644086756576</v>
      </c>
      <c r="N63" s="12">
        <f t="shared" si="16"/>
        <v>6.0033559132434279E-2</v>
      </c>
      <c r="O63" s="14">
        <f>Dados[[#This Row],[Vol. Padrão]]/Dados[[#This Row],[Horas Disp.]]</f>
        <v>55</v>
      </c>
      <c r="P63" s="32" cm="1">
        <f t="array" ref="P63">SUM(Dados[[#This Row],[Vol. Líquido]:[V. Refugo]]/Dados[[#This Row],[H. Ativas]])</f>
        <v>48.248875562218892</v>
      </c>
      <c r="Q63" s="12">
        <f>Dados[[#This Row],[H. Ativas]]/Dados[[#This Row],[Horas Disp.]]</f>
        <v>0.83374999999999999</v>
      </c>
      <c r="R63" s="12">
        <f>Dados[[#This Row],[Vol. Bruto]]/Dados[[#This Row],[Vol. Padrão]]</f>
        <v>0.7314090909090909</v>
      </c>
      <c r="S63" s="12">
        <f>Dados[[#This Row],[Disponibilidade]]*Dados[[#This Row],[Desempenho]]*Dados[[#This Row],[Qualidade]]</f>
        <v>0.57320312500000004</v>
      </c>
      <c r="T63" s="14">
        <f>YEAR(Dados[[#This Row],[Período]])</f>
        <v>2018</v>
      </c>
      <c r="U63" s="14">
        <f>MONTH(Dados[[#This Row],[Período]])</f>
        <v>4</v>
      </c>
    </row>
    <row r="64" spans="1:21" x14ac:dyDescent="0.25">
      <c r="A64" s="9">
        <v>43198</v>
      </c>
      <c r="B64" s="4" t="s">
        <v>29</v>
      </c>
      <c r="C64" s="5" t="s">
        <v>14</v>
      </c>
      <c r="D64" s="10">
        <v>8</v>
      </c>
      <c r="E64" s="10">
        <f t="shared" si="12"/>
        <v>7.58</v>
      </c>
      <c r="F64" s="10">
        <v>0.42</v>
      </c>
      <c r="G64" s="11">
        <v>440</v>
      </c>
      <c r="H64" s="11">
        <v>399.87799999999999</v>
      </c>
      <c r="I64" s="11">
        <v>2.8759999999999999</v>
      </c>
      <c r="J64" s="11">
        <f t="shared" si="13"/>
        <v>402.75399999999996</v>
      </c>
      <c r="K64" s="12">
        <f t="shared" si="14"/>
        <v>0.90881363636363632</v>
      </c>
      <c r="L64" s="12">
        <f t="shared" si="23"/>
        <v>0.95917006476373234</v>
      </c>
      <c r="M64" s="12">
        <f t="shared" si="15"/>
        <v>0.99285916465137536</v>
      </c>
      <c r="N64" s="12">
        <f t="shared" si="16"/>
        <v>7.1408353486247193E-3</v>
      </c>
      <c r="O64" s="14">
        <f>Dados[[#This Row],[Vol. Padrão]]/Dados[[#This Row],[Horas Disp.]]</f>
        <v>55</v>
      </c>
      <c r="P64" s="32" cm="1">
        <f t="array" ref="P64">SUM(Dados[[#This Row],[Vol. Líquido]:[V. Refugo]]/Dados[[#This Row],[H. Ativas]])</f>
        <v>53.133773087071241</v>
      </c>
      <c r="Q64" s="12">
        <f>Dados[[#This Row],[H. Ativas]]/Dados[[#This Row],[Horas Disp.]]</f>
        <v>0.94750000000000001</v>
      </c>
      <c r="R64" s="12">
        <f>Dados[[#This Row],[Vol. Bruto]]/Dados[[#This Row],[Vol. Padrão]]</f>
        <v>0.91534999999999989</v>
      </c>
      <c r="S64" s="12">
        <f>Dados[[#This Row],[Disponibilidade]]*Dados[[#This Row],[Desempenho]]*Dados[[#This Row],[Qualidade]]</f>
        <v>0.86110092045454545</v>
      </c>
      <c r="T64" s="14">
        <f>YEAR(Dados[[#This Row],[Período]])</f>
        <v>2018</v>
      </c>
      <c r="U64" s="14">
        <f>MONTH(Dados[[#This Row],[Período]])</f>
        <v>4</v>
      </c>
    </row>
    <row r="65" spans="1:21" x14ac:dyDescent="0.25">
      <c r="A65" s="9">
        <v>43199</v>
      </c>
      <c r="B65" s="4" t="s">
        <v>30</v>
      </c>
      <c r="C65" s="5" t="s">
        <v>16</v>
      </c>
      <c r="D65" s="10">
        <v>8</v>
      </c>
      <c r="E65" s="10">
        <f t="shared" si="12"/>
        <v>7.17</v>
      </c>
      <c r="F65" s="10">
        <v>0.83</v>
      </c>
      <c r="G65" s="11">
        <v>440</v>
      </c>
      <c r="H65" s="11">
        <v>374.23</v>
      </c>
      <c r="I65" s="11">
        <v>5.3209999999999997</v>
      </c>
      <c r="J65" s="11">
        <f t="shared" si="13"/>
        <v>379.55100000000004</v>
      </c>
      <c r="K65" s="12">
        <f t="shared" si="14"/>
        <v>0.85052272727272726</v>
      </c>
      <c r="L65" s="12">
        <f t="shared" si="23"/>
        <v>0.94897933307975146</v>
      </c>
      <c r="M65" s="12">
        <f t="shared" si="15"/>
        <v>0.98598080363376717</v>
      </c>
      <c r="N65" s="12">
        <f t="shared" si="16"/>
        <v>1.4019196366232731E-2</v>
      </c>
      <c r="O65" s="14">
        <f>Dados[[#This Row],[Vol. Padrão]]/Dados[[#This Row],[Horas Disp.]]</f>
        <v>55</v>
      </c>
      <c r="P65" s="32" cm="1">
        <f t="array" ref="P65">SUM(Dados[[#This Row],[Vol. Líquido]:[V. Refugo]]/Dados[[#This Row],[H. Ativas]])</f>
        <v>52.935983263598331</v>
      </c>
      <c r="Q65" s="12">
        <f>Dados[[#This Row],[H. Ativas]]/Dados[[#This Row],[Horas Disp.]]</f>
        <v>0.89624999999999999</v>
      </c>
      <c r="R65" s="12">
        <f>Dados[[#This Row],[Vol. Bruto]]/Dados[[#This Row],[Vol. Padrão]]</f>
        <v>0.86261590909090924</v>
      </c>
      <c r="S65" s="12">
        <f>Dados[[#This Row],[Disponibilidade]]*Dados[[#This Row],[Desempenho]]*Dados[[#This Row],[Qualidade]]</f>
        <v>0.76228099431818186</v>
      </c>
      <c r="T65" s="14">
        <f>YEAR(Dados[[#This Row],[Período]])</f>
        <v>2018</v>
      </c>
      <c r="U65" s="14">
        <f>MONTH(Dados[[#This Row],[Período]])</f>
        <v>4</v>
      </c>
    </row>
    <row r="66" spans="1:21" x14ac:dyDescent="0.25">
      <c r="A66" s="9">
        <v>43200</v>
      </c>
      <c r="B66" s="4" t="s">
        <v>26</v>
      </c>
      <c r="C66" s="5" t="s">
        <v>21</v>
      </c>
      <c r="D66" s="10">
        <v>8</v>
      </c>
      <c r="E66" s="10">
        <f t="shared" ref="E66:E97" si="24">D66-F66</f>
        <v>7.64</v>
      </c>
      <c r="F66" s="10">
        <v>0.36</v>
      </c>
      <c r="G66" s="11">
        <v>440</v>
      </c>
      <c r="H66" s="11">
        <v>405.678</v>
      </c>
      <c r="I66" s="11">
        <v>1.7889999999999999</v>
      </c>
      <c r="J66" s="11">
        <f t="shared" ref="J66:J97" si="25">SUM(H66:I66)</f>
        <v>407.46699999999998</v>
      </c>
      <c r="K66" s="12">
        <f t="shared" ref="K66:K97" si="26">(H66/G66)</f>
        <v>0.92199545454545451</v>
      </c>
      <c r="L66" s="12">
        <f t="shared" si="23"/>
        <v>0.96544026653974302</v>
      </c>
      <c r="M66" s="12">
        <f t="shared" ref="M66:M97" si="27">(H66/J66)</f>
        <v>0.99560946039802001</v>
      </c>
      <c r="N66" s="12">
        <f t="shared" ref="N66:N97" si="28">I66/(H66+I66)</f>
        <v>4.3905396019800376E-3</v>
      </c>
      <c r="O66" s="14">
        <f>Dados[[#This Row],[Vol. Padrão]]/Dados[[#This Row],[Horas Disp.]]</f>
        <v>55</v>
      </c>
      <c r="P66" s="32" cm="1">
        <f t="array" ref="P66">SUM(Dados[[#This Row],[Vol. Líquido]:[V. Refugo]]/Dados[[#This Row],[H. Ativas]])</f>
        <v>53.333376963350787</v>
      </c>
      <c r="Q66" s="12">
        <f>Dados[[#This Row],[H. Ativas]]/Dados[[#This Row],[Horas Disp.]]</f>
        <v>0.95499999999999996</v>
      </c>
      <c r="R66" s="12">
        <f>Dados[[#This Row],[Vol. Bruto]]/Dados[[#This Row],[Vol. Padrão]]</f>
        <v>0.9260613636363636</v>
      </c>
      <c r="S66" s="12">
        <f>Dados[[#This Row],[Disponibilidade]]*Dados[[#This Row],[Desempenho]]*Dados[[#This Row],[Qualidade]]</f>
        <v>0.88050565909090905</v>
      </c>
      <c r="T66" s="14">
        <f>YEAR(Dados[[#This Row],[Período]])</f>
        <v>2018</v>
      </c>
      <c r="U66" s="14">
        <f>MONTH(Dados[[#This Row],[Período]])</f>
        <v>4</v>
      </c>
    </row>
    <row r="67" spans="1:21" x14ac:dyDescent="0.25">
      <c r="A67" s="9">
        <v>43221</v>
      </c>
      <c r="B67" s="4" t="s">
        <v>30</v>
      </c>
      <c r="C67" s="5" t="s">
        <v>16</v>
      </c>
      <c r="D67" s="10">
        <v>8</v>
      </c>
      <c r="E67" s="10">
        <f t="shared" si="24"/>
        <v>8</v>
      </c>
      <c r="F67" s="10">
        <v>0</v>
      </c>
      <c r="G67" s="11">
        <v>440</v>
      </c>
      <c r="H67" s="11">
        <v>400.56</v>
      </c>
      <c r="I67" s="11">
        <v>3.15</v>
      </c>
      <c r="J67" s="11">
        <f t="shared" si="25"/>
        <v>403.71</v>
      </c>
      <c r="K67" s="12">
        <f t="shared" si="26"/>
        <v>0.91036363636363637</v>
      </c>
      <c r="L67" s="12">
        <f t="shared" si="23"/>
        <v>0.91036363636363637</v>
      </c>
      <c r="M67" s="12">
        <f t="shared" si="27"/>
        <v>0.99219736939882597</v>
      </c>
      <c r="N67" s="12">
        <f t="shared" si="28"/>
        <v>7.8026306011741101E-3</v>
      </c>
      <c r="O67" s="14">
        <f>Dados[[#This Row],[Vol. Padrão]]/Dados[[#This Row],[Horas Disp.]]</f>
        <v>55</v>
      </c>
      <c r="P67" s="32" cm="1">
        <f t="array" ref="P67">SUM(Dados[[#This Row],[Vol. Líquido]:[V. Refugo]]/Dados[[#This Row],[H. Ativas]])</f>
        <v>50.463749999999997</v>
      </c>
      <c r="Q67" s="12">
        <f>Dados[[#This Row],[H. Ativas]]/Dados[[#This Row],[Horas Disp.]]</f>
        <v>1</v>
      </c>
      <c r="R67" s="12">
        <f>Dados[[#This Row],[Vol. Bruto]]/Dados[[#This Row],[Vol. Padrão]]</f>
        <v>0.91752272727272721</v>
      </c>
      <c r="S67" s="12">
        <f>Dados[[#This Row],[Disponibilidade]]*Dados[[#This Row],[Desempenho]]*Dados[[#This Row],[Qualidade]]</f>
        <v>0.91036363636363637</v>
      </c>
      <c r="T67" s="14">
        <f>YEAR(Dados[[#This Row],[Período]])</f>
        <v>2018</v>
      </c>
      <c r="U67" s="14">
        <f>MONTH(Dados[[#This Row],[Período]])</f>
        <v>5</v>
      </c>
    </row>
    <row r="68" spans="1:21" x14ac:dyDescent="0.25">
      <c r="A68" s="9">
        <v>43222</v>
      </c>
      <c r="B68" s="4" t="s">
        <v>29</v>
      </c>
      <c r="C68" s="5" t="s">
        <v>14</v>
      </c>
      <c r="D68" s="10">
        <v>8</v>
      </c>
      <c r="E68" s="10">
        <f t="shared" si="24"/>
        <v>6.97</v>
      </c>
      <c r="F68" s="10">
        <v>1.03</v>
      </c>
      <c r="G68" s="11">
        <v>440</v>
      </c>
      <c r="H68" s="11">
        <v>317.89999999999998</v>
      </c>
      <c r="I68" s="11">
        <v>4.7880000000000003</v>
      </c>
      <c r="J68" s="11">
        <f t="shared" si="25"/>
        <v>322.68799999999999</v>
      </c>
      <c r="K68" s="12">
        <f t="shared" si="26"/>
        <v>0.72249999999999992</v>
      </c>
      <c r="L68" s="12">
        <f t="shared" si="23"/>
        <v>0.82926829268292679</v>
      </c>
      <c r="M68" s="12">
        <f t="shared" si="27"/>
        <v>0.98516213804046016</v>
      </c>
      <c r="N68" s="12">
        <f t="shared" si="28"/>
        <v>1.4837861959539867E-2</v>
      </c>
      <c r="O68" s="14">
        <f>Dados[[#This Row],[Vol. Padrão]]/Dados[[#This Row],[Horas Disp.]]</f>
        <v>55</v>
      </c>
      <c r="P68" s="32" cm="1">
        <f t="array" ref="P68">SUM(Dados[[#This Row],[Vol. Líquido]:[V. Refugo]]/Dados[[#This Row],[H. Ativas]])</f>
        <v>46.296700143472023</v>
      </c>
      <c r="Q68" s="12">
        <f>Dados[[#This Row],[H. Ativas]]/Dados[[#This Row],[Horas Disp.]]</f>
        <v>0.87124999999999997</v>
      </c>
      <c r="R68" s="12">
        <f>Dados[[#This Row],[Vol. Bruto]]/Dados[[#This Row],[Vol. Padrão]]</f>
        <v>0.73338181818181813</v>
      </c>
      <c r="S68" s="12">
        <f>Dados[[#This Row],[Disponibilidade]]*Dados[[#This Row],[Desempenho]]*Dados[[#This Row],[Qualidade]]</f>
        <v>0.629478125</v>
      </c>
      <c r="T68" s="14">
        <f>YEAR(Dados[[#This Row],[Período]])</f>
        <v>2018</v>
      </c>
      <c r="U68" s="14">
        <f>MONTH(Dados[[#This Row],[Período]])</f>
        <v>5</v>
      </c>
    </row>
    <row r="69" spans="1:21" x14ac:dyDescent="0.25">
      <c r="A69" s="9">
        <v>43223</v>
      </c>
      <c r="B69" s="4" t="s">
        <v>28</v>
      </c>
      <c r="C69" s="5" t="s">
        <v>13</v>
      </c>
      <c r="D69" s="10">
        <v>8</v>
      </c>
      <c r="E69" s="10">
        <f t="shared" si="24"/>
        <v>7.33</v>
      </c>
      <c r="F69" s="10">
        <v>0.67</v>
      </c>
      <c r="G69" s="11">
        <v>440</v>
      </c>
      <c r="H69" s="11">
        <v>375.899</v>
      </c>
      <c r="I69" s="11">
        <v>6.8760000000000003</v>
      </c>
      <c r="J69" s="11">
        <f t="shared" si="25"/>
        <v>382.77499999999998</v>
      </c>
      <c r="K69" s="12">
        <f t="shared" si="26"/>
        <v>0.85431590909090904</v>
      </c>
      <c r="L69" s="12">
        <f t="shared" si="23"/>
        <v>0.93240481210467574</v>
      </c>
      <c r="M69" s="12">
        <f t="shared" si="27"/>
        <v>0.98203644438638893</v>
      </c>
      <c r="N69" s="12">
        <f t="shared" si="28"/>
        <v>1.796355561361113E-2</v>
      </c>
      <c r="O69" s="14">
        <f>Dados[[#This Row],[Vol. Padrão]]/Dados[[#This Row],[Horas Disp.]]</f>
        <v>55</v>
      </c>
      <c r="P69" s="32" cm="1">
        <f t="array" ref="P69">SUM(Dados[[#This Row],[Vol. Líquido]:[V. Refugo]]/Dados[[#This Row],[H. Ativas]])</f>
        <v>52.220327421555254</v>
      </c>
      <c r="Q69" s="12">
        <f>Dados[[#This Row],[H. Ativas]]/Dados[[#This Row],[Horas Disp.]]</f>
        <v>0.91625000000000001</v>
      </c>
      <c r="R69" s="12">
        <f>Dados[[#This Row],[Vol. Bruto]]/Dados[[#This Row],[Vol. Padrão]]</f>
        <v>0.86994318181818175</v>
      </c>
      <c r="S69" s="12">
        <f>Dados[[#This Row],[Disponibilidade]]*Dados[[#This Row],[Desempenho]]*Dados[[#This Row],[Qualidade]]</f>
        <v>0.78276695170454547</v>
      </c>
      <c r="T69" s="14">
        <f>YEAR(Dados[[#This Row],[Período]])</f>
        <v>2018</v>
      </c>
      <c r="U69" s="14">
        <f>MONTH(Dados[[#This Row],[Período]])</f>
        <v>5</v>
      </c>
    </row>
    <row r="70" spans="1:21" x14ac:dyDescent="0.25">
      <c r="A70" s="9">
        <v>43224</v>
      </c>
      <c r="B70" s="4" t="s">
        <v>27</v>
      </c>
      <c r="C70" s="5" t="s">
        <v>17</v>
      </c>
      <c r="D70" s="10">
        <v>8</v>
      </c>
      <c r="E70" s="10">
        <f t="shared" si="24"/>
        <v>7.75</v>
      </c>
      <c r="F70" s="10">
        <v>0.25</v>
      </c>
      <c r="G70" s="11">
        <v>440</v>
      </c>
      <c r="H70" s="11">
        <v>375.12299999999999</v>
      </c>
      <c r="I70" s="11">
        <v>15.32</v>
      </c>
      <c r="J70" s="11">
        <f t="shared" si="25"/>
        <v>390.44299999999998</v>
      </c>
      <c r="K70" s="12">
        <f t="shared" si="26"/>
        <v>0.85255227272727274</v>
      </c>
      <c r="L70" s="12">
        <f t="shared" si="23"/>
        <v>0.88005395894428151</v>
      </c>
      <c r="M70" s="12">
        <f t="shared" si="27"/>
        <v>0.96076251847260674</v>
      </c>
      <c r="N70" s="12">
        <f t="shared" si="28"/>
        <v>3.9237481527393245E-2</v>
      </c>
      <c r="O70" s="14">
        <f>Dados[[#This Row],[Vol. Padrão]]/Dados[[#This Row],[Horas Disp.]]</f>
        <v>55</v>
      </c>
      <c r="P70" s="32" cm="1">
        <f t="array" ref="P70">SUM(Dados[[#This Row],[Vol. Líquido]:[V. Refugo]]/Dados[[#This Row],[H. Ativas]])</f>
        <v>50.379741935483871</v>
      </c>
      <c r="Q70" s="12">
        <f>Dados[[#This Row],[H. Ativas]]/Dados[[#This Row],[Horas Disp.]]</f>
        <v>0.96875</v>
      </c>
      <c r="R70" s="12">
        <f>Dados[[#This Row],[Vol. Bruto]]/Dados[[#This Row],[Vol. Padrão]]</f>
        <v>0.88737045454545449</v>
      </c>
      <c r="S70" s="12">
        <f>Dados[[#This Row],[Disponibilidade]]*Dados[[#This Row],[Desempenho]]*Dados[[#This Row],[Qualidade]]</f>
        <v>0.82591001420454535</v>
      </c>
      <c r="T70" s="14">
        <f>YEAR(Dados[[#This Row],[Período]])</f>
        <v>2018</v>
      </c>
      <c r="U70" s="14">
        <f>MONTH(Dados[[#This Row],[Período]])</f>
        <v>5</v>
      </c>
    </row>
    <row r="71" spans="1:21" x14ac:dyDescent="0.25">
      <c r="A71" s="9">
        <v>43225</v>
      </c>
      <c r="B71" s="4" t="s">
        <v>26</v>
      </c>
      <c r="C71" s="5" t="s">
        <v>21</v>
      </c>
      <c r="D71" s="10">
        <v>8</v>
      </c>
      <c r="E71" s="10">
        <f t="shared" si="24"/>
        <v>7.83</v>
      </c>
      <c r="F71" s="10">
        <v>0.17</v>
      </c>
      <c r="G71" s="11">
        <v>440</v>
      </c>
      <c r="H71" s="11">
        <v>413.5</v>
      </c>
      <c r="I71" s="11">
        <v>2.67</v>
      </c>
      <c r="J71" s="11">
        <f t="shared" si="25"/>
        <v>416.17</v>
      </c>
      <c r="K71" s="12">
        <f t="shared" si="26"/>
        <v>0.93977272727272732</v>
      </c>
      <c r="L71" s="12">
        <f t="shared" si="23"/>
        <v>0.96017647741785683</v>
      </c>
      <c r="M71" s="12">
        <f t="shared" si="27"/>
        <v>0.99358435254823751</v>
      </c>
      <c r="N71" s="12">
        <f t="shared" si="28"/>
        <v>6.4156474517625007E-3</v>
      </c>
      <c r="O71" s="14">
        <f>Dados[[#This Row],[Vol. Padrão]]/Dados[[#This Row],[Horas Disp.]]</f>
        <v>55</v>
      </c>
      <c r="P71" s="32" cm="1">
        <f t="array" ref="P71">SUM(Dados[[#This Row],[Vol. Líquido]:[V. Refugo]]/Dados[[#This Row],[H. Ativas]])</f>
        <v>53.1507024265645</v>
      </c>
      <c r="Q71" s="12">
        <f>Dados[[#This Row],[H. Ativas]]/Dados[[#This Row],[Horas Disp.]]</f>
        <v>0.97875000000000001</v>
      </c>
      <c r="R71" s="12">
        <f>Dados[[#This Row],[Vol. Bruto]]/Dados[[#This Row],[Vol. Padrão]]</f>
        <v>0.94584090909090912</v>
      </c>
      <c r="S71" s="12">
        <f>Dados[[#This Row],[Disponibilidade]]*Dados[[#This Row],[Desempenho]]*Dados[[#This Row],[Qualidade]]</f>
        <v>0.9198025568181819</v>
      </c>
      <c r="T71" s="14">
        <f>YEAR(Dados[[#This Row],[Período]])</f>
        <v>2018</v>
      </c>
      <c r="U71" s="14">
        <f>MONTH(Dados[[#This Row],[Período]])</f>
        <v>5</v>
      </c>
    </row>
    <row r="72" spans="1:21" x14ac:dyDescent="0.25">
      <c r="A72" s="9">
        <v>43226</v>
      </c>
      <c r="B72" s="4" t="s">
        <v>30</v>
      </c>
      <c r="C72" s="5" t="s">
        <v>18</v>
      </c>
      <c r="D72" s="10">
        <v>8</v>
      </c>
      <c r="E72" s="10">
        <f t="shared" si="24"/>
        <v>7.58</v>
      </c>
      <c r="F72" s="10">
        <v>0.42</v>
      </c>
      <c r="G72" s="11">
        <v>440</v>
      </c>
      <c r="H72" s="11">
        <v>299.8</v>
      </c>
      <c r="I72" s="11">
        <v>19.777000000000001</v>
      </c>
      <c r="J72" s="11">
        <f t="shared" si="25"/>
        <v>319.577</v>
      </c>
      <c r="K72" s="12">
        <f t="shared" si="26"/>
        <v>0.68136363636363639</v>
      </c>
      <c r="L72" s="12">
        <f t="shared" si="23"/>
        <v>0.71911729431518356</v>
      </c>
      <c r="M72" s="12">
        <f t="shared" si="27"/>
        <v>0.93811507085929213</v>
      </c>
      <c r="N72" s="12">
        <f t="shared" si="28"/>
        <v>6.1884929140707874E-2</v>
      </c>
      <c r="O72" s="14">
        <f>Dados[[#This Row],[Vol. Padrão]]/Dados[[#This Row],[Horas Disp.]]</f>
        <v>55</v>
      </c>
      <c r="P72" s="32" cm="1">
        <f t="array" ref="P72">SUM(Dados[[#This Row],[Vol. Líquido]:[V. Refugo]]/Dados[[#This Row],[H. Ativas]])</f>
        <v>42.16055408970977</v>
      </c>
      <c r="Q72" s="12">
        <f>Dados[[#This Row],[H. Ativas]]/Dados[[#This Row],[Horas Disp.]]</f>
        <v>0.94750000000000001</v>
      </c>
      <c r="R72" s="12">
        <f>Dados[[#This Row],[Vol. Bruto]]/Dados[[#This Row],[Vol. Padrão]]</f>
        <v>0.72631136363636362</v>
      </c>
      <c r="S72" s="12">
        <f>Dados[[#This Row],[Disponibilidade]]*Dados[[#This Row],[Desempenho]]*Dados[[#This Row],[Qualidade]]</f>
        <v>0.6455920454545454</v>
      </c>
      <c r="T72" s="14">
        <f>YEAR(Dados[[#This Row],[Período]])</f>
        <v>2018</v>
      </c>
      <c r="U72" s="14">
        <f>MONTH(Dados[[#This Row],[Período]])</f>
        <v>5</v>
      </c>
    </row>
    <row r="73" spans="1:21" x14ac:dyDescent="0.25">
      <c r="A73" s="9">
        <v>43227</v>
      </c>
      <c r="B73" s="4" t="s">
        <v>29</v>
      </c>
      <c r="C73" s="5" t="s">
        <v>19</v>
      </c>
      <c r="D73" s="10">
        <v>8</v>
      </c>
      <c r="E73" s="10">
        <f t="shared" si="24"/>
        <v>7.17</v>
      </c>
      <c r="F73" s="10">
        <v>0.83</v>
      </c>
      <c r="G73" s="11">
        <v>440</v>
      </c>
      <c r="H73" s="11">
        <v>350.2</v>
      </c>
      <c r="I73" s="11">
        <v>7.8810000000000002</v>
      </c>
      <c r="J73" s="11">
        <f t="shared" si="25"/>
        <v>358.08100000000002</v>
      </c>
      <c r="K73" s="12">
        <f t="shared" si="26"/>
        <v>0.7959090909090909</v>
      </c>
      <c r="L73" s="12">
        <f t="shared" si="23"/>
        <v>0.88804361607708882</v>
      </c>
      <c r="M73" s="12">
        <f t="shared" si="27"/>
        <v>0.97799101320650905</v>
      </c>
      <c r="N73" s="12">
        <f t="shared" si="28"/>
        <v>2.2008986793490858E-2</v>
      </c>
      <c r="O73" s="14">
        <f>Dados[[#This Row],[Vol. Padrão]]/Dados[[#This Row],[Horas Disp.]]</f>
        <v>55</v>
      </c>
      <c r="P73" s="32" cm="1">
        <f t="array" ref="P73">SUM(Dados[[#This Row],[Vol. Líquido]:[V. Refugo]]/Dados[[#This Row],[H. Ativas]])</f>
        <v>49.941562064156201</v>
      </c>
      <c r="Q73" s="12">
        <f>Dados[[#This Row],[H. Ativas]]/Dados[[#This Row],[Horas Disp.]]</f>
        <v>0.89624999999999999</v>
      </c>
      <c r="R73" s="12">
        <f>Dados[[#This Row],[Vol. Bruto]]/Dados[[#This Row],[Vol. Padrão]]</f>
        <v>0.8138204545454546</v>
      </c>
      <c r="S73" s="12">
        <f>Dados[[#This Row],[Disponibilidade]]*Dados[[#This Row],[Desempenho]]*Dados[[#This Row],[Qualidade]]</f>
        <v>0.71333352272727268</v>
      </c>
      <c r="T73" s="14">
        <f>YEAR(Dados[[#This Row],[Período]])</f>
        <v>2018</v>
      </c>
      <c r="U73" s="14">
        <f>MONTH(Dados[[#This Row],[Período]])</f>
        <v>5</v>
      </c>
    </row>
    <row r="74" spans="1:21" x14ac:dyDescent="0.25">
      <c r="A74" s="9">
        <v>43228</v>
      </c>
      <c r="B74" s="4" t="s">
        <v>28</v>
      </c>
      <c r="C74" s="5" t="s">
        <v>15</v>
      </c>
      <c r="D74" s="10">
        <v>8</v>
      </c>
      <c r="E74" s="10">
        <f t="shared" si="24"/>
        <v>7.25</v>
      </c>
      <c r="F74" s="10">
        <v>0.75</v>
      </c>
      <c r="G74" s="11">
        <v>440</v>
      </c>
      <c r="H74" s="11">
        <v>380.3</v>
      </c>
      <c r="I74" s="11">
        <v>8.34</v>
      </c>
      <c r="J74" s="11">
        <f t="shared" si="25"/>
        <v>388.64</v>
      </c>
      <c r="K74" s="12">
        <f t="shared" si="26"/>
        <v>0.86431818181818187</v>
      </c>
      <c r="L74" s="12">
        <f t="shared" si="23"/>
        <v>0.95373040752351101</v>
      </c>
      <c r="M74" s="12">
        <f t="shared" si="27"/>
        <v>0.97854055166735288</v>
      </c>
      <c r="N74" s="12">
        <f t="shared" si="28"/>
        <v>2.145944833264718E-2</v>
      </c>
      <c r="O74" s="14">
        <f>Dados[[#This Row],[Vol. Padrão]]/Dados[[#This Row],[Horas Disp.]]</f>
        <v>55</v>
      </c>
      <c r="P74" s="32" cm="1">
        <f t="array" ref="P74">SUM(Dados[[#This Row],[Vol. Líquido]:[V. Refugo]]/Dados[[#This Row],[H. Ativas]])</f>
        <v>53.605517241379317</v>
      </c>
      <c r="Q74" s="12">
        <f>Dados[[#This Row],[H. Ativas]]/Dados[[#This Row],[Horas Disp.]]</f>
        <v>0.90625</v>
      </c>
      <c r="R74" s="12">
        <f>Dados[[#This Row],[Vol. Bruto]]/Dados[[#This Row],[Vol. Padrão]]</f>
        <v>0.88327272727272721</v>
      </c>
      <c r="S74" s="12">
        <f>Dados[[#This Row],[Disponibilidade]]*Dados[[#This Row],[Desempenho]]*Dados[[#This Row],[Qualidade]]</f>
        <v>0.7832883522727272</v>
      </c>
      <c r="T74" s="14">
        <f>YEAR(Dados[[#This Row],[Período]])</f>
        <v>2018</v>
      </c>
      <c r="U74" s="14">
        <f>MONTH(Dados[[#This Row],[Período]])</f>
        <v>5</v>
      </c>
    </row>
    <row r="75" spans="1:21" x14ac:dyDescent="0.25">
      <c r="A75" s="9">
        <v>43229</v>
      </c>
      <c r="B75" s="4" t="s">
        <v>27</v>
      </c>
      <c r="C75" s="5" t="s">
        <v>20</v>
      </c>
      <c r="D75" s="10">
        <v>8</v>
      </c>
      <c r="E75" s="10">
        <f t="shared" si="24"/>
        <v>7.67</v>
      </c>
      <c r="F75" s="10">
        <v>0.33</v>
      </c>
      <c r="G75" s="11">
        <v>440</v>
      </c>
      <c r="H75" s="11">
        <v>401.6</v>
      </c>
      <c r="I75" s="11">
        <v>1.89</v>
      </c>
      <c r="J75" s="11">
        <f t="shared" si="25"/>
        <v>403.49</v>
      </c>
      <c r="K75" s="12">
        <f t="shared" si="26"/>
        <v>0.91272727272727283</v>
      </c>
      <c r="L75" s="12">
        <f t="shared" si="23"/>
        <v>0.95199715538698593</v>
      </c>
      <c r="M75" s="12">
        <f t="shared" si="27"/>
        <v>0.99531586904260327</v>
      </c>
      <c r="N75" s="12">
        <f t="shared" si="28"/>
        <v>4.684130957396713E-3</v>
      </c>
      <c r="O75" s="14">
        <f>Dados[[#This Row],[Vol. Padrão]]/Dados[[#This Row],[Horas Disp.]]</f>
        <v>55</v>
      </c>
      <c r="P75" s="32" cm="1">
        <f t="array" ref="P75">SUM(Dados[[#This Row],[Vol. Líquido]:[V. Refugo]]/Dados[[#This Row],[H. Ativas]])</f>
        <v>52.606258148631028</v>
      </c>
      <c r="Q75" s="12">
        <f>Dados[[#This Row],[H. Ativas]]/Dados[[#This Row],[Horas Disp.]]</f>
        <v>0.95874999999999999</v>
      </c>
      <c r="R75" s="12">
        <f>Dados[[#This Row],[Vol. Bruto]]/Dados[[#This Row],[Vol. Padrão]]</f>
        <v>0.91702272727272727</v>
      </c>
      <c r="S75" s="12">
        <f>Dados[[#This Row],[Disponibilidade]]*Dados[[#This Row],[Desempenho]]*Dados[[#This Row],[Qualidade]]</f>
        <v>0.87507727272727265</v>
      </c>
      <c r="T75" s="14">
        <f>YEAR(Dados[[#This Row],[Período]])</f>
        <v>2018</v>
      </c>
      <c r="U75" s="14">
        <f>MONTH(Dados[[#This Row],[Período]])</f>
        <v>5</v>
      </c>
    </row>
    <row r="76" spans="1:21" x14ac:dyDescent="0.25">
      <c r="A76" s="9">
        <v>43230</v>
      </c>
      <c r="B76" s="4" t="s">
        <v>26</v>
      </c>
      <c r="C76" s="5" t="s">
        <v>22</v>
      </c>
      <c r="D76" s="10">
        <v>8</v>
      </c>
      <c r="E76" s="10">
        <f t="shared" si="24"/>
        <v>7.4</v>
      </c>
      <c r="F76" s="10">
        <v>0.6</v>
      </c>
      <c r="G76" s="11">
        <v>440</v>
      </c>
      <c r="H76" s="11">
        <v>425.45</v>
      </c>
      <c r="I76" s="11">
        <v>1.87</v>
      </c>
      <c r="J76" s="11">
        <f t="shared" si="25"/>
        <v>427.32</v>
      </c>
      <c r="K76" s="12">
        <f t="shared" si="26"/>
        <v>0.96693181818181817</v>
      </c>
      <c r="L76" s="12">
        <f t="shared" si="23"/>
        <v>1.0453316953316953</v>
      </c>
      <c r="M76" s="12">
        <f t="shared" si="27"/>
        <v>0.99562388842085559</v>
      </c>
      <c r="N76" s="12">
        <f t="shared" si="28"/>
        <v>4.3761115791444358E-3</v>
      </c>
      <c r="O76" s="14">
        <f>Dados[[#This Row],[Vol. Padrão]]/Dados[[#This Row],[Horas Disp.]]</f>
        <v>55</v>
      </c>
      <c r="P76" s="32" cm="1">
        <f t="array" ref="P76">SUM(Dados[[#This Row],[Vol. Líquido]:[V. Refugo]]/Dados[[#This Row],[H. Ativas]])</f>
        <v>57.745945945945948</v>
      </c>
      <c r="Q76" s="12">
        <f>Dados[[#This Row],[H. Ativas]]/Dados[[#This Row],[Horas Disp.]]</f>
        <v>0.92500000000000004</v>
      </c>
      <c r="R76" s="12">
        <f>Dados[[#This Row],[Vol. Bruto]]/Dados[[#This Row],[Vol. Padrão]]</f>
        <v>0.97118181818181815</v>
      </c>
      <c r="S76" s="12">
        <f>Dados[[#This Row],[Disponibilidade]]*Dados[[#This Row],[Desempenho]]*Dados[[#This Row],[Qualidade]]</f>
        <v>0.8944119318181819</v>
      </c>
      <c r="T76" s="14">
        <f>YEAR(Dados[[#This Row],[Período]])</f>
        <v>2018</v>
      </c>
      <c r="U76" s="14">
        <f>MONTH(Dados[[#This Row],[Período]])</f>
        <v>5</v>
      </c>
    </row>
    <row r="77" spans="1:21" x14ac:dyDescent="0.25">
      <c r="A77" s="9">
        <v>43252</v>
      </c>
      <c r="B77" s="4" t="s">
        <v>26</v>
      </c>
      <c r="C77" s="5" t="s">
        <v>21</v>
      </c>
      <c r="D77" s="10">
        <v>8</v>
      </c>
      <c r="E77" s="10">
        <f t="shared" si="24"/>
        <v>7.67</v>
      </c>
      <c r="F77" s="6">
        <v>0.33</v>
      </c>
      <c r="G77" s="11">
        <v>440</v>
      </c>
      <c r="H77" s="11">
        <v>380.7</v>
      </c>
      <c r="I77" s="11">
        <v>3.3</v>
      </c>
      <c r="J77" s="11">
        <f t="shared" si="25"/>
        <v>384</v>
      </c>
      <c r="K77" s="12">
        <f t="shared" si="26"/>
        <v>0.86522727272727273</v>
      </c>
      <c r="L77" s="12">
        <f t="shared" si="23"/>
        <v>0.90245347872466508</v>
      </c>
      <c r="M77" s="12">
        <f t="shared" si="27"/>
        <v>0.99140624999999993</v>
      </c>
      <c r="N77" s="12">
        <f t="shared" si="28"/>
        <v>8.593749999999999E-3</v>
      </c>
      <c r="O77" s="14">
        <f>Dados[[#This Row],[Vol. Padrão]]/Dados[[#This Row],[Horas Disp.]]</f>
        <v>55</v>
      </c>
      <c r="P77" s="32" cm="1">
        <f t="array" ref="P77">SUM(Dados[[#This Row],[Vol. Líquido]:[V. Refugo]]/Dados[[#This Row],[H. Ativas]])</f>
        <v>50.065189048239894</v>
      </c>
      <c r="Q77" s="12">
        <f>Dados[[#This Row],[H. Ativas]]/Dados[[#This Row],[Horas Disp.]]</f>
        <v>0.95874999999999999</v>
      </c>
      <c r="R77" s="12">
        <f>Dados[[#This Row],[Vol. Bruto]]/Dados[[#This Row],[Vol. Padrão]]</f>
        <v>0.87272727272727268</v>
      </c>
      <c r="S77" s="12">
        <f>Dados[[#This Row],[Disponibilidade]]*Dados[[#This Row],[Desempenho]]*Dados[[#This Row],[Qualidade]]</f>
        <v>0.82953664772727265</v>
      </c>
      <c r="T77" s="14">
        <f>YEAR(Dados[[#This Row],[Período]])</f>
        <v>2018</v>
      </c>
      <c r="U77" s="14">
        <f>MONTH(Dados[[#This Row],[Período]])</f>
        <v>6</v>
      </c>
    </row>
    <row r="78" spans="1:21" x14ac:dyDescent="0.25">
      <c r="A78" s="9">
        <v>43253</v>
      </c>
      <c r="B78" s="4" t="s">
        <v>27</v>
      </c>
      <c r="C78" s="5" t="s">
        <v>17</v>
      </c>
      <c r="D78" s="10">
        <v>8</v>
      </c>
      <c r="E78" s="10">
        <f t="shared" si="24"/>
        <v>7.5</v>
      </c>
      <c r="F78" s="6">
        <v>0.5</v>
      </c>
      <c r="G78" s="11">
        <v>440</v>
      </c>
      <c r="H78" s="11">
        <v>390.8</v>
      </c>
      <c r="I78" s="11">
        <v>4.8899999999999997</v>
      </c>
      <c r="J78" s="11">
        <f t="shared" si="25"/>
        <v>395.69</v>
      </c>
      <c r="K78" s="12">
        <f t="shared" si="26"/>
        <v>0.88818181818181818</v>
      </c>
      <c r="L78" s="12">
        <f t="shared" si="23"/>
        <v>0.94739393939393945</v>
      </c>
      <c r="M78" s="12">
        <f t="shared" si="27"/>
        <v>0.98764184083499718</v>
      </c>
      <c r="N78" s="12">
        <f t="shared" si="28"/>
        <v>1.2358159165002906E-2</v>
      </c>
      <c r="O78" s="14">
        <f>Dados[[#This Row],[Vol. Padrão]]/Dados[[#This Row],[Horas Disp.]]</f>
        <v>55</v>
      </c>
      <c r="P78" s="32" cm="1">
        <f t="array" ref="P78">SUM(Dados[[#This Row],[Vol. Líquido]:[V. Refugo]]/Dados[[#This Row],[H. Ativas]])</f>
        <v>52.75866666666667</v>
      </c>
      <c r="Q78" s="12">
        <f>Dados[[#This Row],[H. Ativas]]/Dados[[#This Row],[Horas Disp.]]</f>
        <v>0.9375</v>
      </c>
      <c r="R78" s="12">
        <f>Dados[[#This Row],[Vol. Bruto]]/Dados[[#This Row],[Vol. Padrão]]</f>
        <v>0.89929545454545456</v>
      </c>
      <c r="S78" s="12">
        <f>Dados[[#This Row],[Disponibilidade]]*Dados[[#This Row],[Desempenho]]*Dados[[#This Row],[Qualidade]]</f>
        <v>0.83267045454545463</v>
      </c>
      <c r="T78" s="14">
        <f>YEAR(Dados[[#This Row],[Período]])</f>
        <v>2018</v>
      </c>
      <c r="U78" s="14">
        <f>MONTH(Dados[[#This Row],[Período]])</f>
        <v>6</v>
      </c>
    </row>
    <row r="79" spans="1:21" x14ac:dyDescent="0.25">
      <c r="A79" s="9">
        <v>43254</v>
      </c>
      <c r="B79" s="4" t="s">
        <v>28</v>
      </c>
      <c r="C79" s="5" t="s">
        <v>15</v>
      </c>
      <c r="D79" s="10">
        <v>8</v>
      </c>
      <c r="E79" s="10">
        <f t="shared" si="24"/>
        <v>7.58</v>
      </c>
      <c r="F79" s="6">
        <v>0.42</v>
      </c>
      <c r="G79" s="11">
        <v>440</v>
      </c>
      <c r="H79" s="11">
        <v>395.6</v>
      </c>
      <c r="I79" s="11">
        <v>5.6</v>
      </c>
      <c r="J79" s="11">
        <f t="shared" si="25"/>
        <v>401.20000000000005</v>
      </c>
      <c r="K79" s="12">
        <f t="shared" si="26"/>
        <v>0.89909090909090916</v>
      </c>
      <c r="L79" s="12">
        <f t="shared" si="23"/>
        <v>0.94890861117774061</v>
      </c>
      <c r="M79" s="12">
        <f t="shared" si="27"/>
        <v>0.9860418743768693</v>
      </c>
      <c r="N79" s="12">
        <f t="shared" si="28"/>
        <v>1.3958125623130606E-2</v>
      </c>
      <c r="O79" s="14">
        <f>Dados[[#This Row],[Vol. Padrão]]/Dados[[#This Row],[Horas Disp.]]</f>
        <v>55</v>
      </c>
      <c r="P79" s="32" cm="1">
        <f t="array" ref="P79">SUM(Dados[[#This Row],[Vol. Líquido]:[V. Refugo]]/Dados[[#This Row],[H. Ativas]])</f>
        <v>52.928759894459105</v>
      </c>
      <c r="Q79" s="12">
        <f>Dados[[#This Row],[H. Ativas]]/Dados[[#This Row],[Horas Disp.]]</f>
        <v>0.94750000000000001</v>
      </c>
      <c r="R79" s="12">
        <f>Dados[[#This Row],[Vol. Bruto]]/Dados[[#This Row],[Vol. Padrão]]</f>
        <v>0.91181818181818197</v>
      </c>
      <c r="S79" s="12">
        <f>Dados[[#This Row],[Disponibilidade]]*Dados[[#This Row],[Desempenho]]*Dados[[#This Row],[Qualidade]]</f>
        <v>0.85188863636363643</v>
      </c>
      <c r="T79" s="14">
        <f>YEAR(Dados[[#This Row],[Período]])</f>
        <v>2018</v>
      </c>
      <c r="U79" s="14">
        <f>MONTH(Dados[[#This Row],[Período]])</f>
        <v>6</v>
      </c>
    </row>
    <row r="80" spans="1:21" x14ac:dyDescent="0.25">
      <c r="A80" s="9">
        <v>43255</v>
      </c>
      <c r="B80" s="4" t="s">
        <v>29</v>
      </c>
      <c r="C80" s="5" t="s">
        <v>19</v>
      </c>
      <c r="D80" s="10">
        <v>8</v>
      </c>
      <c r="E80" s="10">
        <f t="shared" si="24"/>
        <v>7.75</v>
      </c>
      <c r="F80" s="6">
        <v>0.25</v>
      </c>
      <c r="G80" s="11">
        <v>440</v>
      </c>
      <c r="H80" s="11">
        <v>407.9</v>
      </c>
      <c r="I80" s="11">
        <v>6.7</v>
      </c>
      <c r="J80" s="11">
        <f t="shared" si="25"/>
        <v>414.59999999999997</v>
      </c>
      <c r="K80" s="12">
        <f t="shared" si="26"/>
        <v>0.92704545454545451</v>
      </c>
      <c r="L80" s="12">
        <f t="shared" si="23"/>
        <v>0.95695014662756595</v>
      </c>
      <c r="M80" s="12">
        <f t="shared" si="27"/>
        <v>0.98383984563434634</v>
      </c>
      <c r="N80" s="12">
        <f t="shared" si="28"/>
        <v>1.6160154365653642E-2</v>
      </c>
      <c r="O80" s="14">
        <f>Dados[[#This Row],[Vol. Padrão]]/Dados[[#This Row],[Horas Disp.]]</f>
        <v>55</v>
      </c>
      <c r="P80" s="32" cm="1">
        <f t="array" ref="P80">SUM(Dados[[#This Row],[Vol. Líquido]:[V. Refugo]]/Dados[[#This Row],[H. Ativas]])</f>
        <v>53.49677419354839</v>
      </c>
      <c r="Q80" s="12">
        <f>Dados[[#This Row],[H. Ativas]]/Dados[[#This Row],[Horas Disp.]]</f>
        <v>0.96875</v>
      </c>
      <c r="R80" s="12">
        <f>Dados[[#This Row],[Vol. Bruto]]/Dados[[#This Row],[Vol. Padrão]]</f>
        <v>0.94227272727272715</v>
      </c>
      <c r="S80" s="12">
        <f>Dados[[#This Row],[Disponibilidade]]*Dados[[#This Row],[Desempenho]]*Dados[[#This Row],[Qualidade]]</f>
        <v>0.89807528409090898</v>
      </c>
      <c r="T80" s="14">
        <f>YEAR(Dados[[#This Row],[Período]])</f>
        <v>2018</v>
      </c>
      <c r="U80" s="14">
        <f>MONTH(Dados[[#This Row],[Período]])</f>
        <v>6</v>
      </c>
    </row>
    <row r="81" spans="1:21" x14ac:dyDescent="0.25">
      <c r="A81" s="9">
        <v>43256</v>
      </c>
      <c r="B81" s="4" t="s">
        <v>30</v>
      </c>
      <c r="C81" s="5" t="s">
        <v>18</v>
      </c>
      <c r="D81" s="10">
        <v>8</v>
      </c>
      <c r="E81" s="10">
        <f t="shared" si="24"/>
        <v>7.17</v>
      </c>
      <c r="F81" s="6">
        <v>0.83</v>
      </c>
      <c r="G81" s="11">
        <v>440</v>
      </c>
      <c r="H81" s="11">
        <v>378.4</v>
      </c>
      <c r="I81" s="11">
        <v>9.1999999999999993</v>
      </c>
      <c r="J81" s="11">
        <f t="shared" si="25"/>
        <v>387.59999999999997</v>
      </c>
      <c r="K81" s="12">
        <f t="shared" si="26"/>
        <v>0.86</v>
      </c>
      <c r="L81" s="12">
        <f t="shared" si="23"/>
        <v>0.95955369595536943</v>
      </c>
      <c r="M81" s="12">
        <f t="shared" si="27"/>
        <v>0.97626418988648089</v>
      </c>
      <c r="N81" s="12">
        <f t="shared" si="28"/>
        <v>2.3735810113519093E-2</v>
      </c>
      <c r="O81" s="14">
        <f>Dados[[#This Row],[Vol. Padrão]]/Dados[[#This Row],[Horas Disp.]]</f>
        <v>55</v>
      </c>
      <c r="P81" s="32" cm="1">
        <f t="array" ref="P81">SUM(Dados[[#This Row],[Vol. Líquido]:[V. Refugo]]/Dados[[#This Row],[H. Ativas]])</f>
        <v>54.05857740585774</v>
      </c>
      <c r="Q81" s="12">
        <f>Dados[[#This Row],[H. Ativas]]/Dados[[#This Row],[Horas Disp.]]</f>
        <v>0.89624999999999999</v>
      </c>
      <c r="R81" s="12">
        <f>Dados[[#This Row],[Vol. Bruto]]/Dados[[#This Row],[Vol. Padrão]]</f>
        <v>0.88090909090909086</v>
      </c>
      <c r="S81" s="12">
        <f>Dados[[#This Row],[Disponibilidade]]*Dados[[#This Row],[Desempenho]]*Dados[[#This Row],[Qualidade]]</f>
        <v>0.77077499999999988</v>
      </c>
      <c r="T81" s="14">
        <f>YEAR(Dados[[#This Row],[Período]])</f>
        <v>2018</v>
      </c>
      <c r="U81" s="14">
        <f>MONTH(Dados[[#This Row],[Período]])</f>
        <v>6</v>
      </c>
    </row>
    <row r="82" spans="1:21" x14ac:dyDescent="0.25">
      <c r="A82" s="9">
        <v>43257</v>
      </c>
      <c r="B82" s="4" t="s">
        <v>26</v>
      </c>
      <c r="C82" s="5" t="s">
        <v>22</v>
      </c>
      <c r="D82" s="10">
        <v>8</v>
      </c>
      <c r="E82" s="10">
        <f t="shared" si="24"/>
        <v>7.33</v>
      </c>
      <c r="F82" s="6">
        <v>0.67</v>
      </c>
      <c r="G82" s="11">
        <v>440</v>
      </c>
      <c r="H82" s="11">
        <v>401.55</v>
      </c>
      <c r="I82" s="11">
        <v>4.3209999999999997</v>
      </c>
      <c r="J82" s="11">
        <f t="shared" si="25"/>
        <v>405.87100000000004</v>
      </c>
      <c r="K82" s="12">
        <f t="shared" si="26"/>
        <v>0.91261363636363635</v>
      </c>
      <c r="L82" s="12">
        <f t="shared" si="23"/>
        <v>0.99603125387572877</v>
      </c>
      <c r="M82" s="12">
        <f t="shared" si="27"/>
        <v>0.9893537601848863</v>
      </c>
      <c r="N82" s="12">
        <f t="shared" si="28"/>
        <v>1.0646239815113668E-2</v>
      </c>
      <c r="O82" s="14">
        <f>Dados[[#This Row],[Vol. Padrão]]/Dados[[#This Row],[Horas Disp.]]</f>
        <v>55</v>
      </c>
      <c r="P82" s="32" cm="1">
        <f t="array" ref="P82">SUM(Dados[[#This Row],[Vol. Líquido]:[V. Refugo]]/Dados[[#This Row],[H. Ativas]])</f>
        <v>55.371214188267395</v>
      </c>
      <c r="Q82" s="12">
        <f>Dados[[#This Row],[H. Ativas]]/Dados[[#This Row],[Horas Disp.]]</f>
        <v>0.91625000000000001</v>
      </c>
      <c r="R82" s="12">
        <f>Dados[[#This Row],[Vol. Bruto]]/Dados[[#This Row],[Vol. Padrão]]</f>
        <v>0.92243409090909101</v>
      </c>
      <c r="S82" s="12">
        <f>Dados[[#This Row],[Disponibilidade]]*Dados[[#This Row],[Desempenho]]*Dados[[#This Row],[Qualidade]]</f>
        <v>0.83618224431818189</v>
      </c>
      <c r="T82" s="14">
        <f>YEAR(Dados[[#This Row],[Período]])</f>
        <v>2018</v>
      </c>
      <c r="U82" s="14">
        <f>MONTH(Dados[[#This Row],[Período]])</f>
        <v>6</v>
      </c>
    </row>
    <row r="83" spans="1:21" x14ac:dyDescent="0.25">
      <c r="A83" s="9">
        <v>43258</v>
      </c>
      <c r="B83" s="4" t="s">
        <v>27</v>
      </c>
      <c r="C83" s="5" t="s">
        <v>17</v>
      </c>
      <c r="D83" s="10">
        <v>8</v>
      </c>
      <c r="E83" s="10">
        <f t="shared" si="24"/>
        <v>6.67</v>
      </c>
      <c r="F83" s="6">
        <v>1.33</v>
      </c>
      <c r="G83" s="11">
        <v>440</v>
      </c>
      <c r="H83" s="11">
        <v>248.9</v>
      </c>
      <c r="I83" s="11">
        <v>65.400000000000006</v>
      </c>
      <c r="J83" s="11">
        <f t="shared" si="25"/>
        <v>314.3</v>
      </c>
      <c r="K83" s="12">
        <f t="shared" si="26"/>
        <v>0.56568181818181817</v>
      </c>
      <c r="L83" s="12">
        <f t="shared" si="23"/>
        <v>0.67847894234700834</v>
      </c>
      <c r="M83" s="12">
        <f t="shared" si="27"/>
        <v>0.79191854915685644</v>
      </c>
      <c r="N83" s="12">
        <f t="shared" si="28"/>
        <v>0.2080814508431435</v>
      </c>
      <c r="O83" s="14">
        <f>Dados[[#This Row],[Vol. Padrão]]/Dados[[#This Row],[Horas Disp.]]</f>
        <v>55</v>
      </c>
      <c r="P83" s="32" cm="1">
        <f t="array" ref="P83">SUM(Dados[[#This Row],[Vol. Líquido]:[V. Refugo]]/Dados[[#This Row],[H. Ativas]])</f>
        <v>47.121439280359823</v>
      </c>
      <c r="Q83" s="12">
        <f>Dados[[#This Row],[H. Ativas]]/Dados[[#This Row],[Horas Disp.]]</f>
        <v>0.83374999999999999</v>
      </c>
      <c r="R83" s="12">
        <f>Dados[[#This Row],[Vol. Bruto]]/Dados[[#This Row],[Vol. Padrão]]</f>
        <v>0.71431818181818185</v>
      </c>
      <c r="S83" s="12">
        <f>Dados[[#This Row],[Disponibilidade]]*Dados[[#This Row],[Desempenho]]*Dados[[#This Row],[Qualidade]]</f>
        <v>0.47163721590909091</v>
      </c>
      <c r="T83" s="14">
        <f>YEAR(Dados[[#This Row],[Período]])</f>
        <v>2018</v>
      </c>
      <c r="U83" s="14">
        <f>MONTH(Dados[[#This Row],[Período]])</f>
        <v>6</v>
      </c>
    </row>
    <row r="84" spans="1:21" x14ac:dyDescent="0.25">
      <c r="A84" s="9">
        <v>43259</v>
      </c>
      <c r="B84" s="4" t="s">
        <v>28</v>
      </c>
      <c r="C84" s="5" t="s">
        <v>13</v>
      </c>
      <c r="D84" s="10">
        <v>8</v>
      </c>
      <c r="E84" s="10">
        <f t="shared" si="24"/>
        <v>7.3</v>
      </c>
      <c r="F84" s="6">
        <v>0.7</v>
      </c>
      <c r="G84" s="11">
        <v>440</v>
      </c>
      <c r="H84" s="11">
        <v>349.67</v>
      </c>
      <c r="I84" s="11">
        <v>28.67</v>
      </c>
      <c r="J84" s="11">
        <f t="shared" si="25"/>
        <v>378.34000000000003</v>
      </c>
      <c r="K84" s="12">
        <f t="shared" si="26"/>
        <v>0.7947045454545455</v>
      </c>
      <c r="L84" s="12">
        <f t="shared" si="23"/>
        <v>0.87090909090909097</v>
      </c>
      <c r="M84" s="12">
        <f t="shared" si="27"/>
        <v>0.92422159961938988</v>
      </c>
      <c r="N84" s="12">
        <f t="shared" si="28"/>
        <v>7.5778400380610025E-2</v>
      </c>
      <c r="O84" s="14">
        <f>Dados[[#This Row],[Vol. Padrão]]/Dados[[#This Row],[Horas Disp.]]</f>
        <v>55</v>
      </c>
      <c r="P84" s="32" cm="1">
        <f t="array" ref="P84">SUM(Dados[[#This Row],[Vol. Líquido]:[V. Refugo]]/Dados[[#This Row],[H. Ativas]])</f>
        <v>51.827397260273976</v>
      </c>
      <c r="Q84" s="12">
        <f>Dados[[#This Row],[H. Ativas]]/Dados[[#This Row],[Horas Disp.]]</f>
        <v>0.91249999999999998</v>
      </c>
      <c r="R84" s="12">
        <f>Dados[[#This Row],[Vol. Bruto]]/Dados[[#This Row],[Vol. Padrão]]</f>
        <v>0.85986363636363639</v>
      </c>
      <c r="S84" s="12">
        <f>Dados[[#This Row],[Disponibilidade]]*Dados[[#This Row],[Desempenho]]*Dados[[#This Row],[Qualidade]]</f>
        <v>0.72516789772727264</v>
      </c>
      <c r="T84" s="14">
        <f>YEAR(Dados[[#This Row],[Período]])</f>
        <v>2018</v>
      </c>
      <c r="U84" s="14">
        <f>MONTH(Dados[[#This Row],[Período]])</f>
        <v>6</v>
      </c>
    </row>
    <row r="85" spans="1:21" x14ac:dyDescent="0.25">
      <c r="A85" s="9">
        <v>43260</v>
      </c>
      <c r="B85" s="4" t="s">
        <v>29</v>
      </c>
      <c r="C85" s="5" t="s">
        <v>14</v>
      </c>
      <c r="D85" s="10">
        <v>8</v>
      </c>
      <c r="E85" s="10">
        <f t="shared" si="24"/>
        <v>7.67</v>
      </c>
      <c r="F85" s="6">
        <v>0.33</v>
      </c>
      <c r="G85" s="11">
        <v>440</v>
      </c>
      <c r="H85" s="11">
        <v>410.3</v>
      </c>
      <c r="I85" s="11">
        <v>2.4500000000000002</v>
      </c>
      <c r="J85" s="11">
        <f t="shared" si="25"/>
        <v>412.75</v>
      </c>
      <c r="K85" s="12">
        <f t="shared" si="26"/>
        <v>0.9325</v>
      </c>
      <c r="L85" s="12">
        <f t="shared" si="23"/>
        <v>0.97262059973924375</v>
      </c>
      <c r="M85" s="12">
        <f t="shared" si="27"/>
        <v>0.99406420351302249</v>
      </c>
      <c r="N85" s="12">
        <f t="shared" si="28"/>
        <v>5.9357964869775895E-3</v>
      </c>
      <c r="O85" s="14">
        <f>Dados[[#This Row],[Vol. Padrão]]/Dados[[#This Row],[Horas Disp.]]</f>
        <v>55</v>
      </c>
      <c r="P85" s="32" cm="1">
        <f t="array" ref="P85">SUM(Dados[[#This Row],[Vol. Líquido]:[V. Refugo]]/Dados[[#This Row],[H. Ativas]])</f>
        <v>53.813559322033896</v>
      </c>
      <c r="Q85" s="12">
        <f>Dados[[#This Row],[H. Ativas]]/Dados[[#This Row],[Horas Disp.]]</f>
        <v>0.95874999999999999</v>
      </c>
      <c r="R85" s="12">
        <f>Dados[[#This Row],[Vol. Bruto]]/Dados[[#This Row],[Vol. Padrão]]</f>
        <v>0.93806818181818186</v>
      </c>
      <c r="S85" s="12">
        <f>Dados[[#This Row],[Disponibilidade]]*Dados[[#This Row],[Desempenho]]*Dados[[#This Row],[Qualidade]]</f>
        <v>0.89403437500000005</v>
      </c>
      <c r="T85" s="14">
        <f>YEAR(Dados[[#This Row],[Período]])</f>
        <v>2018</v>
      </c>
      <c r="U85" s="14">
        <f>MONTH(Dados[[#This Row],[Período]])</f>
        <v>6</v>
      </c>
    </row>
    <row r="86" spans="1:21" x14ac:dyDescent="0.25">
      <c r="A86" s="9">
        <v>43261</v>
      </c>
      <c r="B86" s="4" t="s">
        <v>30</v>
      </c>
      <c r="C86" s="5" t="s">
        <v>16</v>
      </c>
      <c r="D86" s="10">
        <v>8</v>
      </c>
      <c r="E86" s="10">
        <f t="shared" si="24"/>
        <v>7.42</v>
      </c>
      <c r="F86" s="6">
        <v>0.57999999999999996</v>
      </c>
      <c r="G86" s="11">
        <v>440</v>
      </c>
      <c r="H86" s="11">
        <v>430.5</v>
      </c>
      <c r="I86" s="11">
        <v>1.23</v>
      </c>
      <c r="J86" s="11">
        <f t="shared" si="25"/>
        <v>431.73</v>
      </c>
      <c r="K86" s="12">
        <f t="shared" si="26"/>
        <v>0.97840909090909089</v>
      </c>
      <c r="L86" s="12">
        <f t="shared" si="23"/>
        <v>1.0548885077186962</v>
      </c>
      <c r="M86" s="12">
        <f t="shared" si="27"/>
        <v>0.99715099715099709</v>
      </c>
      <c r="N86" s="12">
        <f t="shared" si="28"/>
        <v>2.8490028490028487E-3</v>
      </c>
      <c r="O86" s="14">
        <f>Dados[[#This Row],[Vol. Padrão]]/Dados[[#This Row],[Horas Disp.]]</f>
        <v>55</v>
      </c>
      <c r="P86" s="32" cm="1">
        <f t="array" ref="P86">SUM(Dados[[#This Row],[Vol. Líquido]:[V. Refugo]]/Dados[[#This Row],[H. Ativas]])</f>
        <v>58.184636118598384</v>
      </c>
      <c r="Q86" s="12">
        <f>Dados[[#This Row],[H. Ativas]]/Dados[[#This Row],[Horas Disp.]]</f>
        <v>0.92749999999999999</v>
      </c>
      <c r="R86" s="12">
        <f>Dados[[#This Row],[Vol. Bruto]]/Dados[[#This Row],[Vol. Padrão]]</f>
        <v>0.9812045454545455</v>
      </c>
      <c r="S86" s="12">
        <f>Dados[[#This Row],[Disponibilidade]]*Dados[[#This Row],[Desempenho]]*Dados[[#This Row],[Qualidade]]</f>
        <v>0.90747443181818177</v>
      </c>
      <c r="T86" s="14">
        <f>YEAR(Dados[[#This Row],[Período]])</f>
        <v>2018</v>
      </c>
      <c r="U86" s="14">
        <f>MONTH(Dados[[#This Row],[Período]])</f>
        <v>6</v>
      </c>
    </row>
    <row r="87" spans="1:21" x14ac:dyDescent="0.25">
      <c r="A87" s="9">
        <v>43282</v>
      </c>
      <c r="B87" s="4" t="s">
        <v>28</v>
      </c>
      <c r="C87" s="5" t="s">
        <v>13</v>
      </c>
      <c r="D87" s="10">
        <v>8</v>
      </c>
      <c r="E87" s="10">
        <f t="shared" si="24"/>
        <v>7.75</v>
      </c>
      <c r="F87" s="6">
        <v>0.25</v>
      </c>
      <c r="G87" s="11">
        <v>440</v>
      </c>
      <c r="H87" s="11">
        <v>402.04300000000001</v>
      </c>
      <c r="I87" s="7">
        <v>4.181</v>
      </c>
      <c r="J87" s="11">
        <f t="shared" si="25"/>
        <v>406.22399999999999</v>
      </c>
      <c r="K87" s="12">
        <f t="shared" si="26"/>
        <v>0.91373409090909097</v>
      </c>
      <c r="L87" s="12">
        <f t="shared" si="23"/>
        <v>0.94320938416422284</v>
      </c>
      <c r="M87" s="12">
        <f t="shared" si="27"/>
        <v>0.9897076489818426</v>
      </c>
      <c r="N87" s="12">
        <f t="shared" si="28"/>
        <v>1.029235101815747E-2</v>
      </c>
      <c r="O87" s="14">
        <f>Dados[[#This Row],[Vol. Padrão]]/Dados[[#This Row],[Horas Disp.]]</f>
        <v>55</v>
      </c>
      <c r="P87" s="32" cm="1">
        <f t="array" ref="P87">SUM(Dados[[#This Row],[Vol. Líquido]:[V. Refugo]]/Dados[[#This Row],[H. Ativas]])</f>
        <v>52.416000000000004</v>
      </c>
      <c r="Q87" s="12">
        <f>Dados[[#This Row],[H. Ativas]]/Dados[[#This Row],[Horas Disp.]]</f>
        <v>0.96875</v>
      </c>
      <c r="R87" s="12">
        <f>Dados[[#This Row],[Vol. Bruto]]/Dados[[#This Row],[Vol. Padrão]]</f>
        <v>0.92323636363636363</v>
      </c>
      <c r="S87" s="12">
        <f>Dados[[#This Row],[Disponibilidade]]*Dados[[#This Row],[Desempenho]]*Dados[[#This Row],[Qualidade]]</f>
        <v>0.88517990056818185</v>
      </c>
      <c r="T87" s="14">
        <f>YEAR(Dados[[#This Row],[Período]])</f>
        <v>2018</v>
      </c>
      <c r="U87" s="14">
        <f>MONTH(Dados[[#This Row],[Período]])</f>
        <v>7</v>
      </c>
    </row>
    <row r="88" spans="1:21" x14ac:dyDescent="0.25">
      <c r="A88" s="9">
        <v>43283</v>
      </c>
      <c r="B88" s="4" t="s">
        <v>29</v>
      </c>
      <c r="C88" s="5" t="s">
        <v>14</v>
      </c>
      <c r="D88" s="10">
        <v>8</v>
      </c>
      <c r="E88" s="10">
        <f t="shared" si="24"/>
        <v>7.42</v>
      </c>
      <c r="F88" s="10">
        <v>0.57999999999999996</v>
      </c>
      <c r="G88" s="11">
        <v>440</v>
      </c>
      <c r="H88" s="11">
        <v>296.7</v>
      </c>
      <c r="I88" s="7">
        <v>15.323</v>
      </c>
      <c r="J88" s="11">
        <f t="shared" si="25"/>
        <v>312.02299999999997</v>
      </c>
      <c r="K88" s="12">
        <f t="shared" si="26"/>
        <v>0.67431818181818182</v>
      </c>
      <c r="L88" s="12">
        <f t="shared" ref="L88:L119" si="29">H88/(E88*55)</f>
        <v>0.72702768929184014</v>
      </c>
      <c r="M88" s="12">
        <f t="shared" si="27"/>
        <v>0.95089144069507703</v>
      </c>
      <c r="N88" s="12">
        <f t="shared" si="28"/>
        <v>4.9108559304923041E-2</v>
      </c>
      <c r="O88" s="14">
        <f>Dados[[#This Row],[Vol. Padrão]]/Dados[[#This Row],[Horas Disp.]]</f>
        <v>55</v>
      </c>
      <c r="P88" s="32" cm="1">
        <f t="array" ref="P88">SUM(Dados[[#This Row],[Vol. Líquido]:[V. Refugo]]/Dados[[#This Row],[H. Ativas]])</f>
        <v>42.05161725067385</v>
      </c>
      <c r="Q88" s="12">
        <f>Dados[[#This Row],[H. Ativas]]/Dados[[#This Row],[Horas Disp.]]</f>
        <v>0.92749999999999999</v>
      </c>
      <c r="R88" s="12">
        <f>Dados[[#This Row],[Vol. Bruto]]/Dados[[#This Row],[Vol. Padrão]]</f>
        <v>0.7091431818181817</v>
      </c>
      <c r="S88" s="12">
        <f>Dados[[#This Row],[Disponibilidade]]*Dados[[#This Row],[Desempenho]]*Dados[[#This Row],[Qualidade]]</f>
        <v>0.62543011363636358</v>
      </c>
      <c r="T88" s="14">
        <f>YEAR(Dados[[#This Row],[Período]])</f>
        <v>2018</v>
      </c>
      <c r="U88" s="14">
        <f>MONTH(Dados[[#This Row],[Período]])</f>
        <v>7</v>
      </c>
    </row>
    <row r="89" spans="1:21" x14ac:dyDescent="0.25">
      <c r="A89" s="9">
        <v>43284</v>
      </c>
      <c r="B89" s="4" t="s">
        <v>30</v>
      </c>
      <c r="C89" s="5" t="s">
        <v>16</v>
      </c>
      <c r="D89" s="10">
        <v>8</v>
      </c>
      <c r="E89" s="10">
        <f t="shared" si="24"/>
        <v>7.67</v>
      </c>
      <c r="F89" s="10">
        <v>0.33</v>
      </c>
      <c r="G89" s="11">
        <v>440</v>
      </c>
      <c r="H89" s="11">
        <v>350.4</v>
      </c>
      <c r="I89" s="7">
        <v>21.545000000000002</v>
      </c>
      <c r="J89" s="11">
        <f t="shared" si="25"/>
        <v>371.94499999999999</v>
      </c>
      <c r="K89" s="12">
        <f t="shared" si="26"/>
        <v>0.79636363636363627</v>
      </c>
      <c r="L89" s="12">
        <f t="shared" si="29"/>
        <v>0.83062700011852542</v>
      </c>
      <c r="M89" s="12">
        <f t="shared" si="27"/>
        <v>0.94207476911909016</v>
      </c>
      <c r="N89" s="12">
        <f t="shared" si="28"/>
        <v>5.7925230880909818E-2</v>
      </c>
      <c r="O89" s="14">
        <f>Dados[[#This Row],[Vol. Padrão]]/Dados[[#This Row],[Horas Disp.]]</f>
        <v>55</v>
      </c>
      <c r="P89" s="32" cm="1">
        <f t="array" ref="P89">SUM(Dados[[#This Row],[Vol. Líquido]:[V. Refugo]]/Dados[[#This Row],[H. Ativas]])</f>
        <v>48.493481095176008</v>
      </c>
      <c r="Q89" s="12">
        <f>Dados[[#This Row],[H. Ativas]]/Dados[[#This Row],[Horas Disp.]]</f>
        <v>0.95874999999999999</v>
      </c>
      <c r="R89" s="12">
        <f>Dados[[#This Row],[Vol. Bruto]]/Dados[[#This Row],[Vol. Padrão]]</f>
        <v>0.84532954545454542</v>
      </c>
      <c r="S89" s="12">
        <f>Dados[[#This Row],[Disponibilidade]]*Dados[[#This Row],[Desempenho]]*Dados[[#This Row],[Qualidade]]</f>
        <v>0.76351363636363634</v>
      </c>
      <c r="T89" s="14">
        <f>YEAR(Dados[[#This Row],[Período]])</f>
        <v>2018</v>
      </c>
      <c r="U89" s="14">
        <f>MONTH(Dados[[#This Row],[Período]])</f>
        <v>7</v>
      </c>
    </row>
    <row r="90" spans="1:21" x14ac:dyDescent="0.25">
      <c r="A90" s="9">
        <v>43285</v>
      </c>
      <c r="B90" s="4" t="s">
        <v>26</v>
      </c>
      <c r="C90" s="5" t="s">
        <v>21</v>
      </c>
      <c r="D90" s="10">
        <v>8</v>
      </c>
      <c r="E90" s="10">
        <f t="shared" si="24"/>
        <v>7.58</v>
      </c>
      <c r="F90" s="10">
        <v>0.42</v>
      </c>
      <c r="G90" s="11">
        <v>440</v>
      </c>
      <c r="H90" s="11">
        <v>302.5</v>
      </c>
      <c r="I90" s="7">
        <v>24.734999999999999</v>
      </c>
      <c r="J90" s="11">
        <f t="shared" si="25"/>
        <v>327.23500000000001</v>
      </c>
      <c r="K90" s="12">
        <f t="shared" si="26"/>
        <v>0.6875</v>
      </c>
      <c r="L90" s="12">
        <f t="shared" si="29"/>
        <v>0.72559366754617416</v>
      </c>
      <c r="M90" s="12">
        <f t="shared" si="27"/>
        <v>0.92441211973046888</v>
      </c>
      <c r="N90" s="12">
        <f t="shared" si="28"/>
        <v>7.558788026953106E-2</v>
      </c>
      <c r="O90" s="14">
        <f>Dados[[#This Row],[Vol. Padrão]]/Dados[[#This Row],[Horas Disp.]]</f>
        <v>55</v>
      </c>
      <c r="P90" s="32" cm="1">
        <f t="array" ref="P90">SUM(Dados[[#This Row],[Vol. Líquido]:[V. Refugo]]/Dados[[#This Row],[H. Ativas]])</f>
        <v>43.170844327176781</v>
      </c>
      <c r="Q90" s="12">
        <f>Dados[[#This Row],[H. Ativas]]/Dados[[#This Row],[Horas Disp.]]</f>
        <v>0.94750000000000001</v>
      </c>
      <c r="R90" s="12">
        <f>Dados[[#This Row],[Vol. Bruto]]/Dados[[#This Row],[Vol. Padrão]]</f>
        <v>0.74371590909090912</v>
      </c>
      <c r="S90" s="12">
        <f>Dados[[#This Row],[Disponibilidade]]*Dados[[#This Row],[Desempenho]]*Dados[[#This Row],[Qualidade]]</f>
        <v>0.65140625000000008</v>
      </c>
      <c r="T90" s="14">
        <f>YEAR(Dados[[#This Row],[Período]])</f>
        <v>2018</v>
      </c>
      <c r="U90" s="14">
        <f>MONTH(Dados[[#This Row],[Período]])</f>
        <v>7</v>
      </c>
    </row>
    <row r="91" spans="1:21" x14ac:dyDescent="0.25">
      <c r="A91" s="9">
        <v>43286</v>
      </c>
      <c r="B91" s="4" t="s">
        <v>27</v>
      </c>
      <c r="C91" s="5" t="s">
        <v>17</v>
      </c>
      <c r="D91" s="10">
        <v>8</v>
      </c>
      <c r="E91" s="10">
        <f t="shared" si="24"/>
        <v>8</v>
      </c>
      <c r="F91" s="10">
        <v>0</v>
      </c>
      <c r="G91" s="11">
        <v>440</v>
      </c>
      <c r="H91" s="11">
        <v>399.87799999999999</v>
      </c>
      <c r="I91" s="7">
        <v>30.087</v>
      </c>
      <c r="J91" s="11">
        <f t="shared" si="25"/>
        <v>429.96499999999997</v>
      </c>
      <c r="K91" s="12">
        <f t="shared" si="26"/>
        <v>0.90881363636363632</v>
      </c>
      <c r="L91" s="12">
        <f t="shared" si="29"/>
        <v>0.90881363636363632</v>
      </c>
      <c r="M91" s="12">
        <f t="shared" si="27"/>
        <v>0.93002453688090891</v>
      </c>
      <c r="N91" s="12">
        <f t="shared" si="28"/>
        <v>6.9975463119091086E-2</v>
      </c>
      <c r="O91" s="14">
        <f>Dados[[#This Row],[Vol. Padrão]]/Dados[[#This Row],[Horas Disp.]]</f>
        <v>55</v>
      </c>
      <c r="P91" s="32" cm="1">
        <f t="array" ref="P91">SUM(Dados[[#This Row],[Vol. Líquido]:[V. Refugo]]/Dados[[#This Row],[H. Ativas]])</f>
        <v>53.745624999999997</v>
      </c>
      <c r="Q91" s="12">
        <f>Dados[[#This Row],[H. Ativas]]/Dados[[#This Row],[Horas Disp.]]</f>
        <v>1</v>
      </c>
      <c r="R91" s="12">
        <f>Dados[[#This Row],[Vol. Bruto]]/Dados[[#This Row],[Vol. Padrão]]</f>
        <v>0.97719318181818171</v>
      </c>
      <c r="S91" s="12">
        <f>Dados[[#This Row],[Disponibilidade]]*Dados[[#This Row],[Desempenho]]*Dados[[#This Row],[Qualidade]]</f>
        <v>0.90881363636363621</v>
      </c>
      <c r="T91" s="14">
        <f>YEAR(Dados[[#This Row],[Período]])</f>
        <v>2018</v>
      </c>
      <c r="U91" s="14">
        <f>MONTH(Dados[[#This Row],[Período]])</f>
        <v>7</v>
      </c>
    </row>
    <row r="92" spans="1:21" x14ac:dyDescent="0.25">
      <c r="A92" s="9">
        <v>43287</v>
      </c>
      <c r="B92" s="4" t="s">
        <v>28</v>
      </c>
      <c r="C92" s="5" t="s">
        <v>15</v>
      </c>
      <c r="D92" s="10">
        <v>8</v>
      </c>
      <c r="E92" s="10">
        <f t="shared" si="24"/>
        <v>6.75</v>
      </c>
      <c r="F92" s="10">
        <v>1.25</v>
      </c>
      <c r="G92" s="11">
        <v>440</v>
      </c>
      <c r="H92" s="11">
        <v>324.23</v>
      </c>
      <c r="I92" s="7">
        <v>18.32</v>
      </c>
      <c r="J92" s="11">
        <f t="shared" si="25"/>
        <v>342.55</v>
      </c>
      <c r="K92" s="12">
        <f t="shared" si="26"/>
        <v>0.73688636363636373</v>
      </c>
      <c r="L92" s="12">
        <f t="shared" si="29"/>
        <v>0.87334680134680143</v>
      </c>
      <c r="M92" s="12">
        <f t="shared" si="27"/>
        <v>0.94651875638592908</v>
      </c>
      <c r="N92" s="12">
        <f t="shared" si="28"/>
        <v>5.3481243614070938E-2</v>
      </c>
      <c r="O92" s="14">
        <f>Dados[[#This Row],[Vol. Padrão]]/Dados[[#This Row],[Horas Disp.]]</f>
        <v>55</v>
      </c>
      <c r="P92" s="32" cm="1">
        <f t="array" ref="P92">SUM(Dados[[#This Row],[Vol. Líquido]:[V. Refugo]]/Dados[[#This Row],[H. Ativas]])</f>
        <v>50.748148148148154</v>
      </c>
      <c r="Q92" s="12">
        <f>Dados[[#This Row],[H. Ativas]]/Dados[[#This Row],[Horas Disp.]]</f>
        <v>0.84375</v>
      </c>
      <c r="R92" s="12">
        <f>Dados[[#This Row],[Vol. Bruto]]/Dados[[#This Row],[Vol. Padrão]]</f>
        <v>0.77852272727272731</v>
      </c>
      <c r="S92" s="12">
        <f>Dados[[#This Row],[Disponibilidade]]*Dados[[#This Row],[Desempenho]]*Dados[[#This Row],[Qualidade]]</f>
        <v>0.62174786931818182</v>
      </c>
      <c r="T92" s="14">
        <f>YEAR(Dados[[#This Row],[Período]])</f>
        <v>2018</v>
      </c>
      <c r="U92" s="14">
        <f>MONTH(Dados[[#This Row],[Período]])</f>
        <v>7</v>
      </c>
    </row>
    <row r="93" spans="1:21" x14ac:dyDescent="0.25">
      <c r="A93" s="9">
        <v>43288</v>
      </c>
      <c r="B93" s="4" t="s">
        <v>29</v>
      </c>
      <c r="C93" s="5" t="s">
        <v>19</v>
      </c>
      <c r="D93" s="10">
        <v>8</v>
      </c>
      <c r="E93" s="10">
        <f t="shared" si="24"/>
        <v>7.45</v>
      </c>
      <c r="F93" s="10">
        <v>0.55000000000000004</v>
      </c>
      <c r="G93" s="11">
        <v>440</v>
      </c>
      <c r="H93" s="11">
        <v>385.678</v>
      </c>
      <c r="I93" s="11">
        <v>5.5670000000000002</v>
      </c>
      <c r="J93" s="11">
        <f t="shared" si="25"/>
        <v>391.245</v>
      </c>
      <c r="K93" s="12">
        <f t="shared" si="26"/>
        <v>0.87654090909090909</v>
      </c>
      <c r="L93" s="12">
        <f t="shared" si="29"/>
        <v>0.94125198291641243</v>
      </c>
      <c r="M93" s="12">
        <f t="shared" si="27"/>
        <v>0.98577106416695415</v>
      </c>
      <c r="N93" s="12">
        <f t="shared" si="28"/>
        <v>1.422893583304579E-2</v>
      </c>
      <c r="O93" s="14">
        <f>Dados[[#This Row],[Vol. Padrão]]/Dados[[#This Row],[Horas Disp.]]</f>
        <v>55</v>
      </c>
      <c r="P93" s="32" cm="1">
        <f t="array" ref="P93">SUM(Dados[[#This Row],[Vol. Líquido]:[V. Refugo]]/Dados[[#This Row],[H. Ativas]])</f>
        <v>52.516107382550331</v>
      </c>
      <c r="Q93" s="12">
        <f>Dados[[#This Row],[H. Ativas]]/Dados[[#This Row],[Horas Disp.]]</f>
        <v>0.93125000000000002</v>
      </c>
      <c r="R93" s="12">
        <f>Dados[[#This Row],[Vol. Bruto]]/Dados[[#This Row],[Vol. Padrão]]</f>
        <v>0.88919318181818185</v>
      </c>
      <c r="S93" s="12">
        <f>Dados[[#This Row],[Disponibilidade]]*Dados[[#This Row],[Desempenho]]*Dados[[#This Row],[Qualidade]]</f>
        <v>0.81627872159090908</v>
      </c>
      <c r="T93" s="14">
        <f>YEAR(Dados[[#This Row],[Período]])</f>
        <v>2018</v>
      </c>
      <c r="U93" s="14">
        <f>MONTH(Dados[[#This Row],[Período]])</f>
        <v>7</v>
      </c>
    </row>
    <row r="94" spans="1:21" x14ac:dyDescent="0.25">
      <c r="A94" s="9">
        <v>43289</v>
      </c>
      <c r="B94" s="4" t="s">
        <v>30</v>
      </c>
      <c r="C94" s="5" t="s">
        <v>18</v>
      </c>
      <c r="D94" s="10">
        <v>8</v>
      </c>
      <c r="E94" s="10">
        <f t="shared" si="24"/>
        <v>7.83</v>
      </c>
      <c r="F94" s="10">
        <v>0.17</v>
      </c>
      <c r="G94" s="11">
        <v>440</v>
      </c>
      <c r="H94" s="11">
        <v>400.56</v>
      </c>
      <c r="I94" s="11">
        <v>23.4</v>
      </c>
      <c r="J94" s="11">
        <f t="shared" si="25"/>
        <v>423.96</v>
      </c>
      <c r="K94" s="12">
        <f t="shared" si="26"/>
        <v>0.91036363636363637</v>
      </c>
      <c r="L94" s="12">
        <f t="shared" si="29"/>
        <v>0.93012887495646124</v>
      </c>
      <c r="M94" s="12">
        <f t="shared" si="27"/>
        <v>0.94480611378431933</v>
      </c>
      <c r="N94" s="12">
        <f t="shared" si="28"/>
        <v>5.5193886215680721E-2</v>
      </c>
      <c r="O94" s="14">
        <f>Dados[[#This Row],[Vol. Padrão]]/Dados[[#This Row],[Horas Disp.]]</f>
        <v>55</v>
      </c>
      <c r="P94" s="32" cm="1">
        <f t="array" ref="P94">SUM(Dados[[#This Row],[Vol. Líquido]:[V. Refugo]]/Dados[[#This Row],[H. Ativas]])</f>
        <v>54.145593869731805</v>
      </c>
      <c r="Q94" s="12">
        <f>Dados[[#This Row],[H. Ativas]]/Dados[[#This Row],[Horas Disp.]]</f>
        <v>0.97875000000000001</v>
      </c>
      <c r="R94" s="12">
        <f>Dados[[#This Row],[Vol. Bruto]]/Dados[[#This Row],[Vol. Padrão]]</f>
        <v>0.96354545454545448</v>
      </c>
      <c r="S94" s="12">
        <f>Dados[[#This Row],[Disponibilidade]]*Dados[[#This Row],[Desempenho]]*Dados[[#This Row],[Qualidade]]</f>
        <v>0.89101840909090912</v>
      </c>
      <c r="T94" s="14">
        <f>YEAR(Dados[[#This Row],[Período]])</f>
        <v>2018</v>
      </c>
      <c r="U94" s="14">
        <f>MONTH(Dados[[#This Row],[Período]])</f>
        <v>7</v>
      </c>
    </row>
    <row r="95" spans="1:21" x14ac:dyDescent="0.25">
      <c r="A95" s="9">
        <v>43290</v>
      </c>
      <c r="B95" s="4" t="s">
        <v>26</v>
      </c>
      <c r="C95" s="5" t="s">
        <v>22</v>
      </c>
      <c r="D95" s="10">
        <v>8</v>
      </c>
      <c r="E95" s="10">
        <f t="shared" si="24"/>
        <v>7.85</v>
      </c>
      <c r="F95" s="10">
        <v>0.15</v>
      </c>
      <c r="G95" s="11">
        <v>440</v>
      </c>
      <c r="H95" s="11">
        <v>317.89999999999998</v>
      </c>
      <c r="I95" s="11">
        <v>2.3450000000000002</v>
      </c>
      <c r="J95" s="11">
        <f t="shared" si="25"/>
        <v>320.245</v>
      </c>
      <c r="K95" s="12">
        <f t="shared" si="26"/>
        <v>0.72249999999999992</v>
      </c>
      <c r="L95" s="12">
        <f t="shared" si="29"/>
        <v>0.73630573248407638</v>
      </c>
      <c r="M95" s="12">
        <f t="shared" si="27"/>
        <v>0.99267748130337696</v>
      </c>
      <c r="N95" s="12">
        <f t="shared" si="28"/>
        <v>7.3225186966228983E-3</v>
      </c>
      <c r="O95" s="14">
        <f>Dados[[#This Row],[Vol. Padrão]]/Dados[[#This Row],[Horas Disp.]]</f>
        <v>55</v>
      </c>
      <c r="P95" s="32" cm="1">
        <f t="array" ref="P95">SUM(Dados[[#This Row],[Vol. Líquido]:[V. Refugo]]/Dados[[#This Row],[H. Ativas]])</f>
        <v>40.795541401273887</v>
      </c>
      <c r="Q95" s="12">
        <f>Dados[[#This Row],[H. Ativas]]/Dados[[#This Row],[Horas Disp.]]</f>
        <v>0.98124999999999996</v>
      </c>
      <c r="R95" s="12">
        <f>Dados[[#This Row],[Vol. Bruto]]/Dados[[#This Row],[Vol. Padrão]]</f>
        <v>0.72782954545454548</v>
      </c>
      <c r="S95" s="12">
        <f>Dados[[#This Row],[Disponibilidade]]*Dados[[#This Row],[Desempenho]]*Dados[[#This Row],[Qualidade]]</f>
        <v>0.70895312499999985</v>
      </c>
      <c r="T95" s="14">
        <f>YEAR(Dados[[#This Row],[Período]])</f>
        <v>2018</v>
      </c>
      <c r="U95" s="14">
        <f>MONTH(Dados[[#This Row],[Período]])</f>
        <v>7</v>
      </c>
    </row>
    <row r="96" spans="1:21" x14ac:dyDescent="0.25">
      <c r="A96" s="9">
        <v>43291</v>
      </c>
      <c r="B96" s="4" t="s">
        <v>27</v>
      </c>
      <c r="C96" s="5" t="s">
        <v>20</v>
      </c>
      <c r="D96" s="10">
        <v>8</v>
      </c>
      <c r="E96" s="10">
        <f t="shared" si="24"/>
        <v>7.33</v>
      </c>
      <c r="F96" s="10">
        <v>0.67</v>
      </c>
      <c r="G96" s="11">
        <v>440</v>
      </c>
      <c r="H96" s="11">
        <v>375.899</v>
      </c>
      <c r="I96" s="11">
        <v>8.7889999999999997</v>
      </c>
      <c r="J96" s="11">
        <f t="shared" si="25"/>
        <v>384.68799999999999</v>
      </c>
      <c r="K96" s="12">
        <f t="shared" si="26"/>
        <v>0.85431590909090904</v>
      </c>
      <c r="L96" s="12">
        <f t="shared" si="29"/>
        <v>0.93240481210467574</v>
      </c>
      <c r="M96" s="12">
        <f t="shared" si="27"/>
        <v>0.97715291352992562</v>
      </c>
      <c r="N96" s="12">
        <f t="shared" si="28"/>
        <v>2.2847086470074451E-2</v>
      </c>
      <c r="O96" s="14">
        <f>Dados[[#This Row],[Vol. Padrão]]/Dados[[#This Row],[Horas Disp.]]</f>
        <v>55</v>
      </c>
      <c r="P96" s="32" cm="1">
        <f t="array" ref="P96">SUM(Dados[[#This Row],[Vol. Líquido]:[V. Refugo]]/Dados[[#This Row],[H. Ativas]])</f>
        <v>52.48130968622101</v>
      </c>
      <c r="Q96" s="12">
        <f>Dados[[#This Row],[H. Ativas]]/Dados[[#This Row],[Horas Disp.]]</f>
        <v>0.91625000000000001</v>
      </c>
      <c r="R96" s="12">
        <f>Dados[[#This Row],[Vol. Bruto]]/Dados[[#This Row],[Vol. Padrão]]</f>
        <v>0.87429090909090912</v>
      </c>
      <c r="S96" s="12">
        <f>Dados[[#This Row],[Disponibilidade]]*Dados[[#This Row],[Desempenho]]*Dados[[#This Row],[Qualidade]]</f>
        <v>0.78276695170454558</v>
      </c>
      <c r="T96" s="14">
        <f>YEAR(Dados[[#This Row],[Período]])</f>
        <v>2018</v>
      </c>
      <c r="U96" s="14">
        <f>MONTH(Dados[[#This Row],[Período]])</f>
        <v>7</v>
      </c>
    </row>
    <row r="97" spans="1:21" x14ac:dyDescent="0.25">
      <c r="A97" s="9">
        <v>43292</v>
      </c>
      <c r="B97" s="4" t="s">
        <v>29</v>
      </c>
      <c r="C97" s="5" t="s">
        <v>14</v>
      </c>
      <c r="D97" s="10">
        <v>8</v>
      </c>
      <c r="E97" s="10">
        <f t="shared" si="24"/>
        <v>7</v>
      </c>
      <c r="F97" s="10">
        <v>1</v>
      </c>
      <c r="G97" s="11">
        <v>440</v>
      </c>
      <c r="H97" s="11">
        <v>355.12299999999999</v>
      </c>
      <c r="I97" s="11">
        <v>12.432</v>
      </c>
      <c r="J97" s="11">
        <f t="shared" si="25"/>
        <v>367.55500000000001</v>
      </c>
      <c r="K97" s="12">
        <f t="shared" si="26"/>
        <v>0.80709772727272722</v>
      </c>
      <c r="L97" s="12">
        <f t="shared" si="29"/>
        <v>0.92239740259740255</v>
      </c>
      <c r="M97" s="12">
        <f t="shared" si="27"/>
        <v>0.96617649059324451</v>
      </c>
      <c r="N97" s="12">
        <f t="shared" si="28"/>
        <v>3.382350940675545E-2</v>
      </c>
      <c r="O97" s="14">
        <f>Dados[[#This Row],[Vol. Padrão]]/Dados[[#This Row],[Horas Disp.]]</f>
        <v>55</v>
      </c>
      <c r="P97" s="32" cm="1">
        <f t="array" ref="P97">SUM(Dados[[#This Row],[Vol. Líquido]:[V. Refugo]]/Dados[[#This Row],[H. Ativas]])</f>
        <v>52.507857142857148</v>
      </c>
      <c r="Q97" s="12">
        <f>Dados[[#This Row],[H. Ativas]]/Dados[[#This Row],[Horas Disp.]]</f>
        <v>0.875</v>
      </c>
      <c r="R97" s="12">
        <f>Dados[[#This Row],[Vol. Bruto]]/Dados[[#This Row],[Vol. Padrão]]</f>
        <v>0.83535227272727275</v>
      </c>
      <c r="S97" s="12">
        <f>Dados[[#This Row],[Disponibilidade]]*Dados[[#This Row],[Desempenho]]*Dados[[#This Row],[Qualidade]]</f>
        <v>0.70621051136363633</v>
      </c>
      <c r="T97" s="14">
        <f>YEAR(Dados[[#This Row],[Período]])</f>
        <v>2018</v>
      </c>
      <c r="U97" s="14">
        <f>MONTH(Dados[[#This Row],[Período]])</f>
        <v>7</v>
      </c>
    </row>
    <row r="98" spans="1:21" x14ac:dyDescent="0.25">
      <c r="A98" s="9">
        <v>43313</v>
      </c>
      <c r="B98" s="4" t="s">
        <v>26</v>
      </c>
      <c r="C98" s="5" t="s">
        <v>22</v>
      </c>
      <c r="D98" s="10">
        <v>8</v>
      </c>
      <c r="E98" s="10">
        <f t="shared" ref="E98:E129" si="30">D98-F98</f>
        <v>7.08</v>
      </c>
      <c r="F98" s="10">
        <v>0.92</v>
      </c>
      <c r="G98" s="11">
        <v>440</v>
      </c>
      <c r="H98" s="11">
        <v>374.56</v>
      </c>
      <c r="I98" s="11">
        <v>10.43</v>
      </c>
      <c r="J98" s="11">
        <f t="shared" ref="J98:J129" si="31">SUM(H98:I98)</f>
        <v>384.99</v>
      </c>
      <c r="K98" s="12">
        <f t="shared" ref="K98:K129" si="32">(H98/G98)</f>
        <v>0.85127272727272729</v>
      </c>
      <c r="L98" s="12">
        <f t="shared" si="29"/>
        <v>0.9618900873138162</v>
      </c>
      <c r="M98" s="12">
        <f t="shared" ref="M98:M129" si="33">(H98/J98)</f>
        <v>0.97290838723083717</v>
      </c>
      <c r="N98" s="12">
        <f t="shared" ref="N98:N129" si="34">I98/(H98+I98)</f>
        <v>2.7091612769162835E-2</v>
      </c>
      <c r="O98" s="14">
        <f>Dados[[#This Row],[Vol. Padrão]]/Dados[[#This Row],[Horas Disp.]]</f>
        <v>55</v>
      </c>
      <c r="P98" s="32" cm="1">
        <f t="array" ref="P98">SUM(Dados[[#This Row],[Vol. Líquido]:[V. Refugo]]/Dados[[#This Row],[H. Ativas]])</f>
        <v>54.377118644067799</v>
      </c>
      <c r="Q98" s="12">
        <f>Dados[[#This Row],[H. Ativas]]/Dados[[#This Row],[Horas Disp.]]</f>
        <v>0.88500000000000001</v>
      </c>
      <c r="R98" s="12">
        <f>Dados[[#This Row],[Vol. Bruto]]/Dados[[#This Row],[Vol. Padrão]]</f>
        <v>0.87497727272727277</v>
      </c>
      <c r="S98" s="12">
        <f>Dados[[#This Row],[Disponibilidade]]*Dados[[#This Row],[Desempenho]]*Dados[[#This Row],[Qualidade]]</f>
        <v>0.75337636363636362</v>
      </c>
      <c r="T98" s="14">
        <f>YEAR(Dados[[#This Row],[Período]])</f>
        <v>2018</v>
      </c>
      <c r="U98" s="14">
        <f>MONTH(Dados[[#This Row],[Período]])</f>
        <v>8</v>
      </c>
    </row>
    <row r="99" spans="1:21" x14ac:dyDescent="0.25">
      <c r="A99" s="9">
        <v>43314</v>
      </c>
      <c r="B99" s="4" t="s">
        <v>27</v>
      </c>
      <c r="C99" s="5" t="s">
        <v>20</v>
      </c>
      <c r="D99" s="10">
        <v>8</v>
      </c>
      <c r="E99" s="10">
        <f t="shared" si="30"/>
        <v>7.55</v>
      </c>
      <c r="F99" s="10">
        <v>0.45</v>
      </c>
      <c r="G99" s="11">
        <v>440</v>
      </c>
      <c r="H99" s="11">
        <v>402.8</v>
      </c>
      <c r="I99" s="11">
        <v>5.4320000000000004</v>
      </c>
      <c r="J99" s="11">
        <f t="shared" si="31"/>
        <v>408.23200000000003</v>
      </c>
      <c r="K99" s="12">
        <f t="shared" si="32"/>
        <v>0.91545454545454552</v>
      </c>
      <c r="L99" s="12">
        <f t="shared" si="29"/>
        <v>0.97001806140878988</v>
      </c>
      <c r="M99" s="12">
        <f t="shared" si="33"/>
        <v>0.98669384075721644</v>
      </c>
      <c r="N99" s="12">
        <f t="shared" si="34"/>
        <v>1.3306159242783515E-2</v>
      </c>
      <c r="O99" s="14">
        <f>Dados[[#This Row],[Vol. Padrão]]/Dados[[#This Row],[Horas Disp.]]</f>
        <v>55</v>
      </c>
      <c r="P99" s="32" cm="1">
        <f t="array" ref="P99">SUM(Dados[[#This Row],[Vol. Líquido]:[V. Refugo]]/Dados[[#This Row],[H. Ativas]])</f>
        <v>54.070463576158943</v>
      </c>
      <c r="Q99" s="12">
        <f>Dados[[#This Row],[H. Ativas]]/Dados[[#This Row],[Horas Disp.]]</f>
        <v>0.94374999999999998</v>
      </c>
      <c r="R99" s="12">
        <f>Dados[[#This Row],[Vol. Bruto]]/Dados[[#This Row],[Vol. Padrão]]</f>
        <v>0.92780000000000007</v>
      </c>
      <c r="S99" s="12">
        <f>Dados[[#This Row],[Disponibilidade]]*Dados[[#This Row],[Desempenho]]*Dados[[#This Row],[Qualidade]]</f>
        <v>0.86396022727272725</v>
      </c>
      <c r="T99" s="14">
        <f>YEAR(Dados[[#This Row],[Período]])</f>
        <v>2018</v>
      </c>
      <c r="U99" s="14">
        <f>MONTH(Dados[[#This Row],[Período]])</f>
        <v>8</v>
      </c>
    </row>
    <row r="100" spans="1:21" x14ac:dyDescent="0.25">
      <c r="A100" s="9">
        <v>43315</v>
      </c>
      <c r="B100" s="4" t="s">
        <v>28</v>
      </c>
      <c r="C100" s="5" t="s">
        <v>13</v>
      </c>
      <c r="D100" s="10">
        <v>8</v>
      </c>
      <c r="E100" s="10">
        <f t="shared" si="30"/>
        <v>7.45</v>
      </c>
      <c r="F100" s="10">
        <v>0.55000000000000004</v>
      </c>
      <c r="G100" s="11">
        <v>440</v>
      </c>
      <c r="H100" s="11">
        <v>287.77</v>
      </c>
      <c r="I100" s="11">
        <v>34.700000000000003</v>
      </c>
      <c r="J100" s="11">
        <f t="shared" si="31"/>
        <v>322.46999999999997</v>
      </c>
      <c r="K100" s="12">
        <f t="shared" si="32"/>
        <v>0.65402272727272726</v>
      </c>
      <c r="L100" s="12">
        <f t="shared" si="29"/>
        <v>0.7023062843197071</v>
      </c>
      <c r="M100" s="12">
        <f t="shared" si="33"/>
        <v>0.89239309083015472</v>
      </c>
      <c r="N100" s="12">
        <f t="shared" si="34"/>
        <v>0.10760690916984528</v>
      </c>
      <c r="O100" s="14">
        <f>Dados[[#This Row],[Vol. Padrão]]/Dados[[#This Row],[Horas Disp.]]</f>
        <v>55</v>
      </c>
      <c r="P100" s="32" cm="1">
        <f t="array" ref="P100">SUM(Dados[[#This Row],[Vol. Líquido]:[V. Refugo]]/Dados[[#This Row],[H. Ativas]])</f>
        <v>43.284563758389261</v>
      </c>
      <c r="Q100" s="12">
        <f>Dados[[#This Row],[H. Ativas]]/Dados[[#This Row],[Horas Disp.]]</f>
        <v>0.93125000000000002</v>
      </c>
      <c r="R100" s="12">
        <f>Dados[[#This Row],[Vol. Bruto]]/Dados[[#This Row],[Vol. Padrão]]</f>
        <v>0.73288636363636361</v>
      </c>
      <c r="S100" s="12">
        <f>Dados[[#This Row],[Disponibilidade]]*Dados[[#This Row],[Desempenho]]*Dados[[#This Row],[Qualidade]]</f>
        <v>0.6090586647727273</v>
      </c>
      <c r="T100" s="14">
        <f>YEAR(Dados[[#This Row],[Período]])</f>
        <v>2018</v>
      </c>
      <c r="U100" s="14">
        <f>MONTH(Dados[[#This Row],[Período]])</f>
        <v>8</v>
      </c>
    </row>
    <row r="101" spans="1:21" x14ac:dyDescent="0.25">
      <c r="A101" s="9">
        <v>43316</v>
      </c>
      <c r="B101" s="4" t="s">
        <v>29</v>
      </c>
      <c r="C101" s="5" t="s">
        <v>19</v>
      </c>
      <c r="D101" s="10">
        <v>8</v>
      </c>
      <c r="E101" s="10">
        <f t="shared" si="30"/>
        <v>7.7</v>
      </c>
      <c r="F101" s="10">
        <v>0.3</v>
      </c>
      <c r="G101" s="11">
        <v>440</v>
      </c>
      <c r="H101" s="11">
        <v>320</v>
      </c>
      <c r="I101" s="11">
        <v>9.2100000000000009</v>
      </c>
      <c r="J101" s="11">
        <f t="shared" si="31"/>
        <v>329.21</v>
      </c>
      <c r="K101" s="12">
        <f t="shared" si="32"/>
        <v>0.72727272727272729</v>
      </c>
      <c r="L101" s="12">
        <f t="shared" si="29"/>
        <v>0.75560802833530105</v>
      </c>
      <c r="M101" s="12">
        <f t="shared" si="33"/>
        <v>0.97202393608942628</v>
      </c>
      <c r="N101" s="12">
        <f t="shared" si="34"/>
        <v>2.7976063910573803E-2</v>
      </c>
      <c r="O101" s="14">
        <f>Dados[[#This Row],[Vol. Padrão]]/Dados[[#This Row],[Horas Disp.]]</f>
        <v>55</v>
      </c>
      <c r="P101" s="32" cm="1">
        <f t="array" ref="P101">SUM(Dados[[#This Row],[Vol. Líquido]:[V. Refugo]]/Dados[[#This Row],[H. Ativas]])</f>
        <v>42.754545454545458</v>
      </c>
      <c r="Q101" s="12">
        <f>Dados[[#This Row],[H. Ativas]]/Dados[[#This Row],[Horas Disp.]]</f>
        <v>0.96250000000000002</v>
      </c>
      <c r="R101" s="12">
        <f>Dados[[#This Row],[Vol. Bruto]]/Dados[[#This Row],[Vol. Padrão]]</f>
        <v>0.7482045454545454</v>
      </c>
      <c r="S101" s="12">
        <f>Dados[[#This Row],[Disponibilidade]]*Dados[[#This Row],[Desempenho]]*Dados[[#This Row],[Qualidade]]</f>
        <v>0.70000000000000007</v>
      </c>
      <c r="T101" s="14">
        <f>YEAR(Dados[[#This Row],[Período]])</f>
        <v>2018</v>
      </c>
      <c r="U101" s="14">
        <f>MONTH(Dados[[#This Row],[Período]])</f>
        <v>8</v>
      </c>
    </row>
    <row r="102" spans="1:21" x14ac:dyDescent="0.25">
      <c r="A102" s="9">
        <v>43317</v>
      </c>
      <c r="B102" s="4" t="s">
        <v>30</v>
      </c>
      <c r="C102" s="5" t="s">
        <v>16</v>
      </c>
      <c r="D102" s="10">
        <v>8</v>
      </c>
      <c r="E102" s="10">
        <f t="shared" si="30"/>
        <v>7.33</v>
      </c>
      <c r="F102" s="10">
        <v>0.67</v>
      </c>
      <c r="G102" s="11">
        <v>440</v>
      </c>
      <c r="H102" s="11">
        <v>390.21</v>
      </c>
      <c r="I102" s="11">
        <v>6.86</v>
      </c>
      <c r="J102" s="11">
        <f t="shared" si="31"/>
        <v>397.07</v>
      </c>
      <c r="K102" s="12">
        <f t="shared" si="32"/>
        <v>0.88684090909090907</v>
      </c>
      <c r="L102" s="12">
        <f t="shared" si="29"/>
        <v>0.96790276571995537</v>
      </c>
      <c r="M102" s="12">
        <f t="shared" si="33"/>
        <v>0.98272344926587252</v>
      </c>
      <c r="N102" s="12">
        <f t="shared" si="34"/>
        <v>1.7276550734127486E-2</v>
      </c>
      <c r="O102" s="14">
        <f>Dados[[#This Row],[Vol. Padrão]]/Dados[[#This Row],[Horas Disp.]]</f>
        <v>55</v>
      </c>
      <c r="P102" s="32" cm="1">
        <f t="array" ref="P102">SUM(Dados[[#This Row],[Vol. Líquido]:[V. Refugo]]/Dados[[#This Row],[H. Ativas]])</f>
        <v>54.170532060027284</v>
      </c>
      <c r="Q102" s="12">
        <f>Dados[[#This Row],[H. Ativas]]/Dados[[#This Row],[Horas Disp.]]</f>
        <v>0.91625000000000001</v>
      </c>
      <c r="R102" s="12">
        <f>Dados[[#This Row],[Vol. Bruto]]/Dados[[#This Row],[Vol. Padrão]]</f>
        <v>0.90243181818181817</v>
      </c>
      <c r="S102" s="12">
        <f>Dados[[#This Row],[Disponibilidade]]*Dados[[#This Row],[Desempenho]]*Dados[[#This Row],[Qualidade]]</f>
        <v>0.81256798295454546</v>
      </c>
      <c r="T102" s="14">
        <f>YEAR(Dados[[#This Row],[Período]])</f>
        <v>2018</v>
      </c>
      <c r="U102" s="14">
        <f>MONTH(Dados[[#This Row],[Período]])</f>
        <v>8</v>
      </c>
    </row>
    <row r="103" spans="1:21" x14ac:dyDescent="0.25">
      <c r="A103" s="9">
        <v>43318</v>
      </c>
      <c r="B103" s="4" t="s">
        <v>26</v>
      </c>
      <c r="C103" s="5" t="s">
        <v>21</v>
      </c>
      <c r="D103" s="10">
        <v>8</v>
      </c>
      <c r="E103" s="10">
        <f t="shared" si="30"/>
        <v>6.55</v>
      </c>
      <c r="F103" s="10">
        <v>1.45</v>
      </c>
      <c r="G103" s="11">
        <v>440</v>
      </c>
      <c r="H103" s="11">
        <v>270.76</v>
      </c>
      <c r="I103" s="11">
        <v>23.09</v>
      </c>
      <c r="J103" s="11">
        <f t="shared" si="31"/>
        <v>293.84999999999997</v>
      </c>
      <c r="K103" s="12">
        <f t="shared" si="32"/>
        <v>0.61536363636363633</v>
      </c>
      <c r="L103" s="12">
        <f t="shared" si="29"/>
        <v>0.75158917418459403</v>
      </c>
      <c r="M103" s="12">
        <f t="shared" si="33"/>
        <v>0.92142249446996771</v>
      </c>
      <c r="N103" s="12">
        <f t="shared" si="34"/>
        <v>7.8577505530032343E-2</v>
      </c>
      <c r="O103" s="14">
        <f>Dados[[#This Row],[Vol. Padrão]]/Dados[[#This Row],[Horas Disp.]]</f>
        <v>55</v>
      </c>
      <c r="P103" s="32" cm="1">
        <f t="array" ref="P103">SUM(Dados[[#This Row],[Vol. Líquido]:[V. Refugo]]/Dados[[#This Row],[H. Ativas]])</f>
        <v>44.862595419847331</v>
      </c>
      <c r="Q103" s="12">
        <f>Dados[[#This Row],[H. Ativas]]/Dados[[#This Row],[Horas Disp.]]</f>
        <v>0.81874999999999998</v>
      </c>
      <c r="R103" s="12">
        <f>Dados[[#This Row],[Vol. Bruto]]/Dados[[#This Row],[Vol. Padrão]]</f>
        <v>0.66784090909090899</v>
      </c>
      <c r="S103" s="12">
        <f>Dados[[#This Row],[Disponibilidade]]*Dados[[#This Row],[Desempenho]]*Dados[[#This Row],[Qualidade]]</f>
        <v>0.50382897727272724</v>
      </c>
      <c r="T103" s="14">
        <f>YEAR(Dados[[#This Row],[Período]])</f>
        <v>2018</v>
      </c>
      <c r="U103" s="14">
        <f>MONTH(Dados[[#This Row],[Período]])</f>
        <v>8</v>
      </c>
    </row>
    <row r="104" spans="1:21" x14ac:dyDescent="0.25">
      <c r="A104" s="9">
        <v>43319</v>
      </c>
      <c r="B104" s="4" t="s">
        <v>27</v>
      </c>
      <c r="C104" s="5" t="s">
        <v>17</v>
      </c>
      <c r="D104" s="10">
        <v>8</v>
      </c>
      <c r="E104" s="10">
        <f t="shared" si="30"/>
        <v>7.8</v>
      </c>
      <c r="F104" s="10">
        <v>0.2</v>
      </c>
      <c r="G104" s="11">
        <v>440</v>
      </c>
      <c r="H104" s="11">
        <v>421.03</v>
      </c>
      <c r="I104" s="11">
        <v>3.2</v>
      </c>
      <c r="J104" s="11">
        <f t="shared" si="31"/>
        <v>424.22999999999996</v>
      </c>
      <c r="K104" s="12">
        <f t="shared" si="32"/>
        <v>0.95688636363636359</v>
      </c>
      <c r="L104" s="12">
        <f t="shared" si="29"/>
        <v>0.98142191142191137</v>
      </c>
      <c r="M104" s="12">
        <f t="shared" si="33"/>
        <v>0.9924569219527144</v>
      </c>
      <c r="N104" s="12">
        <f t="shared" si="34"/>
        <v>7.5430780472856718E-3</v>
      </c>
      <c r="O104" s="14">
        <f>Dados[[#This Row],[Vol. Padrão]]/Dados[[#This Row],[Horas Disp.]]</f>
        <v>55</v>
      </c>
      <c r="P104" s="32" cm="1">
        <f t="array" ref="P104">SUM(Dados[[#This Row],[Vol. Líquido]:[V. Refugo]]/Dados[[#This Row],[H. Ativas]])</f>
        <v>54.388461538461534</v>
      </c>
      <c r="Q104" s="12">
        <f>Dados[[#This Row],[H. Ativas]]/Dados[[#This Row],[Horas Disp.]]</f>
        <v>0.97499999999999998</v>
      </c>
      <c r="R104" s="12">
        <f>Dados[[#This Row],[Vol. Bruto]]/Dados[[#This Row],[Vol. Padrão]]</f>
        <v>0.9641590909090908</v>
      </c>
      <c r="S104" s="12">
        <f>Dados[[#This Row],[Disponibilidade]]*Dados[[#This Row],[Desempenho]]*Dados[[#This Row],[Qualidade]]</f>
        <v>0.93296420454545448</v>
      </c>
      <c r="T104" s="14">
        <f>YEAR(Dados[[#This Row],[Período]])</f>
        <v>2018</v>
      </c>
      <c r="U104" s="14">
        <f>MONTH(Dados[[#This Row],[Período]])</f>
        <v>8</v>
      </c>
    </row>
    <row r="105" spans="1:21" x14ac:dyDescent="0.25">
      <c r="A105" s="9">
        <v>43320</v>
      </c>
      <c r="B105" s="4" t="s">
        <v>28</v>
      </c>
      <c r="C105" s="5" t="s">
        <v>13</v>
      </c>
      <c r="D105" s="10">
        <v>8</v>
      </c>
      <c r="E105" s="10">
        <f t="shared" si="30"/>
        <v>7.12</v>
      </c>
      <c r="F105" s="10">
        <v>0.88</v>
      </c>
      <c r="G105" s="11">
        <v>440</v>
      </c>
      <c r="H105" s="11">
        <v>319.45</v>
      </c>
      <c r="I105" s="11">
        <v>7.87</v>
      </c>
      <c r="J105" s="11">
        <f t="shared" si="31"/>
        <v>327.32</v>
      </c>
      <c r="K105" s="12">
        <f t="shared" si="32"/>
        <v>0.72602272727272721</v>
      </c>
      <c r="L105" s="12">
        <f t="shared" si="29"/>
        <v>0.81575587334014288</v>
      </c>
      <c r="M105" s="12">
        <f t="shared" si="33"/>
        <v>0.97595625076377857</v>
      </c>
      <c r="N105" s="12">
        <f t="shared" si="34"/>
        <v>2.4043749236221434E-2</v>
      </c>
      <c r="O105" s="14">
        <f>Dados[[#This Row],[Vol. Padrão]]/Dados[[#This Row],[Horas Disp.]]</f>
        <v>55</v>
      </c>
      <c r="P105" s="32" cm="1">
        <f t="array" ref="P105">SUM(Dados[[#This Row],[Vol. Líquido]:[V. Refugo]]/Dados[[#This Row],[H. Ativas]])</f>
        <v>45.971910112359552</v>
      </c>
      <c r="Q105" s="12">
        <f>Dados[[#This Row],[H. Ativas]]/Dados[[#This Row],[Horas Disp.]]</f>
        <v>0.89</v>
      </c>
      <c r="R105" s="12">
        <f>Dados[[#This Row],[Vol. Bruto]]/Dados[[#This Row],[Vol. Padrão]]</f>
        <v>0.74390909090909085</v>
      </c>
      <c r="S105" s="12">
        <f>Dados[[#This Row],[Disponibilidade]]*Dados[[#This Row],[Desempenho]]*Dados[[#This Row],[Qualidade]]</f>
        <v>0.64616022727272726</v>
      </c>
      <c r="T105" s="14">
        <f>YEAR(Dados[[#This Row],[Período]])</f>
        <v>2018</v>
      </c>
      <c r="U105" s="14">
        <f>MONTH(Dados[[#This Row],[Período]])</f>
        <v>8</v>
      </c>
    </row>
    <row r="106" spans="1:21" x14ac:dyDescent="0.25">
      <c r="A106" s="9">
        <v>43321</v>
      </c>
      <c r="B106" s="4" t="s">
        <v>29</v>
      </c>
      <c r="C106" s="5" t="s">
        <v>14</v>
      </c>
      <c r="D106" s="10">
        <v>8</v>
      </c>
      <c r="E106" s="10">
        <f t="shared" si="30"/>
        <v>7.75</v>
      </c>
      <c r="F106" s="10">
        <v>0.25</v>
      </c>
      <c r="G106" s="11">
        <v>440</v>
      </c>
      <c r="H106" s="11">
        <v>380.5</v>
      </c>
      <c r="I106" s="11">
        <v>12.3</v>
      </c>
      <c r="J106" s="11">
        <f t="shared" si="31"/>
        <v>392.8</v>
      </c>
      <c r="K106" s="12">
        <f t="shared" si="32"/>
        <v>0.86477272727272725</v>
      </c>
      <c r="L106" s="12">
        <f t="shared" si="29"/>
        <v>0.89266862170087979</v>
      </c>
      <c r="M106" s="12">
        <f t="shared" si="33"/>
        <v>0.96868635437881867</v>
      </c>
      <c r="N106" s="12">
        <f t="shared" si="34"/>
        <v>3.131364562118126E-2</v>
      </c>
      <c r="O106" s="14">
        <f>Dados[[#This Row],[Vol. Padrão]]/Dados[[#This Row],[Horas Disp.]]</f>
        <v>55</v>
      </c>
      <c r="P106" s="32" cm="1">
        <f t="array" ref="P106">SUM(Dados[[#This Row],[Vol. Líquido]:[V. Refugo]]/Dados[[#This Row],[H. Ativas]])</f>
        <v>50.683870967741932</v>
      </c>
      <c r="Q106" s="12">
        <f>Dados[[#This Row],[H. Ativas]]/Dados[[#This Row],[Horas Disp.]]</f>
        <v>0.96875</v>
      </c>
      <c r="R106" s="12">
        <f>Dados[[#This Row],[Vol. Bruto]]/Dados[[#This Row],[Vol. Padrão]]</f>
        <v>0.8927272727272727</v>
      </c>
      <c r="S106" s="12">
        <f>Dados[[#This Row],[Disponibilidade]]*Dados[[#This Row],[Desempenho]]*Dados[[#This Row],[Qualidade]]</f>
        <v>0.83774857954545445</v>
      </c>
      <c r="T106" s="14">
        <f>YEAR(Dados[[#This Row],[Período]])</f>
        <v>2018</v>
      </c>
      <c r="U106" s="14">
        <f>MONTH(Dados[[#This Row],[Período]])</f>
        <v>8</v>
      </c>
    </row>
    <row r="107" spans="1:21" x14ac:dyDescent="0.25">
      <c r="A107" s="9">
        <v>43322</v>
      </c>
      <c r="B107" s="4" t="s">
        <v>30</v>
      </c>
      <c r="C107" s="5" t="s">
        <v>18</v>
      </c>
      <c r="D107" s="10">
        <v>8</v>
      </c>
      <c r="E107" s="10">
        <f t="shared" si="30"/>
        <v>7.83</v>
      </c>
      <c r="F107" s="10">
        <v>0.17</v>
      </c>
      <c r="G107" s="11">
        <v>440</v>
      </c>
      <c r="H107" s="11">
        <v>435.6</v>
      </c>
      <c r="I107" s="11">
        <v>1.8</v>
      </c>
      <c r="J107" s="11">
        <f t="shared" si="31"/>
        <v>437.40000000000003</v>
      </c>
      <c r="K107" s="12">
        <f t="shared" si="32"/>
        <v>0.9900000000000001</v>
      </c>
      <c r="L107" s="12">
        <f t="shared" si="29"/>
        <v>1.0114942528735633</v>
      </c>
      <c r="M107" s="12">
        <f t="shared" si="33"/>
        <v>0.99588477366255146</v>
      </c>
      <c r="N107" s="12">
        <f t="shared" si="34"/>
        <v>4.1152263374485592E-3</v>
      </c>
      <c r="O107" s="14">
        <f>Dados[[#This Row],[Vol. Padrão]]/Dados[[#This Row],[Horas Disp.]]</f>
        <v>55</v>
      </c>
      <c r="P107" s="32" cm="1">
        <f t="array" ref="P107">SUM(Dados[[#This Row],[Vol. Líquido]:[V. Refugo]]/Dados[[#This Row],[H. Ativas]])</f>
        <v>55.862068965517246</v>
      </c>
      <c r="Q107" s="12">
        <f>Dados[[#This Row],[H. Ativas]]/Dados[[#This Row],[Horas Disp.]]</f>
        <v>0.97875000000000001</v>
      </c>
      <c r="R107" s="12">
        <f>Dados[[#This Row],[Vol. Bruto]]/Dados[[#This Row],[Vol. Padrão]]</f>
        <v>0.99409090909090914</v>
      </c>
      <c r="S107" s="12">
        <f>Dados[[#This Row],[Disponibilidade]]*Dados[[#This Row],[Desempenho]]*Dados[[#This Row],[Qualidade]]</f>
        <v>0.96896250000000006</v>
      </c>
      <c r="T107" s="14">
        <f>YEAR(Dados[[#This Row],[Período]])</f>
        <v>2018</v>
      </c>
      <c r="U107" s="14">
        <f>MONTH(Dados[[#This Row],[Período]])</f>
        <v>8</v>
      </c>
    </row>
    <row r="108" spans="1:21" x14ac:dyDescent="0.25">
      <c r="A108" s="9">
        <v>43344</v>
      </c>
      <c r="B108" s="4" t="s">
        <v>29</v>
      </c>
      <c r="C108" s="5" t="s">
        <v>19</v>
      </c>
      <c r="D108" s="10">
        <v>8</v>
      </c>
      <c r="E108" s="10">
        <f t="shared" si="30"/>
        <v>7.67</v>
      </c>
      <c r="F108" s="10">
        <v>0.33</v>
      </c>
      <c r="G108" s="11">
        <v>440</v>
      </c>
      <c r="H108" s="11">
        <v>242.45599999999999</v>
      </c>
      <c r="I108" s="11">
        <v>23.4</v>
      </c>
      <c r="J108" s="11">
        <f t="shared" si="31"/>
        <v>265.85599999999999</v>
      </c>
      <c r="K108" s="12">
        <f t="shared" si="32"/>
        <v>0.55103636363636366</v>
      </c>
      <c r="L108" s="12">
        <f t="shared" si="29"/>
        <v>0.57474457745644181</v>
      </c>
      <c r="M108" s="12">
        <f t="shared" si="33"/>
        <v>0.9119824265767934</v>
      </c>
      <c r="N108" s="12">
        <f t="shared" si="34"/>
        <v>8.8017573423206541E-2</v>
      </c>
      <c r="O108" s="14">
        <f>Dados[[#This Row],[Vol. Padrão]]/Dados[[#This Row],[Horas Disp.]]</f>
        <v>55</v>
      </c>
      <c r="P108" s="32" cm="1">
        <f t="array" ref="P108">SUM(Dados[[#This Row],[Vol. Líquido]:[V. Refugo]]/Dados[[#This Row],[H. Ativas]])</f>
        <v>34.661799217731421</v>
      </c>
      <c r="Q108" s="12">
        <f>Dados[[#This Row],[H. Ativas]]/Dados[[#This Row],[Horas Disp.]]</f>
        <v>0.95874999999999999</v>
      </c>
      <c r="R108" s="12">
        <f>Dados[[#This Row],[Vol. Bruto]]/Dados[[#This Row],[Vol. Padrão]]</f>
        <v>0.60421818181818177</v>
      </c>
      <c r="S108" s="12">
        <f>Dados[[#This Row],[Disponibilidade]]*Dados[[#This Row],[Desempenho]]*Dados[[#This Row],[Qualidade]]</f>
        <v>0.52830611363636348</v>
      </c>
      <c r="T108" s="14">
        <f>YEAR(Dados[[#This Row],[Período]])</f>
        <v>2018</v>
      </c>
      <c r="U108" s="14">
        <f>MONTH(Dados[[#This Row],[Período]])</f>
        <v>9</v>
      </c>
    </row>
    <row r="109" spans="1:21" x14ac:dyDescent="0.25">
      <c r="A109" s="9">
        <v>43345</v>
      </c>
      <c r="B109" s="4" t="s">
        <v>28</v>
      </c>
      <c r="C109" s="5" t="s">
        <v>15</v>
      </c>
      <c r="D109" s="10">
        <v>8</v>
      </c>
      <c r="E109" s="10">
        <f t="shared" si="30"/>
        <v>7.58</v>
      </c>
      <c r="F109" s="10">
        <v>0.42</v>
      </c>
      <c r="G109" s="11">
        <v>440</v>
      </c>
      <c r="H109" s="11">
        <v>350.32100000000003</v>
      </c>
      <c r="I109" s="11">
        <v>2.3450000000000002</v>
      </c>
      <c r="J109" s="11">
        <f t="shared" si="31"/>
        <v>352.66600000000005</v>
      </c>
      <c r="K109" s="12">
        <f t="shared" si="32"/>
        <v>0.79618409090909092</v>
      </c>
      <c r="L109" s="12">
        <f t="shared" si="29"/>
        <v>0.84029983209402748</v>
      </c>
      <c r="M109" s="12">
        <f t="shared" si="33"/>
        <v>0.99335064905604731</v>
      </c>
      <c r="N109" s="12">
        <f t="shared" si="34"/>
        <v>6.6493509439526349E-3</v>
      </c>
      <c r="O109" s="14">
        <f>Dados[[#This Row],[Vol. Padrão]]/Dados[[#This Row],[Horas Disp.]]</f>
        <v>55</v>
      </c>
      <c r="P109" s="32" cm="1">
        <f t="array" ref="P109">SUM(Dados[[#This Row],[Vol. Líquido]:[V. Refugo]]/Dados[[#This Row],[H. Ativas]])</f>
        <v>46.525857519788921</v>
      </c>
      <c r="Q109" s="12">
        <f>Dados[[#This Row],[H. Ativas]]/Dados[[#This Row],[Horas Disp.]]</f>
        <v>0.94750000000000001</v>
      </c>
      <c r="R109" s="12">
        <f>Dados[[#This Row],[Vol. Bruto]]/Dados[[#This Row],[Vol. Padrão]]</f>
        <v>0.80151363636363648</v>
      </c>
      <c r="S109" s="12">
        <f>Dados[[#This Row],[Disponibilidade]]*Dados[[#This Row],[Desempenho]]*Dados[[#This Row],[Qualidade]]</f>
        <v>0.75438442613636369</v>
      </c>
      <c r="T109" s="14">
        <f>YEAR(Dados[[#This Row],[Período]])</f>
        <v>2018</v>
      </c>
      <c r="U109" s="14">
        <f>MONTH(Dados[[#This Row],[Período]])</f>
        <v>9</v>
      </c>
    </row>
    <row r="110" spans="1:21" x14ac:dyDescent="0.25">
      <c r="A110" s="9">
        <v>43346</v>
      </c>
      <c r="B110" s="4" t="s">
        <v>27</v>
      </c>
      <c r="C110" s="5" t="s">
        <v>17</v>
      </c>
      <c r="D110" s="10">
        <v>8</v>
      </c>
      <c r="E110" s="10">
        <f t="shared" si="30"/>
        <v>8</v>
      </c>
      <c r="F110" s="10">
        <v>0</v>
      </c>
      <c r="G110" s="11">
        <v>440</v>
      </c>
      <c r="H110" s="11">
        <v>398.13400000000001</v>
      </c>
      <c r="I110" s="11">
        <v>8.7889999999999997</v>
      </c>
      <c r="J110" s="11">
        <f t="shared" si="31"/>
        <v>406.923</v>
      </c>
      <c r="K110" s="12">
        <f t="shared" si="32"/>
        <v>0.90485000000000004</v>
      </c>
      <c r="L110" s="12">
        <f t="shared" si="29"/>
        <v>0.90485000000000004</v>
      </c>
      <c r="M110" s="12">
        <f t="shared" si="33"/>
        <v>0.97840131916849138</v>
      </c>
      <c r="N110" s="12">
        <f t="shared" si="34"/>
        <v>2.1598680831508663E-2</v>
      </c>
      <c r="O110" s="14">
        <f>Dados[[#This Row],[Vol. Padrão]]/Dados[[#This Row],[Horas Disp.]]</f>
        <v>55</v>
      </c>
      <c r="P110" s="32" cm="1">
        <f t="array" ref="P110">SUM(Dados[[#This Row],[Vol. Líquido]:[V. Refugo]]/Dados[[#This Row],[H. Ativas]])</f>
        <v>50.865375</v>
      </c>
      <c r="Q110" s="12">
        <f>Dados[[#This Row],[H. Ativas]]/Dados[[#This Row],[Horas Disp.]]</f>
        <v>1</v>
      </c>
      <c r="R110" s="12">
        <f>Dados[[#This Row],[Vol. Bruto]]/Dados[[#This Row],[Vol. Padrão]]</f>
        <v>0.92482500000000001</v>
      </c>
      <c r="S110" s="12">
        <f>Dados[[#This Row],[Disponibilidade]]*Dados[[#This Row],[Desempenho]]*Dados[[#This Row],[Qualidade]]</f>
        <v>0.90485000000000004</v>
      </c>
      <c r="T110" s="14">
        <f>YEAR(Dados[[#This Row],[Período]])</f>
        <v>2018</v>
      </c>
      <c r="U110" s="14">
        <f>MONTH(Dados[[#This Row],[Período]])</f>
        <v>9</v>
      </c>
    </row>
    <row r="111" spans="1:21" x14ac:dyDescent="0.25">
      <c r="A111" s="9">
        <v>43347</v>
      </c>
      <c r="B111" s="4" t="s">
        <v>26</v>
      </c>
      <c r="C111" s="5" t="s">
        <v>21</v>
      </c>
      <c r="D111" s="10">
        <v>8</v>
      </c>
      <c r="E111" s="10">
        <f t="shared" si="30"/>
        <v>6.75</v>
      </c>
      <c r="F111" s="10">
        <v>1.25</v>
      </c>
      <c r="G111" s="11">
        <v>440</v>
      </c>
      <c r="H111" s="11">
        <v>347.98700000000002</v>
      </c>
      <c r="I111" s="11">
        <v>12.432</v>
      </c>
      <c r="J111" s="11">
        <f t="shared" si="31"/>
        <v>360.41900000000004</v>
      </c>
      <c r="K111" s="12">
        <f t="shared" si="32"/>
        <v>0.79087954545454553</v>
      </c>
      <c r="L111" s="12">
        <f t="shared" si="29"/>
        <v>0.93733872053872058</v>
      </c>
      <c r="M111" s="12">
        <f t="shared" si="33"/>
        <v>0.96550681290387019</v>
      </c>
      <c r="N111" s="12">
        <f t="shared" si="34"/>
        <v>3.4493187096129779E-2</v>
      </c>
      <c r="O111" s="14">
        <f>Dados[[#This Row],[Vol. Padrão]]/Dados[[#This Row],[Horas Disp.]]</f>
        <v>55</v>
      </c>
      <c r="P111" s="32" cm="1">
        <f t="array" ref="P111">SUM(Dados[[#This Row],[Vol. Líquido]:[V. Refugo]]/Dados[[#This Row],[H. Ativas]])</f>
        <v>53.395407407407411</v>
      </c>
      <c r="Q111" s="12">
        <f>Dados[[#This Row],[H. Ativas]]/Dados[[#This Row],[Horas Disp.]]</f>
        <v>0.84375</v>
      </c>
      <c r="R111" s="12">
        <f>Dados[[#This Row],[Vol. Bruto]]/Dados[[#This Row],[Vol. Padrão]]</f>
        <v>0.81913409090909095</v>
      </c>
      <c r="S111" s="12">
        <f>Dados[[#This Row],[Disponibilidade]]*Dados[[#This Row],[Desempenho]]*Dados[[#This Row],[Qualidade]]</f>
        <v>0.66730461647727268</v>
      </c>
      <c r="T111" s="14">
        <f>YEAR(Dados[[#This Row],[Período]])</f>
        <v>2018</v>
      </c>
      <c r="U111" s="14">
        <f>MONTH(Dados[[#This Row],[Período]])</f>
        <v>9</v>
      </c>
    </row>
    <row r="112" spans="1:21" x14ac:dyDescent="0.25">
      <c r="A112" s="9">
        <v>43348</v>
      </c>
      <c r="B112" s="4" t="s">
        <v>30</v>
      </c>
      <c r="C112" s="5" t="s">
        <v>16</v>
      </c>
      <c r="D112" s="10">
        <v>8</v>
      </c>
      <c r="E112" s="10">
        <f t="shared" si="30"/>
        <v>7.45</v>
      </c>
      <c r="F112" s="10">
        <v>0.55000000000000004</v>
      </c>
      <c r="G112" s="11">
        <v>440</v>
      </c>
      <c r="H112" s="11">
        <v>365.12</v>
      </c>
      <c r="I112" s="11">
        <v>43.95</v>
      </c>
      <c r="J112" s="11">
        <f t="shared" si="31"/>
        <v>409.07</v>
      </c>
      <c r="K112" s="12">
        <f t="shared" si="32"/>
        <v>0.82981818181818179</v>
      </c>
      <c r="L112" s="12">
        <f t="shared" si="29"/>
        <v>0.89107992678462478</v>
      </c>
      <c r="M112" s="12">
        <f t="shared" si="33"/>
        <v>0.89256117534896229</v>
      </c>
      <c r="N112" s="12">
        <f t="shared" si="34"/>
        <v>0.10743882465103773</v>
      </c>
      <c r="O112" s="14">
        <f>Dados[[#This Row],[Vol. Padrão]]/Dados[[#This Row],[Horas Disp.]]</f>
        <v>55</v>
      </c>
      <c r="P112" s="32" cm="1">
        <f t="array" ref="P112">SUM(Dados[[#This Row],[Vol. Líquido]:[V. Refugo]]/Dados[[#This Row],[H. Ativas]])</f>
        <v>54.908724832214766</v>
      </c>
      <c r="Q112" s="12">
        <f>Dados[[#This Row],[H. Ativas]]/Dados[[#This Row],[Horas Disp.]]</f>
        <v>0.93125000000000002</v>
      </c>
      <c r="R112" s="12">
        <f>Dados[[#This Row],[Vol. Bruto]]/Dados[[#This Row],[Vol. Padrão]]</f>
        <v>0.92970454545454539</v>
      </c>
      <c r="S112" s="12">
        <f>Dados[[#This Row],[Disponibilidade]]*Dados[[#This Row],[Desempenho]]*Dados[[#This Row],[Qualidade]]</f>
        <v>0.77276818181818174</v>
      </c>
      <c r="T112" s="14">
        <f>YEAR(Dados[[#This Row],[Período]])</f>
        <v>2018</v>
      </c>
      <c r="U112" s="14">
        <f>MONTH(Dados[[#This Row],[Período]])</f>
        <v>9</v>
      </c>
    </row>
    <row r="113" spans="1:21" x14ac:dyDescent="0.25">
      <c r="A113" s="9">
        <v>43349</v>
      </c>
      <c r="B113" s="4" t="s">
        <v>29</v>
      </c>
      <c r="C113" s="5" t="s">
        <v>14</v>
      </c>
      <c r="D113" s="10">
        <v>8</v>
      </c>
      <c r="E113" s="10">
        <f t="shared" si="30"/>
        <v>7.83</v>
      </c>
      <c r="F113" s="10">
        <v>0.17</v>
      </c>
      <c r="G113" s="11">
        <v>440</v>
      </c>
      <c r="H113" s="11">
        <v>278.33300000000003</v>
      </c>
      <c r="I113" s="11">
        <v>9.0850000000000009</v>
      </c>
      <c r="J113" s="11">
        <f t="shared" si="31"/>
        <v>287.41800000000001</v>
      </c>
      <c r="K113" s="12">
        <f t="shared" si="32"/>
        <v>0.63257500000000011</v>
      </c>
      <c r="L113" s="12">
        <f t="shared" si="29"/>
        <v>0.64630906768837815</v>
      </c>
      <c r="M113" s="12">
        <f t="shared" si="33"/>
        <v>0.96839098455907435</v>
      </c>
      <c r="N113" s="12">
        <f t="shared" si="34"/>
        <v>3.1609015440925765E-2</v>
      </c>
      <c r="O113" s="14">
        <f>Dados[[#This Row],[Vol. Padrão]]/Dados[[#This Row],[Horas Disp.]]</f>
        <v>55</v>
      </c>
      <c r="P113" s="32" cm="1">
        <f t="array" ref="P113">SUM(Dados[[#This Row],[Vol. Líquido]:[V. Refugo]]/Dados[[#This Row],[H. Ativas]])</f>
        <v>36.707279693486591</v>
      </c>
      <c r="Q113" s="12">
        <f>Dados[[#This Row],[H. Ativas]]/Dados[[#This Row],[Horas Disp.]]</f>
        <v>0.97875000000000001</v>
      </c>
      <c r="R113" s="12">
        <f>Dados[[#This Row],[Vol. Bruto]]/Dados[[#This Row],[Vol. Padrão]]</f>
        <v>0.65322272727272723</v>
      </c>
      <c r="S113" s="12">
        <f>Dados[[#This Row],[Disponibilidade]]*Dados[[#This Row],[Desempenho]]*Dados[[#This Row],[Qualidade]]</f>
        <v>0.61913278125000004</v>
      </c>
      <c r="T113" s="14">
        <f>YEAR(Dados[[#This Row],[Período]])</f>
        <v>2018</v>
      </c>
      <c r="U113" s="14">
        <f>MONTH(Dados[[#This Row],[Período]])</f>
        <v>9</v>
      </c>
    </row>
    <row r="114" spans="1:21" x14ac:dyDescent="0.25">
      <c r="A114" s="9">
        <v>43350</v>
      </c>
      <c r="B114" s="4" t="s">
        <v>28</v>
      </c>
      <c r="C114" s="5" t="s">
        <v>13</v>
      </c>
      <c r="D114" s="10">
        <v>8</v>
      </c>
      <c r="E114" s="10">
        <f t="shared" si="30"/>
        <v>7.85</v>
      </c>
      <c r="F114" s="10">
        <v>0.15</v>
      </c>
      <c r="G114" s="11">
        <v>440</v>
      </c>
      <c r="H114" s="11">
        <v>408.19200000000001</v>
      </c>
      <c r="I114" s="11">
        <v>1.2450000000000001</v>
      </c>
      <c r="J114" s="11">
        <f t="shared" si="31"/>
        <v>409.43700000000001</v>
      </c>
      <c r="K114" s="12">
        <f t="shared" si="32"/>
        <v>0.92770909090909093</v>
      </c>
      <c r="L114" s="12">
        <f t="shared" si="29"/>
        <v>0.94543601621308626</v>
      </c>
      <c r="M114" s="12">
        <f t="shared" si="33"/>
        <v>0.99695923915034546</v>
      </c>
      <c r="N114" s="12">
        <f t="shared" si="34"/>
        <v>3.040760849654526E-3</v>
      </c>
      <c r="O114" s="14">
        <f>Dados[[#This Row],[Vol. Padrão]]/Dados[[#This Row],[Horas Disp.]]</f>
        <v>55</v>
      </c>
      <c r="P114" s="32" cm="1">
        <f t="array" ref="P114">SUM(Dados[[#This Row],[Vol. Líquido]:[V. Refugo]]/Dados[[#This Row],[H. Ativas]])</f>
        <v>52.157579617834394</v>
      </c>
      <c r="Q114" s="12">
        <f>Dados[[#This Row],[H. Ativas]]/Dados[[#This Row],[Horas Disp.]]</f>
        <v>0.98124999999999996</v>
      </c>
      <c r="R114" s="12">
        <f>Dados[[#This Row],[Vol. Bruto]]/Dados[[#This Row],[Vol. Padrão]]</f>
        <v>0.93053863636363643</v>
      </c>
      <c r="S114" s="12">
        <f>Dados[[#This Row],[Disponibilidade]]*Dados[[#This Row],[Desempenho]]*Dados[[#This Row],[Qualidade]]</f>
        <v>0.91031454545454549</v>
      </c>
      <c r="T114" s="14">
        <f>YEAR(Dados[[#This Row],[Período]])</f>
        <v>2018</v>
      </c>
      <c r="U114" s="14">
        <f>MONTH(Dados[[#This Row],[Período]])</f>
        <v>9</v>
      </c>
    </row>
    <row r="115" spans="1:21" x14ac:dyDescent="0.25">
      <c r="A115" s="9">
        <v>43351</v>
      </c>
      <c r="B115" s="4" t="s">
        <v>26</v>
      </c>
      <c r="C115" s="5" t="s">
        <v>22</v>
      </c>
      <c r="D115" s="10">
        <v>8</v>
      </c>
      <c r="E115" s="10">
        <f t="shared" si="30"/>
        <v>7.33</v>
      </c>
      <c r="F115" s="10">
        <v>0.67</v>
      </c>
      <c r="G115" s="11">
        <v>440</v>
      </c>
      <c r="H115" s="11">
        <v>309.79899999999998</v>
      </c>
      <c r="I115" s="11">
        <v>4.5</v>
      </c>
      <c r="J115" s="11">
        <f t="shared" si="31"/>
        <v>314.29899999999998</v>
      </c>
      <c r="K115" s="12">
        <f t="shared" si="32"/>
        <v>0.70408863636363628</v>
      </c>
      <c r="L115" s="12">
        <f t="shared" si="29"/>
        <v>0.76844598784571494</v>
      </c>
      <c r="M115" s="12">
        <f t="shared" si="33"/>
        <v>0.98568242342482792</v>
      </c>
      <c r="N115" s="12">
        <f t="shared" si="34"/>
        <v>1.4317576575172051E-2</v>
      </c>
      <c r="O115" s="14">
        <f>Dados[[#This Row],[Vol. Padrão]]/Dados[[#This Row],[Horas Disp.]]</f>
        <v>55</v>
      </c>
      <c r="P115" s="32" cm="1">
        <f t="array" ref="P115">SUM(Dados[[#This Row],[Vol. Líquido]:[V. Refugo]]/Dados[[#This Row],[H. Ativas]])</f>
        <v>42.878444747612541</v>
      </c>
      <c r="Q115" s="12">
        <f>Dados[[#This Row],[H. Ativas]]/Dados[[#This Row],[Horas Disp.]]</f>
        <v>0.91625000000000001</v>
      </c>
      <c r="R115" s="12">
        <f>Dados[[#This Row],[Vol. Bruto]]/Dados[[#This Row],[Vol. Padrão]]</f>
        <v>0.71431590909090903</v>
      </c>
      <c r="S115" s="12">
        <f>Dados[[#This Row],[Disponibilidade]]*Dados[[#This Row],[Desempenho]]*Dados[[#This Row],[Qualidade]]</f>
        <v>0.64512121306818182</v>
      </c>
      <c r="T115" s="14">
        <f>YEAR(Dados[[#This Row],[Período]])</f>
        <v>2018</v>
      </c>
      <c r="U115" s="14">
        <f>MONTH(Dados[[#This Row],[Período]])</f>
        <v>9</v>
      </c>
    </row>
    <row r="116" spans="1:21" x14ac:dyDescent="0.25">
      <c r="A116" s="9">
        <v>43352</v>
      </c>
      <c r="B116" s="4" t="s">
        <v>30</v>
      </c>
      <c r="C116" s="5" t="s">
        <v>18</v>
      </c>
      <c r="D116" s="10">
        <v>8</v>
      </c>
      <c r="E116" s="10">
        <f t="shared" si="30"/>
        <v>7</v>
      </c>
      <c r="F116" s="10">
        <v>1</v>
      </c>
      <c r="G116" s="11">
        <v>440</v>
      </c>
      <c r="H116" s="11">
        <v>350</v>
      </c>
      <c r="I116" s="11">
        <v>3.4</v>
      </c>
      <c r="J116" s="11">
        <f t="shared" si="31"/>
        <v>353.4</v>
      </c>
      <c r="K116" s="12">
        <f t="shared" si="32"/>
        <v>0.79545454545454541</v>
      </c>
      <c r="L116" s="12">
        <f t="shared" si="29"/>
        <v>0.90909090909090906</v>
      </c>
      <c r="M116" s="12">
        <f t="shared" si="33"/>
        <v>0.99037917374080364</v>
      </c>
      <c r="N116" s="12">
        <f t="shared" si="34"/>
        <v>9.6208262591963786E-3</v>
      </c>
      <c r="O116" s="14">
        <f>Dados[[#This Row],[Vol. Padrão]]/Dados[[#This Row],[Horas Disp.]]</f>
        <v>55</v>
      </c>
      <c r="P116" s="32" cm="1">
        <f t="array" ref="P116">SUM(Dados[[#This Row],[Vol. Líquido]:[V. Refugo]]/Dados[[#This Row],[H. Ativas]])</f>
        <v>50.485714285714288</v>
      </c>
      <c r="Q116" s="12">
        <f>Dados[[#This Row],[H. Ativas]]/Dados[[#This Row],[Horas Disp.]]</f>
        <v>0.875</v>
      </c>
      <c r="R116" s="12">
        <f>Dados[[#This Row],[Vol. Bruto]]/Dados[[#This Row],[Vol. Padrão]]</f>
        <v>0.80318181818181811</v>
      </c>
      <c r="S116" s="12">
        <f>Dados[[#This Row],[Disponibilidade]]*Dados[[#This Row],[Desempenho]]*Dados[[#This Row],[Qualidade]]</f>
        <v>0.69602272727272729</v>
      </c>
      <c r="T116" s="14">
        <f>YEAR(Dados[[#This Row],[Período]])</f>
        <v>2018</v>
      </c>
      <c r="U116" s="14">
        <f>MONTH(Dados[[#This Row],[Período]])</f>
        <v>9</v>
      </c>
    </row>
    <row r="117" spans="1:21" x14ac:dyDescent="0.25">
      <c r="A117" s="9">
        <v>43353</v>
      </c>
      <c r="B117" s="4" t="s">
        <v>27</v>
      </c>
      <c r="C117" s="5" t="s">
        <v>20</v>
      </c>
      <c r="D117" s="10">
        <v>8</v>
      </c>
      <c r="E117" s="10">
        <f t="shared" si="30"/>
        <v>7.5</v>
      </c>
      <c r="F117" s="10">
        <v>0.5</v>
      </c>
      <c r="G117" s="11">
        <v>440</v>
      </c>
      <c r="H117" s="11">
        <v>415.34</v>
      </c>
      <c r="I117" s="11">
        <v>8.9</v>
      </c>
      <c r="J117" s="11">
        <f t="shared" si="31"/>
        <v>424.23999999999995</v>
      </c>
      <c r="K117" s="12">
        <f t="shared" si="32"/>
        <v>0.94395454545454538</v>
      </c>
      <c r="L117" s="12">
        <f t="shared" si="29"/>
        <v>1.0068848484848485</v>
      </c>
      <c r="M117" s="12">
        <f t="shared" si="33"/>
        <v>0.97902130869319259</v>
      </c>
      <c r="N117" s="12">
        <f t="shared" si="34"/>
        <v>2.0978691306807469E-2</v>
      </c>
      <c r="O117" s="14">
        <f>Dados[[#This Row],[Vol. Padrão]]/Dados[[#This Row],[Horas Disp.]]</f>
        <v>55</v>
      </c>
      <c r="P117" s="32" cm="1">
        <f t="array" ref="P117">SUM(Dados[[#This Row],[Vol. Líquido]:[V. Refugo]]/Dados[[#This Row],[H. Ativas]])</f>
        <v>56.565333333333328</v>
      </c>
      <c r="Q117" s="12">
        <f>Dados[[#This Row],[H. Ativas]]/Dados[[#This Row],[Horas Disp.]]</f>
        <v>0.9375</v>
      </c>
      <c r="R117" s="12">
        <f>Dados[[#This Row],[Vol. Bruto]]/Dados[[#This Row],[Vol. Padrão]]</f>
        <v>0.96418181818181803</v>
      </c>
      <c r="S117" s="12">
        <f>Dados[[#This Row],[Disponibilidade]]*Dados[[#This Row],[Desempenho]]*Dados[[#This Row],[Qualidade]]</f>
        <v>0.8849573863636363</v>
      </c>
      <c r="T117" s="14">
        <f>YEAR(Dados[[#This Row],[Período]])</f>
        <v>2018</v>
      </c>
      <c r="U117" s="14">
        <f>MONTH(Dados[[#This Row],[Período]])</f>
        <v>9</v>
      </c>
    </row>
    <row r="118" spans="1:21" x14ac:dyDescent="0.25">
      <c r="A118" s="9">
        <v>43354</v>
      </c>
      <c r="B118" s="4" t="s">
        <v>28</v>
      </c>
      <c r="C118" s="5" t="s">
        <v>15</v>
      </c>
      <c r="D118" s="10">
        <v>8</v>
      </c>
      <c r="E118" s="10">
        <f t="shared" si="30"/>
        <v>7.17</v>
      </c>
      <c r="F118" s="10">
        <v>0.83</v>
      </c>
      <c r="G118" s="11">
        <v>440</v>
      </c>
      <c r="H118" s="11">
        <v>278.85000000000002</v>
      </c>
      <c r="I118" s="11">
        <v>45.7</v>
      </c>
      <c r="J118" s="11">
        <f t="shared" si="31"/>
        <v>324.55</v>
      </c>
      <c r="K118" s="12">
        <f t="shared" si="32"/>
        <v>0.63375000000000004</v>
      </c>
      <c r="L118" s="12">
        <f t="shared" si="29"/>
        <v>0.70711297071129708</v>
      </c>
      <c r="M118" s="12">
        <f t="shared" si="33"/>
        <v>0.85918964720382074</v>
      </c>
      <c r="N118" s="12">
        <f t="shared" si="34"/>
        <v>0.14081035279617932</v>
      </c>
      <c r="O118" s="14">
        <f>Dados[[#This Row],[Vol. Padrão]]/Dados[[#This Row],[Horas Disp.]]</f>
        <v>55</v>
      </c>
      <c r="P118" s="32" cm="1">
        <f t="array" ref="P118">SUM(Dados[[#This Row],[Vol. Líquido]:[V. Refugo]]/Dados[[#This Row],[H. Ativas]])</f>
        <v>45.264993026499305</v>
      </c>
      <c r="Q118" s="12">
        <f>Dados[[#This Row],[H. Ativas]]/Dados[[#This Row],[Horas Disp.]]</f>
        <v>0.89624999999999999</v>
      </c>
      <c r="R118" s="12">
        <f>Dados[[#This Row],[Vol. Bruto]]/Dados[[#This Row],[Vol. Padrão]]</f>
        <v>0.73761363636363642</v>
      </c>
      <c r="S118" s="12">
        <f>Dados[[#This Row],[Disponibilidade]]*Dados[[#This Row],[Desempenho]]*Dados[[#This Row],[Qualidade]]</f>
        <v>0.56799843750000012</v>
      </c>
      <c r="T118" s="14">
        <f>YEAR(Dados[[#This Row],[Período]])</f>
        <v>2018</v>
      </c>
      <c r="U118" s="14">
        <f>MONTH(Dados[[#This Row],[Período]])</f>
        <v>9</v>
      </c>
    </row>
    <row r="119" spans="1:21" x14ac:dyDescent="0.25">
      <c r="A119" s="9">
        <v>43355</v>
      </c>
      <c r="B119" s="4" t="s">
        <v>26</v>
      </c>
      <c r="C119" s="5" t="s">
        <v>21</v>
      </c>
      <c r="D119" s="10">
        <v>8</v>
      </c>
      <c r="E119" s="10">
        <f t="shared" si="30"/>
        <v>7.08</v>
      </c>
      <c r="F119" s="10">
        <v>0.92</v>
      </c>
      <c r="G119" s="11">
        <v>440</v>
      </c>
      <c r="H119" s="11">
        <v>347.89</v>
      </c>
      <c r="I119" s="11">
        <v>12.44</v>
      </c>
      <c r="J119" s="11">
        <f t="shared" si="31"/>
        <v>360.33</v>
      </c>
      <c r="K119" s="12">
        <f t="shared" si="32"/>
        <v>0.79065909090909092</v>
      </c>
      <c r="L119" s="12">
        <f t="shared" si="29"/>
        <v>0.89340010272213666</v>
      </c>
      <c r="M119" s="12">
        <f t="shared" si="33"/>
        <v>0.96547609136069712</v>
      </c>
      <c r="N119" s="12">
        <f t="shared" si="34"/>
        <v>3.452390863930286E-2</v>
      </c>
      <c r="O119" s="14">
        <f>Dados[[#This Row],[Vol. Padrão]]/Dados[[#This Row],[Horas Disp.]]</f>
        <v>55</v>
      </c>
      <c r="P119" s="32" cm="1">
        <f t="array" ref="P119">SUM(Dados[[#This Row],[Vol. Líquido]:[V. Refugo]]/Dados[[#This Row],[H. Ativas]])</f>
        <v>50.894067796610166</v>
      </c>
      <c r="Q119" s="12">
        <f>Dados[[#This Row],[H. Ativas]]/Dados[[#This Row],[Horas Disp.]]</f>
        <v>0.88500000000000001</v>
      </c>
      <c r="R119" s="12">
        <f>Dados[[#This Row],[Vol. Bruto]]/Dados[[#This Row],[Vol. Padrão]]</f>
        <v>0.81893181818181815</v>
      </c>
      <c r="S119" s="12">
        <f>Dados[[#This Row],[Disponibilidade]]*Dados[[#This Row],[Desempenho]]*Dados[[#This Row],[Qualidade]]</f>
        <v>0.69973329545454543</v>
      </c>
      <c r="T119" s="14">
        <f>YEAR(Dados[[#This Row],[Período]])</f>
        <v>2018</v>
      </c>
      <c r="U119" s="14">
        <f>MONTH(Dados[[#This Row],[Período]])</f>
        <v>9</v>
      </c>
    </row>
    <row r="120" spans="1:21" x14ac:dyDescent="0.25">
      <c r="A120" s="9">
        <v>43374</v>
      </c>
      <c r="B120" s="4" t="s">
        <v>27</v>
      </c>
      <c r="C120" s="5" t="s">
        <v>17</v>
      </c>
      <c r="D120" s="10">
        <v>8</v>
      </c>
      <c r="E120" s="10">
        <f t="shared" si="30"/>
        <v>7.75</v>
      </c>
      <c r="F120" s="10">
        <v>0.25</v>
      </c>
      <c r="G120" s="11">
        <v>440</v>
      </c>
      <c r="H120" s="11">
        <v>375.12299999999999</v>
      </c>
      <c r="I120" s="11">
        <v>15.32</v>
      </c>
      <c r="J120" s="11">
        <f t="shared" si="31"/>
        <v>390.44299999999998</v>
      </c>
      <c r="K120" s="12">
        <f t="shared" si="32"/>
        <v>0.85255227272727274</v>
      </c>
      <c r="L120" s="12">
        <f t="shared" ref="L120:L151" si="35">H120/(E120*55)</f>
        <v>0.88005395894428151</v>
      </c>
      <c r="M120" s="12">
        <f t="shared" si="33"/>
        <v>0.96076251847260674</v>
      </c>
      <c r="N120" s="12">
        <f t="shared" si="34"/>
        <v>3.9237481527393245E-2</v>
      </c>
      <c r="O120" s="14">
        <f>Dados[[#This Row],[Vol. Padrão]]/Dados[[#This Row],[Horas Disp.]]</f>
        <v>55</v>
      </c>
      <c r="P120" s="32" cm="1">
        <f t="array" ref="P120">SUM(Dados[[#This Row],[Vol. Líquido]:[V. Refugo]]/Dados[[#This Row],[H. Ativas]])</f>
        <v>50.379741935483871</v>
      </c>
      <c r="Q120" s="12">
        <f>Dados[[#This Row],[H. Ativas]]/Dados[[#This Row],[Horas Disp.]]</f>
        <v>0.96875</v>
      </c>
      <c r="R120" s="12">
        <f>Dados[[#This Row],[Vol. Bruto]]/Dados[[#This Row],[Vol. Padrão]]</f>
        <v>0.88737045454545449</v>
      </c>
      <c r="S120" s="12">
        <f>Dados[[#This Row],[Disponibilidade]]*Dados[[#This Row],[Desempenho]]*Dados[[#This Row],[Qualidade]]</f>
        <v>0.82591001420454535</v>
      </c>
      <c r="T120" s="14">
        <f>YEAR(Dados[[#This Row],[Período]])</f>
        <v>2018</v>
      </c>
      <c r="U120" s="14">
        <f>MONTH(Dados[[#This Row],[Período]])</f>
        <v>10</v>
      </c>
    </row>
    <row r="121" spans="1:21" x14ac:dyDescent="0.25">
      <c r="A121" s="9">
        <v>43375</v>
      </c>
      <c r="B121" s="4" t="s">
        <v>28</v>
      </c>
      <c r="C121" s="5" t="s">
        <v>13</v>
      </c>
      <c r="D121" s="10">
        <v>8</v>
      </c>
      <c r="E121" s="10">
        <f t="shared" si="30"/>
        <v>7.83</v>
      </c>
      <c r="F121" s="10">
        <v>0.17</v>
      </c>
      <c r="G121" s="11">
        <v>440</v>
      </c>
      <c r="H121" s="11">
        <v>413.5</v>
      </c>
      <c r="I121" s="11">
        <v>2.67</v>
      </c>
      <c r="J121" s="11">
        <f t="shared" si="31"/>
        <v>416.17</v>
      </c>
      <c r="K121" s="12">
        <f t="shared" si="32"/>
        <v>0.93977272727272732</v>
      </c>
      <c r="L121" s="12">
        <f t="shared" si="35"/>
        <v>0.96017647741785683</v>
      </c>
      <c r="M121" s="12">
        <f t="shared" si="33"/>
        <v>0.99358435254823751</v>
      </c>
      <c r="N121" s="12">
        <f t="shared" si="34"/>
        <v>6.4156474517625007E-3</v>
      </c>
      <c r="O121" s="14">
        <f>Dados[[#This Row],[Vol. Padrão]]/Dados[[#This Row],[Horas Disp.]]</f>
        <v>55</v>
      </c>
      <c r="P121" s="32" cm="1">
        <f t="array" ref="P121">SUM(Dados[[#This Row],[Vol. Líquido]:[V. Refugo]]/Dados[[#This Row],[H. Ativas]])</f>
        <v>53.1507024265645</v>
      </c>
      <c r="Q121" s="12">
        <f>Dados[[#This Row],[H. Ativas]]/Dados[[#This Row],[Horas Disp.]]</f>
        <v>0.97875000000000001</v>
      </c>
      <c r="R121" s="12">
        <f>Dados[[#This Row],[Vol. Bruto]]/Dados[[#This Row],[Vol. Padrão]]</f>
        <v>0.94584090909090912</v>
      </c>
      <c r="S121" s="12">
        <f>Dados[[#This Row],[Disponibilidade]]*Dados[[#This Row],[Desempenho]]*Dados[[#This Row],[Qualidade]]</f>
        <v>0.9198025568181819</v>
      </c>
      <c r="T121" s="14">
        <f>YEAR(Dados[[#This Row],[Período]])</f>
        <v>2018</v>
      </c>
      <c r="U121" s="14">
        <f>MONTH(Dados[[#This Row],[Período]])</f>
        <v>10</v>
      </c>
    </row>
    <row r="122" spans="1:21" x14ac:dyDescent="0.25">
      <c r="A122" s="9">
        <v>43376</v>
      </c>
      <c r="B122" s="4" t="s">
        <v>29</v>
      </c>
      <c r="C122" s="5" t="s">
        <v>14</v>
      </c>
      <c r="D122" s="10">
        <v>8</v>
      </c>
      <c r="E122" s="10">
        <f t="shared" si="30"/>
        <v>7.58</v>
      </c>
      <c r="F122" s="10">
        <v>0.42</v>
      </c>
      <c r="G122" s="11">
        <v>440</v>
      </c>
      <c r="H122" s="11">
        <v>299.8</v>
      </c>
      <c r="I122" s="11">
        <v>19.777000000000001</v>
      </c>
      <c r="J122" s="11">
        <f t="shared" si="31"/>
        <v>319.577</v>
      </c>
      <c r="K122" s="12">
        <f t="shared" si="32"/>
        <v>0.68136363636363639</v>
      </c>
      <c r="L122" s="12">
        <f t="shared" si="35"/>
        <v>0.71911729431518356</v>
      </c>
      <c r="M122" s="12">
        <f t="shared" si="33"/>
        <v>0.93811507085929213</v>
      </c>
      <c r="N122" s="12">
        <f t="shared" si="34"/>
        <v>6.1884929140707874E-2</v>
      </c>
      <c r="O122" s="14">
        <f>Dados[[#This Row],[Vol. Padrão]]/Dados[[#This Row],[Horas Disp.]]</f>
        <v>55</v>
      </c>
      <c r="P122" s="32" cm="1">
        <f t="array" ref="P122">SUM(Dados[[#This Row],[Vol. Líquido]:[V. Refugo]]/Dados[[#This Row],[H. Ativas]])</f>
        <v>42.16055408970977</v>
      </c>
      <c r="Q122" s="12">
        <f>Dados[[#This Row],[H. Ativas]]/Dados[[#This Row],[Horas Disp.]]</f>
        <v>0.94750000000000001</v>
      </c>
      <c r="R122" s="12">
        <f>Dados[[#This Row],[Vol. Bruto]]/Dados[[#This Row],[Vol. Padrão]]</f>
        <v>0.72631136363636362</v>
      </c>
      <c r="S122" s="12">
        <f>Dados[[#This Row],[Disponibilidade]]*Dados[[#This Row],[Desempenho]]*Dados[[#This Row],[Qualidade]]</f>
        <v>0.6455920454545454</v>
      </c>
      <c r="T122" s="14">
        <f>YEAR(Dados[[#This Row],[Período]])</f>
        <v>2018</v>
      </c>
      <c r="U122" s="14">
        <f>MONTH(Dados[[#This Row],[Período]])</f>
        <v>10</v>
      </c>
    </row>
    <row r="123" spans="1:21" x14ac:dyDescent="0.25">
      <c r="A123" s="9">
        <v>43377</v>
      </c>
      <c r="B123" s="4" t="s">
        <v>30</v>
      </c>
      <c r="C123" s="5" t="s">
        <v>16</v>
      </c>
      <c r="D123" s="10">
        <v>8</v>
      </c>
      <c r="E123" s="10">
        <f t="shared" si="30"/>
        <v>7.17</v>
      </c>
      <c r="F123" s="10">
        <v>0.83</v>
      </c>
      <c r="G123" s="11">
        <v>440</v>
      </c>
      <c r="H123" s="11">
        <v>350.2</v>
      </c>
      <c r="I123" s="11">
        <v>7.8810000000000002</v>
      </c>
      <c r="J123" s="11">
        <f t="shared" si="31"/>
        <v>358.08100000000002</v>
      </c>
      <c r="K123" s="12">
        <f t="shared" si="32"/>
        <v>0.7959090909090909</v>
      </c>
      <c r="L123" s="12">
        <f t="shared" si="35"/>
        <v>0.88804361607708882</v>
      </c>
      <c r="M123" s="12">
        <f t="shared" si="33"/>
        <v>0.97799101320650905</v>
      </c>
      <c r="N123" s="12">
        <f t="shared" si="34"/>
        <v>2.2008986793490858E-2</v>
      </c>
      <c r="O123" s="14">
        <f>Dados[[#This Row],[Vol. Padrão]]/Dados[[#This Row],[Horas Disp.]]</f>
        <v>55</v>
      </c>
      <c r="P123" s="32" cm="1">
        <f t="array" ref="P123">SUM(Dados[[#This Row],[Vol. Líquido]:[V. Refugo]]/Dados[[#This Row],[H. Ativas]])</f>
        <v>49.941562064156201</v>
      </c>
      <c r="Q123" s="12">
        <f>Dados[[#This Row],[H. Ativas]]/Dados[[#This Row],[Horas Disp.]]</f>
        <v>0.89624999999999999</v>
      </c>
      <c r="R123" s="12">
        <f>Dados[[#This Row],[Vol. Bruto]]/Dados[[#This Row],[Vol. Padrão]]</f>
        <v>0.8138204545454546</v>
      </c>
      <c r="S123" s="12">
        <f>Dados[[#This Row],[Disponibilidade]]*Dados[[#This Row],[Desempenho]]*Dados[[#This Row],[Qualidade]]</f>
        <v>0.71333352272727268</v>
      </c>
      <c r="T123" s="14">
        <f>YEAR(Dados[[#This Row],[Período]])</f>
        <v>2018</v>
      </c>
      <c r="U123" s="14">
        <f>MONTH(Dados[[#This Row],[Período]])</f>
        <v>10</v>
      </c>
    </row>
    <row r="124" spans="1:21" x14ac:dyDescent="0.25">
      <c r="A124" s="9">
        <v>43378</v>
      </c>
      <c r="B124" s="4" t="s">
        <v>26</v>
      </c>
      <c r="C124" s="5" t="s">
        <v>22</v>
      </c>
      <c r="D124" s="10">
        <v>8</v>
      </c>
      <c r="E124" s="10">
        <f t="shared" si="30"/>
        <v>7.25</v>
      </c>
      <c r="F124" s="10">
        <v>0.75</v>
      </c>
      <c r="G124" s="11">
        <v>440</v>
      </c>
      <c r="H124" s="11">
        <v>380.3</v>
      </c>
      <c r="I124" s="11">
        <v>8.34</v>
      </c>
      <c r="J124" s="11">
        <f t="shared" si="31"/>
        <v>388.64</v>
      </c>
      <c r="K124" s="12">
        <f t="shared" si="32"/>
        <v>0.86431818181818187</v>
      </c>
      <c r="L124" s="12">
        <f t="shared" si="35"/>
        <v>0.95373040752351101</v>
      </c>
      <c r="M124" s="12">
        <f t="shared" si="33"/>
        <v>0.97854055166735288</v>
      </c>
      <c r="N124" s="12">
        <f t="shared" si="34"/>
        <v>2.145944833264718E-2</v>
      </c>
      <c r="O124" s="14">
        <f>Dados[[#This Row],[Vol. Padrão]]/Dados[[#This Row],[Horas Disp.]]</f>
        <v>55</v>
      </c>
      <c r="P124" s="32" cm="1">
        <f t="array" ref="P124">SUM(Dados[[#This Row],[Vol. Líquido]:[V. Refugo]]/Dados[[#This Row],[H. Ativas]])</f>
        <v>53.605517241379317</v>
      </c>
      <c r="Q124" s="12">
        <f>Dados[[#This Row],[H. Ativas]]/Dados[[#This Row],[Horas Disp.]]</f>
        <v>0.90625</v>
      </c>
      <c r="R124" s="12">
        <f>Dados[[#This Row],[Vol. Bruto]]/Dados[[#This Row],[Vol. Padrão]]</f>
        <v>0.88327272727272721</v>
      </c>
      <c r="S124" s="12">
        <f>Dados[[#This Row],[Disponibilidade]]*Dados[[#This Row],[Desempenho]]*Dados[[#This Row],[Qualidade]]</f>
        <v>0.7832883522727272</v>
      </c>
      <c r="T124" s="14">
        <f>YEAR(Dados[[#This Row],[Período]])</f>
        <v>2018</v>
      </c>
      <c r="U124" s="14">
        <f>MONTH(Dados[[#This Row],[Período]])</f>
        <v>10</v>
      </c>
    </row>
    <row r="125" spans="1:21" x14ac:dyDescent="0.25">
      <c r="A125" s="9">
        <v>43379</v>
      </c>
      <c r="B125" s="4" t="s">
        <v>27</v>
      </c>
      <c r="C125" s="5" t="s">
        <v>20</v>
      </c>
      <c r="D125" s="10">
        <v>8</v>
      </c>
      <c r="E125" s="10">
        <f t="shared" si="30"/>
        <v>7.67</v>
      </c>
      <c r="F125" s="10">
        <v>0.33</v>
      </c>
      <c r="G125" s="11">
        <v>440</v>
      </c>
      <c r="H125" s="11">
        <v>401.6</v>
      </c>
      <c r="I125" s="11">
        <v>1.89</v>
      </c>
      <c r="J125" s="11">
        <f t="shared" si="31"/>
        <v>403.49</v>
      </c>
      <c r="K125" s="12">
        <f t="shared" si="32"/>
        <v>0.91272727272727283</v>
      </c>
      <c r="L125" s="12">
        <f t="shared" si="35"/>
        <v>0.95199715538698593</v>
      </c>
      <c r="M125" s="12">
        <f t="shared" si="33"/>
        <v>0.99531586904260327</v>
      </c>
      <c r="N125" s="12">
        <f t="shared" si="34"/>
        <v>4.684130957396713E-3</v>
      </c>
      <c r="O125" s="14">
        <f>Dados[[#This Row],[Vol. Padrão]]/Dados[[#This Row],[Horas Disp.]]</f>
        <v>55</v>
      </c>
      <c r="P125" s="32" cm="1">
        <f t="array" ref="P125">SUM(Dados[[#This Row],[Vol. Líquido]:[V. Refugo]]/Dados[[#This Row],[H. Ativas]])</f>
        <v>52.606258148631028</v>
      </c>
      <c r="Q125" s="12">
        <f>Dados[[#This Row],[H. Ativas]]/Dados[[#This Row],[Horas Disp.]]</f>
        <v>0.95874999999999999</v>
      </c>
      <c r="R125" s="12">
        <f>Dados[[#This Row],[Vol. Bruto]]/Dados[[#This Row],[Vol. Padrão]]</f>
        <v>0.91702272727272727</v>
      </c>
      <c r="S125" s="12">
        <f>Dados[[#This Row],[Disponibilidade]]*Dados[[#This Row],[Desempenho]]*Dados[[#This Row],[Qualidade]]</f>
        <v>0.87507727272727265</v>
      </c>
      <c r="T125" s="14">
        <f>YEAR(Dados[[#This Row],[Período]])</f>
        <v>2018</v>
      </c>
      <c r="U125" s="14">
        <f>MONTH(Dados[[#This Row],[Período]])</f>
        <v>10</v>
      </c>
    </row>
    <row r="126" spans="1:21" x14ac:dyDescent="0.25">
      <c r="A126" s="9">
        <v>43380</v>
      </c>
      <c r="B126" s="4" t="s">
        <v>28</v>
      </c>
      <c r="C126" s="5" t="s">
        <v>15</v>
      </c>
      <c r="D126" s="10">
        <v>8</v>
      </c>
      <c r="E126" s="10">
        <f t="shared" si="30"/>
        <v>7.4</v>
      </c>
      <c r="F126" s="10">
        <v>0.6</v>
      </c>
      <c r="G126" s="11">
        <v>440</v>
      </c>
      <c r="H126" s="11">
        <v>425.45</v>
      </c>
      <c r="I126" s="11">
        <v>1.87</v>
      </c>
      <c r="J126" s="11">
        <f t="shared" si="31"/>
        <v>427.32</v>
      </c>
      <c r="K126" s="12">
        <f t="shared" si="32"/>
        <v>0.96693181818181817</v>
      </c>
      <c r="L126" s="12">
        <f t="shared" si="35"/>
        <v>1.0453316953316953</v>
      </c>
      <c r="M126" s="12">
        <f t="shared" si="33"/>
        <v>0.99562388842085559</v>
      </c>
      <c r="N126" s="12">
        <f t="shared" si="34"/>
        <v>4.3761115791444358E-3</v>
      </c>
      <c r="O126" s="14">
        <f>Dados[[#This Row],[Vol. Padrão]]/Dados[[#This Row],[Horas Disp.]]</f>
        <v>55</v>
      </c>
      <c r="P126" s="32" cm="1">
        <f t="array" ref="P126">SUM(Dados[[#This Row],[Vol. Líquido]:[V. Refugo]]/Dados[[#This Row],[H. Ativas]])</f>
        <v>57.745945945945948</v>
      </c>
      <c r="Q126" s="12">
        <f>Dados[[#This Row],[H. Ativas]]/Dados[[#This Row],[Horas Disp.]]</f>
        <v>0.92500000000000004</v>
      </c>
      <c r="R126" s="12">
        <f>Dados[[#This Row],[Vol. Bruto]]/Dados[[#This Row],[Vol. Padrão]]</f>
        <v>0.97118181818181815</v>
      </c>
      <c r="S126" s="12">
        <f>Dados[[#This Row],[Disponibilidade]]*Dados[[#This Row],[Desempenho]]*Dados[[#This Row],[Qualidade]]</f>
        <v>0.8944119318181819</v>
      </c>
      <c r="T126" s="14">
        <f>YEAR(Dados[[#This Row],[Período]])</f>
        <v>2018</v>
      </c>
      <c r="U126" s="14">
        <f>MONTH(Dados[[#This Row],[Período]])</f>
        <v>10</v>
      </c>
    </row>
    <row r="127" spans="1:21" x14ac:dyDescent="0.25">
      <c r="A127" s="9">
        <v>43381</v>
      </c>
      <c r="B127" s="4" t="s">
        <v>29</v>
      </c>
      <c r="C127" s="5" t="s">
        <v>19</v>
      </c>
      <c r="D127" s="10">
        <v>8</v>
      </c>
      <c r="E127" s="10">
        <f t="shared" si="30"/>
        <v>7.67</v>
      </c>
      <c r="F127" s="6">
        <v>0.33</v>
      </c>
      <c r="G127" s="11">
        <v>440</v>
      </c>
      <c r="H127" s="11">
        <v>380.7</v>
      </c>
      <c r="I127" s="11">
        <v>3.3</v>
      </c>
      <c r="J127" s="11">
        <f t="shared" si="31"/>
        <v>384</v>
      </c>
      <c r="K127" s="12">
        <f t="shared" si="32"/>
        <v>0.86522727272727273</v>
      </c>
      <c r="L127" s="12">
        <f t="shared" si="35"/>
        <v>0.90245347872466508</v>
      </c>
      <c r="M127" s="12">
        <f t="shared" si="33"/>
        <v>0.99140624999999993</v>
      </c>
      <c r="N127" s="12">
        <f t="shared" si="34"/>
        <v>8.593749999999999E-3</v>
      </c>
      <c r="O127" s="14">
        <f>Dados[[#This Row],[Vol. Padrão]]/Dados[[#This Row],[Horas Disp.]]</f>
        <v>55</v>
      </c>
      <c r="P127" s="32" cm="1">
        <f t="array" ref="P127">SUM(Dados[[#This Row],[Vol. Líquido]:[V. Refugo]]/Dados[[#This Row],[H. Ativas]])</f>
        <v>50.065189048239894</v>
      </c>
      <c r="Q127" s="12">
        <f>Dados[[#This Row],[H. Ativas]]/Dados[[#This Row],[Horas Disp.]]</f>
        <v>0.95874999999999999</v>
      </c>
      <c r="R127" s="12">
        <f>Dados[[#This Row],[Vol. Bruto]]/Dados[[#This Row],[Vol. Padrão]]</f>
        <v>0.87272727272727268</v>
      </c>
      <c r="S127" s="12">
        <f>Dados[[#This Row],[Disponibilidade]]*Dados[[#This Row],[Desempenho]]*Dados[[#This Row],[Qualidade]]</f>
        <v>0.82953664772727265</v>
      </c>
      <c r="T127" s="14">
        <f>YEAR(Dados[[#This Row],[Período]])</f>
        <v>2018</v>
      </c>
      <c r="U127" s="14">
        <f>MONTH(Dados[[#This Row],[Período]])</f>
        <v>10</v>
      </c>
    </row>
    <row r="128" spans="1:21" x14ac:dyDescent="0.25">
      <c r="A128" s="9">
        <v>43382</v>
      </c>
      <c r="B128" s="4" t="s">
        <v>30</v>
      </c>
      <c r="C128" s="5" t="s">
        <v>18</v>
      </c>
      <c r="D128" s="10">
        <v>8</v>
      </c>
      <c r="E128" s="10">
        <f t="shared" si="30"/>
        <v>7.5</v>
      </c>
      <c r="F128" s="6">
        <v>0.5</v>
      </c>
      <c r="G128" s="11">
        <v>440</v>
      </c>
      <c r="H128" s="11">
        <v>390.8</v>
      </c>
      <c r="I128" s="11">
        <v>4.8899999999999997</v>
      </c>
      <c r="J128" s="11">
        <f t="shared" si="31"/>
        <v>395.69</v>
      </c>
      <c r="K128" s="12">
        <f t="shared" si="32"/>
        <v>0.88818181818181818</v>
      </c>
      <c r="L128" s="12">
        <f t="shared" si="35"/>
        <v>0.94739393939393945</v>
      </c>
      <c r="M128" s="12">
        <f t="shared" si="33"/>
        <v>0.98764184083499718</v>
      </c>
      <c r="N128" s="12">
        <f t="shared" si="34"/>
        <v>1.2358159165002906E-2</v>
      </c>
      <c r="O128" s="14">
        <f>Dados[[#This Row],[Vol. Padrão]]/Dados[[#This Row],[Horas Disp.]]</f>
        <v>55</v>
      </c>
      <c r="P128" s="32" cm="1">
        <f t="array" ref="P128">SUM(Dados[[#This Row],[Vol. Líquido]:[V. Refugo]]/Dados[[#This Row],[H. Ativas]])</f>
        <v>52.75866666666667</v>
      </c>
      <c r="Q128" s="12">
        <f>Dados[[#This Row],[H. Ativas]]/Dados[[#This Row],[Horas Disp.]]</f>
        <v>0.9375</v>
      </c>
      <c r="R128" s="12">
        <f>Dados[[#This Row],[Vol. Bruto]]/Dados[[#This Row],[Vol. Padrão]]</f>
        <v>0.89929545454545456</v>
      </c>
      <c r="S128" s="12">
        <f>Dados[[#This Row],[Disponibilidade]]*Dados[[#This Row],[Desempenho]]*Dados[[#This Row],[Qualidade]]</f>
        <v>0.83267045454545463</v>
      </c>
      <c r="T128" s="14">
        <f>YEAR(Dados[[#This Row],[Período]])</f>
        <v>2018</v>
      </c>
      <c r="U128" s="14">
        <f>MONTH(Dados[[#This Row],[Período]])</f>
        <v>10</v>
      </c>
    </row>
    <row r="129" spans="1:21" x14ac:dyDescent="0.25">
      <c r="A129" s="9">
        <v>43383</v>
      </c>
      <c r="B129" s="4" t="s">
        <v>26</v>
      </c>
      <c r="C129" s="5" t="s">
        <v>21</v>
      </c>
      <c r="D129" s="10">
        <v>8</v>
      </c>
      <c r="E129" s="10">
        <f t="shared" si="30"/>
        <v>7.58</v>
      </c>
      <c r="F129" s="6">
        <v>0.42</v>
      </c>
      <c r="G129" s="11">
        <v>440</v>
      </c>
      <c r="H129" s="11">
        <v>395.6</v>
      </c>
      <c r="I129" s="11">
        <v>5.6</v>
      </c>
      <c r="J129" s="11">
        <f t="shared" si="31"/>
        <v>401.20000000000005</v>
      </c>
      <c r="K129" s="12">
        <f t="shared" si="32"/>
        <v>0.89909090909090916</v>
      </c>
      <c r="L129" s="12">
        <f t="shared" si="35"/>
        <v>0.94890861117774061</v>
      </c>
      <c r="M129" s="12">
        <f t="shared" si="33"/>
        <v>0.9860418743768693</v>
      </c>
      <c r="N129" s="12">
        <f t="shared" si="34"/>
        <v>1.3958125623130606E-2</v>
      </c>
      <c r="O129" s="14">
        <f>Dados[[#This Row],[Vol. Padrão]]/Dados[[#This Row],[Horas Disp.]]</f>
        <v>55</v>
      </c>
      <c r="P129" s="32" cm="1">
        <f t="array" ref="P129">SUM(Dados[[#This Row],[Vol. Líquido]:[V. Refugo]]/Dados[[#This Row],[H. Ativas]])</f>
        <v>52.928759894459105</v>
      </c>
      <c r="Q129" s="12">
        <f>Dados[[#This Row],[H. Ativas]]/Dados[[#This Row],[Horas Disp.]]</f>
        <v>0.94750000000000001</v>
      </c>
      <c r="R129" s="12">
        <f>Dados[[#This Row],[Vol. Bruto]]/Dados[[#This Row],[Vol. Padrão]]</f>
        <v>0.91181818181818197</v>
      </c>
      <c r="S129" s="12">
        <f>Dados[[#This Row],[Disponibilidade]]*Dados[[#This Row],[Desempenho]]*Dados[[#This Row],[Qualidade]]</f>
        <v>0.85188863636363643</v>
      </c>
      <c r="T129" s="14">
        <f>YEAR(Dados[[#This Row],[Período]])</f>
        <v>2018</v>
      </c>
      <c r="U129" s="14">
        <f>MONTH(Dados[[#This Row],[Período]])</f>
        <v>10</v>
      </c>
    </row>
    <row r="130" spans="1:21" x14ac:dyDescent="0.25">
      <c r="A130" s="9">
        <v>43405</v>
      </c>
      <c r="B130" s="4" t="s">
        <v>27</v>
      </c>
      <c r="C130" s="5" t="s">
        <v>17</v>
      </c>
      <c r="D130" s="10">
        <v>8</v>
      </c>
      <c r="E130" s="10">
        <f t="shared" ref="E130:E161" si="36">D130-F130</f>
        <v>7.33</v>
      </c>
      <c r="F130" s="10">
        <v>0.67</v>
      </c>
      <c r="G130" s="11">
        <v>440</v>
      </c>
      <c r="H130" s="11">
        <v>309.79899999999998</v>
      </c>
      <c r="I130" s="11">
        <v>4.5</v>
      </c>
      <c r="J130" s="11">
        <f t="shared" ref="J130:J161" si="37">SUM(H130:I130)</f>
        <v>314.29899999999998</v>
      </c>
      <c r="K130" s="12">
        <f t="shared" ref="K130:K161" si="38">(H130/G130)</f>
        <v>0.70408863636363628</v>
      </c>
      <c r="L130" s="12">
        <f t="shared" si="35"/>
        <v>0.76844598784571494</v>
      </c>
      <c r="M130" s="12">
        <f t="shared" ref="M130:M161" si="39">(H130/J130)</f>
        <v>0.98568242342482792</v>
      </c>
      <c r="N130" s="12">
        <f t="shared" ref="N130:N161" si="40">I130/(H130+I130)</f>
        <v>1.4317576575172051E-2</v>
      </c>
      <c r="O130" s="14">
        <f>Dados[[#This Row],[Vol. Padrão]]/Dados[[#This Row],[Horas Disp.]]</f>
        <v>55</v>
      </c>
      <c r="P130" s="32" cm="1">
        <f t="array" ref="P130">SUM(Dados[[#This Row],[Vol. Líquido]:[V. Refugo]]/Dados[[#This Row],[H. Ativas]])</f>
        <v>42.878444747612541</v>
      </c>
      <c r="Q130" s="12">
        <f>Dados[[#This Row],[H. Ativas]]/Dados[[#This Row],[Horas Disp.]]</f>
        <v>0.91625000000000001</v>
      </c>
      <c r="R130" s="12">
        <f>Dados[[#This Row],[Vol. Bruto]]/Dados[[#This Row],[Vol. Padrão]]</f>
        <v>0.71431590909090903</v>
      </c>
      <c r="S130" s="12">
        <f>Dados[[#This Row],[Disponibilidade]]*Dados[[#This Row],[Desempenho]]*Dados[[#This Row],[Qualidade]]</f>
        <v>0.64512121306818182</v>
      </c>
      <c r="T130" s="14">
        <f>YEAR(Dados[[#This Row],[Período]])</f>
        <v>2018</v>
      </c>
      <c r="U130" s="14">
        <f>MONTH(Dados[[#This Row],[Período]])</f>
        <v>11</v>
      </c>
    </row>
    <row r="131" spans="1:21" x14ac:dyDescent="0.25">
      <c r="A131" s="9">
        <v>43406</v>
      </c>
      <c r="B131" s="4" t="s">
        <v>28</v>
      </c>
      <c r="C131" s="5" t="s">
        <v>13</v>
      </c>
      <c r="D131" s="10">
        <v>8</v>
      </c>
      <c r="E131" s="10">
        <f t="shared" si="36"/>
        <v>7</v>
      </c>
      <c r="F131" s="10">
        <v>1</v>
      </c>
      <c r="G131" s="11">
        <v>440</v>
      </c>
      <c r="H131" s="11">
        <v>350</v>
      </c>
      <c r="I131" s="11">
        <v>3.4</v>
      </c>
      <c r="J131" s="11">
        <f t="shared" si="37"/>
        <v>353.4</v>
      </c>
      <c r="K131" s="12">
        <f t="shared" si="38"/>
        <v>0.79545454545454541</v>
      </c>
      <c r="L131" s="12">
        <f t="shared" si="35"/>
        <v>0.90909090909090906</v>
      </c>
      <c r="M131" s="12">
        <f t="shared" si="39"/>
        <v>0.99037917374080364</v>
      </c>
      <c r="N131" s="12">
        <f t="shared" si="40"/>
        <v>9.6208262591963786E-3</v>
      </c>
      <c r="O131" s="14">
        <f>Dados[[#This Row],[Vol. Padrão]]/Dados[[#This Row],[Horas Disp.]]</f>
        <v>55</v>
      </c>
      <c r="P131" s="32" cm="1">
        <f t="array" ref="P131">SUM(Dados[[#This Row],[Vol. Líquido]:[V. Refugo]]/Dados[[#This Row],[H. Ativas]])</f>
        <v>50.485714285714288</v>
      </c>
      <c r="Q131" s="12">
        <f>Dados[[#This Row],[H. Ativas]]/Dados[[#This Row],[Horas Disp.]]</f>
        <v>0.875</v>
      </c>
      <c r="R131" s="12">
        <f>Dados[[#This Row],[Vol. Bruto]]/Dados[[#This Row],[Vol. Padrão]]</f>
        <v>0.80318181818181811</v>
      </c>
      <c r="S131" s="12">
        <f>Dados[[#This Row],[Disponibilidade]]*Dados[[#This Row],[Desempenho]]*Dados[[#This Row],[Qualidade]]</f>
        <v>0.69602272727272729</v>
      </c>
      <c r="T131" s="14">
        <f>YEAR(Dados[[#This Row],[Período]])</f>
        <v>2018</v>
      </c>
      <c r="U131" s="14">
        <f>MONTH(Dados[[#This Row],[Período]])</f>
        <v>11</v>
      </c>
    </row>
    <row r="132" spans="1:21" x14ac:dyDescent="0.25">
      <c r="A132" s="9">
        <v>43407</v>
      </c>
      <c r="B132" s="4" t="s">
        <v>29</v>
      </c>
      <c r="C132" s="5" t="s">
        <v>14</v>
      </c>
      <c r="D132" s="10">
        <v>8</v>
      </c>
      <c r="E132" s="10">
        <f t="shared" si="36"/>
        <v>7.5</v>
      </c>
      <c r="F132" s="10">
        <v>0.5</v>
      </c>
      <c r="G132" s="11">
        <v>440</v>
      </c>
      <c r="H132" s="11">
        <v>415.34</v>
      </c>
      <c r="I132" s="11">
        <v>8.9</v>
      </c>
      <c r="J132" s="11">
        <f t="shared" si="37"/>
        <v>424.23999999999995</v>
      </c>
      <c r="K132" s="12">
        <f t="shared" si="38"/>
        <v>0.94395454545454538</v>
      </c>
      <c r="L132" s="12">
        <f t="shared" si="35"/>
        <v>1.0068848484848485</v>
      </c>
      <c r="M132" s="12">
        <f t="shared" si="39"/>
        <v>0.97902130869319259</v>
      </c>
      <c r="N132" s="12">
        <f t="shared" si="40"/>
        <v>2.0978691306807469E-2</v>
      </c>
      <c r="O132" s="14">
        <f>Dados[[#This Row],[Vol. Padrão]]/Dados[[#This Row],[Horas Disp.]]</f>
        <v>55</v>
      </c>
      <c r="P132" s="32" cm="1">
        <f t="array" ref="P132">SUM(Dados[[#This Row],[Vol. Líquido]:[V. Refugo]]/Dados[[#This Row],[H. Ativas]])</f>
        <v>56.565333333333328</v>
      </c>
      <c r="Q132" s="12">
        <f>Dados[[#This Row],[H. Ativas]]/Dados[[#This Row],[Horas Disp.]]</f>
        <v>0.9375</v>
      </c>
      <c r="R132" s="12">
        <f>Dados[[#This Row],[Vol. Bruto]]/Dados[[#This Row],[Vol. Padrão]]</f>
        <v>0.96418181818181803</v>
      </c>
      <c r="S132" s="12">
        <f>Dados[[#This Row],[Disponibilidade]]*Dados[[#This Row],[Desempenho]]*Dados[[#This Row],[Qualidade]]</f>
        <v>0.8849573863636363</v>
      </c>
      <c r="T132" s="14">
        <f>YEAR(Dados[[#This Row],[Período]])</f>
        <v>2018</v>
      </c>
      <c r="U132" s="14">
        <f>MONTH(Dados[[#This Row],[Período]])</f>
        <v>11</v>
      </c>
    </row>
    <row r="133" spans="1:21" x14ac:dyDescent="0.25">
      <c r="A133" s="9">
        <v>43408</v>
      </c>
      <c r="B133" s="4" t="s">
        <v>30</v>
      </c>
      <c r="C133" s="5" t="s">
        <v>16</v>
      </c>
      <c r="D133" s="10">
        <v>8</v>
      </c>
      <c r="E133" s="10">
        <f t="shared" si="36"/>
        <v>7.17</v>
      </c>
      <c r="F133" s="10">
        <v>0.83</v>
      </c>
      <c r="G133" s="11">
        <v>440</v>
      </c>
      <c r="H133" s="11">
        <v>278.85000000000002</v>
      </c>
      <c r="I133" s="11">
        <v>45.7</v>
      </c>
      <c r="J133" s="11">
        <f t="shared" si="37"/>
        <v>324.55</v>
      </c>
      <c r="K133" s="12">
        <f t="shared" si="38"/>
        <v>0.63375000000000004</v>
      </c>
      <c r="L133" s="12">
        <f t="shared" si="35"/>
        <v>0.70711297071129708</v>
      </c>
      <c r="M133" s="12">
        <f t="shared" si="39"/>
        <v>0.85918964720382074</v>
      </c>
      <c r="N133" s="12">
        <f t="shared" si="40"/>
        <v>0.14081035279617932</v>
      </c>
      <c r="O133" s="14">
        <f>Dados[[#This Row],[Vol. Padrão]]/Dados[[#This Row],[Horas Disp.]]</f>
        <v>55</v>
      </c>
      <c r="P133" s="32" cm="1">
        <f t="array" ref="P133">SUM(Dados[[#This Row],[Vol. Líquido]:[V. Refugo]]/Dados[[#This Row],[H. Ativas]])</f>
        <v>45.264993026499305</v>
      </c>
      <c r="Q133" s="12">
        <f>Dados[[#This Row],[H. Ativas]]/Dados[[#This Row],[Horas Disp.]]</f>
        <v>0.89624999999999999</v>
      </c>
      <c r="R133" s="12">
        <f>Dados[[#This Row],[Vol. Bruto]]/Dados[[#This Row],[Vol. Padrão]]</f>
        <v>0.73761363636363642</v>
      </c>
      <c r="S133" s="12">
        <f>Dados[[#This Row],[Disponibilidade]]*Dados[[#This Row],[Desempenho]]*Dados[[#This Row],[Qualidade]]</f>
        <v>0.56799843750000012</v>
      </c>
      <c r="T133" s="14">
        <f>YEAR(Dados[[#This Row],[Período]])</f>
        <v>2018</v>
      </c>
      <c r="U133" s="14">
        <f>MONTH(Dados[[#This Row],[Período]])</f>
        <v>11</v>
      </c>
    </row>
    <row r="134" spans="1:21" x14ac:dyDescent="0.25">
      <c r="A134" s="9">
        <v>43409</v>
      </c>
      <c r="B134" s="4" t="s">
        <v>26</v>
      </c>
      <c r="C134" s="5" t="s">
        <v>22</v>
      </c>
      <c r="D134" s="10">
        <v>8</v>
      </c>
      <c r="E134" s="10">
        <f t="shared" si="36"/>
        <v>7.08</v>
      </c>
      <c r="F134" s="10">
        <v>0.92</v>
      </c>
      <c r="G134" s="11">
        <v>440</v>
      </c>
      <c r="H134" s="11">
        <v>347.89</v>
      </c>
      <c r="I134" s="11">
        <v>12.44</v>
      </c>
      <c r="J134" s="11">
        <f t="shared" si="37"/>
        <v>360.33</v>
      </c>
      <c r="K134" s="12">
        <f t="shared" si="38"/>
        <v>0.79065909090909092</v>
      </c>
      <c r="L134" s="12">
        <f t="shared" si="35"/>
        <v>0.89340010272213666</v>
      </c>
      <c r="M134" s="12">
        <f t="shared" si="39"/>
        <v>0.96547609136069712</v>
      </c>
      <c r="N134" s="12">
        <f t="shared" si="40"/>
        <v>3.452390863930286E-2</v>
      </c>
      <c r="O134" s="14">
        <f>Dados[[#This Row],[Vol. Padrão]]/Dados[[#This Row],[Horas Disp.]]</f>
        <v>55</v>
      </c>
      <c r="P134" s="32" cm="1">
        <f t="array" ref="P134">SUM(Dados[[#This Row],[Vol. Líquido]:[V. Refugo]]/Dados[[#This Row],[H. Ativas]])</f>
        <v>50.894067796610166</v>
      </c>
      <c r="Q134" s="12">
        <f>Dados[[#This Row],[H. Ativas]]/Dados[[#This Row],[Horas Disp.]]</f>
        <v>0.88500000000000001</v>
      </c>
      <c r="R134" s="12">
        <f>Dados[[#This Row],[Vol. Bruto]]/Dados[[#This Row],[Vol. Padrão]]</f>
        <v>0.81893181818181815</v>
      </c>
      <c r="S134" s="12">
        <f>Dados[[#This Row],[Disponibilidade]]*Dados[[#This Row],[Desempenho]]*Dados[[#This Row],[Qualidade]]</f>
        <v>0.69973329545454543</v>
      </c>
      <c r="T134" s="14">
        <f>YEAR(Dados[[#This Row],[Período]])</f>
        <v>2018</v>
      </c>
      <c r="U134" s="14">
        <f>MONTH(Dados[[#This Row],[Período]])</f>
        <v>11</v>
      </c>
    </row>
    <row r="135" spans="1:21" x14ac:dyDescent="0.25">
      <c r="A135" s="9">
        <v>43410</v>
      </c>
      <c r="B135" s="4" t="s">
        <v>27</v>
      </c>
      <c r="C135" s="5" t="s">
        <v>20</v>
      </c>
      <c r="D135" s="10">
        <v>8</v>
      </c>
      <c r="E135" s="10">
        <f t="shared" si="36"/>
        <v>7.58</v>
      </c>
      <c r="F135" s="10">
        <v>0.42</v>
      </c>
      <c r="G135" s="11">
        <v>440</v>
      </c>
      <c r="H135" s="11">
        <v>380.09800000000001</v>
      </c>
      <c r="I135" s="11">
        <v>5.7679999999999998</v>
      </c>
      <c r="J135" s="11">
        <f t="shared" si="37"/>
        <v>385.86599999999999</v>
      </c>
      <c r="K135" s="12">
        <f t="shared" si="38"/>
        <v>0.86385909090909097</v>
      </c>
      <c r="L135" s="12">
        <f t="shared" si="35"/>
        <v>0.9117246342048454</v>
      </c>
      <c r="M135" s="12">
        <f t="shared" si="39"/>
        <v>0.98505180554907668</v>
      </c>
      <c r="N135" s="12">
        <f t="shared" si="40"/>
        <v>1.4948194450923378E-2</v>
      </c>
      <c r="O135" s="14">
        <f>Dados[[#This Row],[Vol. Padrão]]/Dados[[#This Row],[Horas Disp.]]</f>
        <v>55</v>
      </c>
      <c r="P135" s="32" cm="1">
        <f t="array" ref="P135">SUM(Dados[[#This Row],[Vol. Líquido]:[V. Refugo]]/Dados[[#This Row],[H. Ativas]])</f>
        <v>50.905804749340369</v>
      </c>
      <c r="Q135" s="12">
        <f>Dados[[#This Row],[H. Ativas]]/Dados[[#This Row],[Horas Disp.]]</f>
        <v>0.94750000000000001</v>
      </c>
      <c r="R135" s="12">
        <f>Dados[[#This Row],[Vol. Bruto]]/Dados[[#This Row],[Vol. Padrão]]</f>
        <v>0.87696818181818181</v>
      </c>
      <c r="S135" s="12">
        <f>Dados[[#This Row],[Disponibilidade]]*Dados[[#This Row],[Desempenho]]*Dados[[#This Row],[Qualidade]]</f>
        <v>0.81850648863636366</v>
      </c>
      <c r="T135" s="14">
        <f>YEAR(Dados[[#This Row],[Período]])</f>
        <v>2018</v>
      </c>
      <c r="U135" s="14">
        <f>MONTH(Dados[[#This Row],[Período]])</f>
        <v>11</v>
      </c>
    </row>
    <row r="136" spans="1:21" x14ac:dyDescent="0.25">
      <c r="A136" s="9">
        <v>43411</v>
      </c>
      <c r="B136" s="4" t="s">
        <v>28</v>
      </c>
      <c r="C136" s="5" t="s">
        <v>15</v>
      </c>
      <c r="D136" s="10">
        <v>8</v>
      </c>
      <c r="E136" s="10">
        <f t="shared" si="36"/>
        <v>6.5</v>
      </c>
      <c r="F136" s="10">
        <v>1.5</v>
      </c>
      <c r="G136" s="11">
        <v>440</v>
      </c>
      <c r="H136" s="11">
        <v>277.39999999999998</v>
      </c>
      <c r="I136" s="11">
        <v>12.3</v>
      </c>
      <c r="J136" s="11">
        <f t="shared" si="37"/>
        <v>289.7</v>
      </c>
      <c r="K136" s="12">
        <f t="shared" si="38"/>
        <v>0.63045454545454538</v>
      </c>
      <c r="L136" s="12">
        <f t="shared" si="35"/>
        <v>0.77594405594405591</v>
      </c>
      <c r="M136" s="12">
        <f t="shared" si="39"/>
        <v>0.95754228512254047</v>
      </c>
      <c r="N136" s="12">
        <f t="shared" si="40"/>
        <v>4.2457714877459446E-2</v>
      </c>
      <c r="O136" s="14">
        <f>Dados[[#This Row],[Vol. Padrão]]/Dados[[#This Row],[Horas Disp.]]</f>
        <v>55</v>
      </c>
      <c r="P136" s="32" cm="1">
        <f t="array" ref="P136">SUM(Dados[[#This Row],[Vol. Líquido]:[V. Refugo]]/Dados[[#This Row],[H. Ativas]])</f>
        <v>44.569230769230764</v>
      </c>
      <c r="Q136" s="12">
        <f>Dados[[#This Row],[H. Ativas]]/Dados[[#This Row],[Horas Disp.]]</f>
        <v>0.8125</v>
      </c>
      <c r="R136" s="12">
        <f>Dados[[#This Row],[Vol. Bruto]]/Dados[[#This Row],[Vol. Padrão]]</f>
        <v>0.65840909090909083</v>
      </c>
      <c r="S136" s="12">
        <f>Dados[[#This Row],[Disponibilidade]]*Dados[[#This Row],[Desempenho]]*Dados[[#This Row],[Qualidade]]</f>
        <v>0.51224431818181815</v>
      </c>
      <c r="T136" s="14">
        <f>YEAR(Dados[[#This Row],[Período]])</f>
        <v>2018</v>
      </c>
      <c r="U136" s="14">
        <f>MONTH(Dados[[#This Row],[Período]])</f>
        <v>11</v>
      </c>
    </row>
    <row r="137" spans="1:21" x14ac:dyDescent="0.25">
      <c r="A137" s="9">
        <v>43412</v>
      </c>
      <c r="B137" s="4" t="s">
        <v>29</v>
      </c>
      <c r="C137" s="5" t="s">
        <v>19</v>
      </c>
      <c r="D137" s="10">
        <v>8</v>
      </c>
      <c r="E137" s="10">
        <f t="shared" si="36"/>
        <v>7.25</v>
      </c>
      <c r="F137" s="10">
        <v>0.75</v>
      </c>
      <c r="G137" s="11">
        <v>440</v>
      </c>
      <c r="H137" s="11">
        <v>369.87</v>
      </c>
      <c r="I137" s="11">
        <v>7.9</v>
      </c>
      <c r="J137" s="11">
        <f t="shared" si="37"/>
        <v>377.77</v>
      </c>
      <c r="K137" s="12">
        <f t="shared" si="38"/>
        <v>0.8406136363636364</v>
      </c>
      <c r="L137" s="12">
        <f t="shared" si="35"/>
        <v>0.92757366771159877</v>
      </c>
      <c r="M137" s="12">
        <f t="shared" si="39"/>
        <v>0.97908780474892132</v>
      </c>
      <c r="N137" s="12">
        <f t="shared" si="40"/>
        <v>2.0912195251078701E-2</v>
      </c>
      <c r="O137" s="14">
        <f>Dados[[#This Row],[Vol. Padrão]]/Dados[[#This Row],[Horas Disp.]]</f>
        <v>55</v>
      </c>
      <c r="P137" s="32" cm="1">
        <f t="array" ref="P137">SUM(Dados[[#This Row],[Vol. Líquido]:[V. Refugo]]/Dados[[#This Row],[H. Ativas]])</f>
        <v>52.106206896551726</v>
      </c>
      <c r="Q137" s="12">
        <f>Dados[[#This Row],[H. Ativas]]/Dados[[#This Row],[Horas Disp.]]</f>
        <v>0.90625</v>
      </c>
      <c r="R137" s="12">
        <f>Dados[[#This Row],[Vol. Bruto]]/Dados[[#This Row],[Vol. Padrão]]</f>
        <v>0.85856818181818173</v>
      </c>
      <c r="S137" s="12">
        <f>Dados[[#This Row],[Disponibilidade]]*Dados[[#This Row],[Desempenho]]*Dados[[#This Row],[Qualidade]]</f>
        <v>0.7618061079545454</v>
      </c>
      <c r="T137" s="14">
        <f>YEAR(Dados[[#This Row],[Período]])</f>
        <v>2018</v>
      </c>
      <c r="U137" s="14">
        <f>MONTH(Dados[[#This Row],[Período]])</f>
        <v>11</v>
      </c>
    </row>
    <row r="138" spans="1:21" x14ac:dyDescent="0.25">
      <c r="A138" s="9">
        <v>43413</v>
      </c>
      <c r="B138" s="4" t="s">
        <v>30</v>
      </c>
      <c r="C138" s="5" t="s">
        <v>18</v>
      </c>
      <c r="D138" s="10">
        <v>8</v>
      </c>
      <c r="E138" s="10">
        <f t="shared" si="36"/>
        <v>5.5</v>
      </c>
      <c r="F138" s="10">
        <v>2.5</v>
      </c>
      <c r="G138" s="11">
        <v>440</v>
      </c>
      <c r="H138" s="11">
        <v>232.4</v>
      </c>
      <c r="I138" s="11">
        <v>6.7649999999999997</v>
      </c>
      <c r="J138" s="11">
        <f t="shared" si="37"/>
        <v>239.16499999999999</v>
      </c>
      <c r="K138" s="12">
        <f t="shared" si="38"/>
        <v>0.5281818181818182</v>
      </c>
      <c r="L138" s="12">
        <f t="shared" si="35"/>
        <v>0.76826446280991734</v>
      </c>
      <c r="M138" s="12">
        <f t="shared" si="39"/>
        <v>0.97171408859992059</v>
      </c>
      <c r="N138" s="12">
        <f t="shared" si="40"/>
        <v>2.8285911400079442E-2</v>
      </c>
      <c r="O138" s="14">
        <f>Dados[[#This Row],[Vol. Padrão]]/Dados[[#This Row],[Horas Disp.]]</f>
        <v>55</v>
      </c>
      <c r="P138" s="32" cm="1">
        <f t="array" ref="P138">SUM(Dados[[#This Row],[Vol. Líquido]:[V. Refugo]]/Dados[[#This Row],[H. Ativas]])</f>
        <v>43.484545454545454</v>
      </c>
      <c r="Q138" s="12">
        <f>Dados[[#This Row],[H. Ativas]]/Dados[[#This Row],[Horas Disp.]]</f>
        <v>0.6875</v>
      </c>
      <c r="R138" s="12">
        <f>Dados[[#This Row],[Vol. Bruto]]/Dados[[#This Row],[Vol. Padrão]]</f>
        <v>0.54355681818181811</v>
      </c>
      <c r="S138" s="12">
        <f>Dados[[#This Row],[Disponibilidade]]*Dados[[#This Row],[Desempenho]]*Dados[[#This Row],[Qualidade]]</f>
        <v>0.36312499999999992</v>
      </c>
      <c r="T138" s="14">
        <f>YEAR(Dados[[#This Row],[Período]])</f>
        <v>2018</v>
      </c>
      <c r="U138" s="14">
        <f>MONTH(Dados[[#This Row],[Período]])</f>
        <v>11</v>
      </c>
    </row>
    <row r="139" spans="1:21" x14ac:dyDescent="0.25">
      <c r="A139" s="9">
        <v>43414</v>
      </c>
      <c r="B139" s="4" t="s">
        <v>26</v>
      </c>
      <c r="C139" s="5" t="s">
        <v>21</v>
      </c>
      <c r="D139" s="10">
        <v>8</v>
      </c>
      <c r="E139" s="10">
        <f t="shared" si="36"/>
        <v>7.8</v>
      </c>
      <c r="F139" s="10">
        <v>0.2</v>
      </c>
      <c r="G139" s="11">
        <v>440</v>
      </c>
      <c r="H139" s="11">
        <v>389.78</v>
      </c>
      <c r="I139" s="11">
        <v>8.7889999999999997</v>
      </c>
      <c r="J139" s="11">
        <f t="shared" si="37"/>
        <v>398.56899999999996</v>
      </c>
      <c r="K139" s="12">
        <f t="shared" si="38"/>
        <v>0.8858636363636363</v>
      </c>
      <c r="L139" s="12">
        <f t="shared" si="35"/>
        <v>0.90857808857808853</v>
      </c>
      <c r="M139" s="12">
        <f t="shared" si="39"/>
        <v>0.97794861115641207</v>
      </c>
      <c r="N139" s="12">
        <f t="shared" si="40"/>
        <v>2.2051388843587937E-2</v>
      </c>
      <c r="O139" s="14">
        <f>Dados[[#This Row],[Vol. Padrão]]/Dados[[#This Row],[Horas Disp.]]</f>
        <v>55</v>
      </c>
      <c r="P139" s="32" cm="1">
        <f t="array" ref="P139">SUM(Dados[[#This Row],[Vol. Líquido]:[V. Refugo]]/Dados[[#This Row],[H. Ativas]])</f>
        <v>51.098589743589741</v>
      </c>
      <c r="Q139" s="12">
        <f>Dados[[#This Row],[H. Ativas]]/Dados[[#This Row],[Horas Disp.]]</f>
        <v>0.97499999999999998</v>
      </c>
      <c r="R139" s="12">
        <f>Dados[[#This Row],[Vol. Bruto]]/Dados[[#This Row],[Vol. Padrão]]</f>
        <v>0.90583863636363626</v>
      </c>
      <c r="S139" s="12">
        <f>Dados[[#This Row],[Disponibilidade]]*Dados[[#This Row],[Desempenho]]*Dados[[#This Row],[Qualidade]]</f>
        <v>0.86371704545454531</v>
      </c>
      <c r="T139" s="14">
        <f>YEAR(Dados[[#This Row],[Período]])</f>
        <v>2018</v>
      </c>
      <c r="U139" s="14">
        <f>MONTH(Dados[[#This Row],[Período]])</f>
        <v>11</v>
      </c>
    </row>
    <row r="140" spans="1:21" x14ac:dyDescent="0.25">
      <c r="A140" s="9">
        <v>43415</v>
      </c>
      <c r="B140" s="4" t="s">
        <v>29</v>
      </c>
      <c r="C140" s="5" t="s">
        <v>14</v>
      </c>
      <c r="D140" s="10">
        <v>8</v>
      </c>
      <c r="E140" s="10">
        <f t="shared" si="36"/>
        <v>7.64</v>
      </c>
      <c r="F140" s="10">
        <v>0.36</v>
      </c>
      <c r="G140" s="11">
        <v>440</v>
      </c>
      <c r="H140" s="11">
        <v>270.45</v>
      </c>
      <c r="I140" s="11">
        <v>17.34</v>
      </c>
      <c r="J140" s="11">
        <f t="shared" si="37"/>
        <v>287.78999999999996</v>
      </c>
      <c r="K140" s="12">
        <f t="shared" si="38"/>
        <v>0.61465909090909088</v>
      </c>
      <c r="L140" s="12">
        <f t="shared" si="35"/>
        <v>0.64362208472156113</v>
      </c>
      <c r="M140" s="12">
        <f t="shared" si="39"/>
        <v>0.93974773272177636</v>
      </c>
      <c r="N140" s="12">
        <f t="shared" si="40"/>
        <v>6.0252267278223713E-2</v>
      </c>
      <c r="O140" s="14">
        <f>Dados[[#This Row],[Vol. Padrão]]/Dados[[#This Row],[Horas Disp.]]</f>
        <v>55</v>
      </c>
      <c r="P140" s="32" cm="1">
        <f t="array" ref="P140">SUM(Dados[[#This Row],[Vol. Líquido]:[V. Refugo]]/Dados[[#This Row],[H. Ativas]])</f>
        <v>37.668848167539267</v>
      </c>
      <c r="Q140" s="12">
        <f>Dados[[#This Row],[H. Ativas]]/Dados[[#This Row],[Horas Disp.]]</f>
        <v>0.95499999999999996</v>
      </c>
      <c r="R140" s="12">
        <f>Dados[[#This Row],[Vol. Bruto]]/Dados[[#This Row],[Vol. Padrão]]</f>
        <v>0.65406818181818172</v>
      </c>
      <c r="S140" s="12">
        <f>Dados[[#This Row],[Disponibilidade]]*Dados[[#This Row],[Desempenho]]*Dados[[#This Row],[Qualidade]]</f>
        <v>0.58699943181818171</v>
      </c>
      <c r="T140" s="14">
        <f>YEAR(Dados[[#This Row],[Período]])</f>
        <v>2018</v>
      </c>
      <c r="U140" s="14">
        <f>MONTH(Dados[[#This Row],[Período]])</f>
        <v>11</v>
      </c>
    </row>
    <row r="141" spans="1:21" x14ac:dyDescent="0.25">
      <c r="A141" s="9">
        <v>43416</v>
      </c>
      <c r="B141" s="4" t="s">
        <v>30</v>
      </c>
      <c r="C141" s="5" t="s">
        <v>16</v>
      </c>
      <c r="D141" s="10">
        <v>8</v>
      </c>
      <c r="E141" s="10">
        <f t="shared" si="36"/>
        <v>7.45</v>
      </c>
      <c r="F141" s="10">
        <v>0.55000000000000004</v>
      </c>
      <c r="G141" s="11">
        <v>440</v>
      </c>
      <c r="H141" s="11">
        <v>299.3</v>
      </c>
      <c r="I141" s="11">
        <v>3.6539999999999999</v>
      </c>
      <c r="J141" s="11">
        <f t="shared" si="37"/>
        <v>302.95400000000001</v>
      </c>
      <c r="K141" s="12">
        <f t="shared" si="38"/>
        <v>0.68022727272727279</v>
      </c>
      <c r="L141" s="12">
        <f t="shared" si="35"/>
        <v>0.73044539353264193</v>
      </c>
      <c r="M141" s="12">
        <f t="shared" si="39"/>
        <v>0.98793876298051853</v>
      </c>
      <c r="N141" s="12">
        <f t="shared" si="40"/>
        <v>1.2061237019481506E-2</v>
      </c>
      <c r="O141" s="14">
        <f>Dados[[#This Row],[Vol. Padrão]]/Dados[[#This Row],[Horas Disp.]]</f>
        <v>55</v>
      </c>
      <c r="P141" s="32" cm="1">
        <f t="array" ref="P141">SUM(Dados[[#This Row],[Vol. Líquido]:[V. Refugo]]/Dados[[#This Row],[H. Ativas]])</f>
        <v>40.664966442953023</v>
      </c>
      <c r="Q141" s="12">
        <f>Dados[[#This Row],[H. Ativas]]/Dados[[#This Row],[Horas Disp.]]</f>
        <v>0.93125000000000002</v>
      </c>
      <c r="R141" s="12">
        <f>Dados[[#This Row],[Vol. Bruto]]/Dados[[#This Row],[Vol. Padrão]]</f>
        <v>0.68853181818181819</v>
      </c>
      <c r="S141" s="12">
        <f>Dados[[#This Row],[Disponibilidade]]*Dados[[#This Row],[Desempenho]]*Dados[[#This Row],[Qualidade]]</f>
        <v>0.63346164772727276</v>
      </c>
      <c r="T141" s="14">
        <f>YEAR(Dados[[#This Row],[Período]])</f>
        <v>2018</v>
      </c>
      <c r="U141" s="14">
        <f>MONTH(Dados[[#This Row],[Período]])</f>
        <v>11</v>
      </c>
    </row>
    <row r="142" spans="1:21" x14ac:dyDescent="0.25">
      <c r="A142" s="9">
        <v>43417</v>
      </c>
      <c r="B142" s="4" t="s">
        <v>26</v>
      </c>
      <c r="C142" s="5" t="s">
        <v>21</v>
      </c>
      <c r="D142" s="10">
        <v>8</v>
      </c>
      <c r="E142" s="10">
        <f t="shared" si="36"/>
        <v>7.4</v>
      </c>
      <c r="F142" s="10">
        <v>0.6</v>
      </c>
      <c r="G142" s="11">
        <v>440</v>
      </c>
      <c r="H142" s="11">
        <v>404.65</v>
      </c>
      <c r="I142" s="11">
        <v>2.347</v>
      </c>
      <c r="J142" s="11">
        <f t="shared" si="37"/>
        <v>406.99699999999996</v>
      </c>
      <c r="K142" s="12">
        <f t="shared" si="38"/>
        <v>0.91965909090909082</v>
      </c>
      <c r="L142" s="12">
        <f t="shared" si="35"/>
        <v>0.99422604422604421</v>
      </c>
      <c r="M142" s="12">
        <f t="shared" si="39"/>
        <v>0.99423337272756318</v>
      </c>
      <c r="N142" s="12">
        <f t="shared" si="40"/>
        <v>5.7666272724368984E-3</v>
      </c>
      <c r="O142" s="14">
        <f>Dados[[#This Row],[Vol. Padrão]]/Dados[[#This Row],[Horas Disp.]]</f>
        <v>55</v>
      </c>
      <c r="P142" s="32" cm="1">
        <f t="array" ref="P142">SUM(Dados[[#This Row],[Vol. Líquido]:[V. Refugo]]/Dados[[#This Row],[H. Ativas]])</f>
        <v>54.999594594594591</v>
      </c>
      <c r="Q142" s="12">
        <f>Dados[[#This Row],[H. Ativas]]/Dados[[#This Row],[Horas Disp.]]</f>
        <v>0.92500000000000004</v>
      </c>
      <c r="R142" s="12">
        <f>Dados[[#This Row],[Vol. Bruto]]/Dados[[#This Row],[Vol. Padrão]]</f>
        <v>0.92499318181818169</v>
      </c>
      <c r="S142" s="12">
        <f>Dados[[#This Row],[Disponibilidade]]*Dados[[#This Row],[Desempenho]]*Dados[[#This Row],[Qualidade]]</f>
        <v>0.85068465909090907</v>
      </c>
      <c r="T142" s="14">
        <f>YEAR(Dados[[#This Row],[Período]])</f>
        <v>2018</v>
      </c>
      <c r="U142" s="14">
        <f>MONTH(Dados[[#This Row],[Período]])</f>
        <v>11</v>
      </c>
    </row>
    <row r="143" spans="1:21" x14ac:dyDescent="0.25">
      <c r="A143" s="9">
        <v>43418</v>
      </c>
      <c r="B143" s="4" t="s">
        <v>27</v>
      </c>
      <c r="C143" s="5" t="s">
        <v>17</v>
      </c>
      <c r="D143" s="10">
        <v>8</v>
      </c>
      <c r="E143" s="10">
        <f t="shared" si="36"/>
        <v>7.67</v>
      </c>
      <c r="F143" s="10">
        <v>0.33</v>
      </c>
      <c r="G143" s="11">
        <v>440</v>
      </c>
      <c r="H143" s="11">
        <v>369.12</v>
      </c>
      <c r="I143" s="11">
        <v>8.798</v>
      </c>
      <c r="J143" s="11">
        <f t="shared" si="37"/>
        <v>377.91800000000001</v>
      </c>
      <c r="K143" s="12">
        <f t="shared" si="38"/>
        <v>0.83890909090909094</v>
      </c>
      <c r="L143" s="12">
        <f t="shared" si="35"/>
        <v>0.8750029631385563</v>
      </c>
      <c r="M143" s="12">
        <f t="shared" si="39"/>
        <v>0.97671981752655335</v>
      </c>
      <c r="N143" s="12">
        <f t="shared" si="40"/>
        <v>2.3280182473446622E-2</v>
      </c>
      <c r="O143" s="14">
        <f>Dados[[#This Row],[Vol. Padrão]]/Dados[[#This Row],[Horas Disp.]]</f>
        <v>55</v>
      </c>
      <c r="P143" s="32" cm="1">
        <f t="array" ref="P143">SUM(Dados[[#This Row],[Vol. Líquido]:[V. Refugo]]/Dados[[#This Row],[H. Ativas]])</f>
        <v>49.272229465449804</v>
      </c>
      <c r="Q143" s="12">
        <f>Dados[[#This Row],[H. Ativas]]/Dados[[#This Row],[Horas Disp.]]</f>
        <v>0.95874999999999999</v>
      </c>
      <c r="R143" s="12">
        <f>Dados[[#This Row],[Vol. Bruto]]/Dados[[#This Row],[Vol. Padrão]]</f>
        <v>0.85890454545454542</v>
      </c>
      <c r="S143" s="12">
        <f>Dados[[#This Row],[Disponibilidade]]*Dados[[#This Row],[Desempenho]]*Dados[[#This Row],[Qualidade]]</f>
        <v>0.80430409090909083</v>
      </c>
      <c r="T143" s="14">
        <f>YEAR(Dados[[#This Row],[Período]])</f>
        <v>2018</v>
      </c>
      <c r="U143" s="14">
        <f>MONTH(Dados[[#This Row],[Período]])</f>
        <v>11</v>
      </c>
    </row>
    <row r="144" spans="1:21" x14ac:dyDescent="0.25">
      <c r="A144" s="9">
        <v>43419</v>
      </c>
      <c r="B144" s="4" t="s">
        <v>28</v>
      </c>
      <c r="C144" s="5" t="s">
        <v>13</v>
      </c>
      <c r="D144" s="10">
        <v>8</v>
      </c>
      <c r="E144" s="10">
        <f t="shared" si="36"/>
        <v>6.95</v>
      </c>
      <c r="F144" s="10">
        <v>1.05</v>
      </c>
      <c r="G144" s="11">
        <v>440</v>
      </c>
      <c r="H144" s="11">
        <v>370.34500000000003</v>
      </c>
      <c r="I144" s="11">
        <v>7.8</v>
      </c>
      <c r="J144" s="11">
        <f t="shared" si="37"/>
        <v>378.14500000000004</v>
      </c>
      <c r="K144" s="12">
        <f t="shared" si="38"/>
        <v>0.84169318181818187</v>
      </c>
      <c r="L144" s="12">
        <f t="shared" si="35"/>
        <v>0.96885546108567699</v>
      </c>
      <c r="M144" s="12">
        <f t="shared" si="39"/>
        <v>0.97937299184175375</v>
      </c>
      <c r="N144" s="12">
        <f t="shared" si="40"/>
        <v>2.0627008158246172E-2</v>
      </c>
      <c r="O144" s="14">
        <f>Dados[[#This Row],[Vol. Padrão]]/Dados[[#This Row],[Horas Disp.]]</f>
        <v>55</v>
      </c>
      <c r="P144" s="32" cm="1">
        <f t="array" ref="P144">SUM(Dados[[#This Row],[Vol. Líquido]:[V. Refugo]]/Dados[[#This Row],[H. Ativas]])</f>
        <v>54.40935251798561</v>
      </c>
      <c r="Q144" s="12">
        <f>Dados[[#This Row],[H. Ativas]]/Dados[[#This Row],[Horas Disp.]]</f>
        <v>0.86875000000000002</v>
      </c>
      <c r="R144" s="12">
        <f>Dados[[#This Row],[Vol. Bruto]]/Dados[[#This Row],[Vol. Padrão]]</f>
        <v>0.85942045454545468</v>
      </c>
      <c r="S144" s="12">
        <f>Dados[[#This Row],[Disponibilidade]]*Dados[[#This Row],[Desempenho]]*Dados[[#This Row],[Qualidade]]</f>
        <v>0.7312209517045456</v>
      </c>
      <c r="T144" s="14">
        <f>YEAR(Dados[[#This Row],[Período]])</f>
        <v>2018</v>
      </c>
      <c r="U144" s="14">
        <f>MONTH(Dados[[#This Row],[Período]])</f>
        <v>11</v>
      </c>
    </row>
    <row r="145" spans="1:21" x14ac:dyDescent="0.25">
      <c r="A145" s="9">
        <v>43420</v>
      </c>
      <c r="B145" s="4" t="s">
        <v>29</v>
      </c>
      <c r="C145" s="5" t="s">
        <v>19</v>
      </c>
      <c r="D145" s="10">
        <v>8</v>
      </c>
      <c r="E145" s="10">
        <f t="shared" si="36"/>
        <v>7.33</v>
      </c>
      <c r="F145" s="10">
        <v>0.67</v>
      </c>
      <c r="G145" s="11">
        <v>440</v>
      </c>
      <c r="H145" s="11">
        <v>323.5</v>
      </c>
      <c r="I145" s="11">
        <v>34.122999999999998</v>
      </c>
      <c r="J145" s="11">
        <f t="shared" si="37"/>
        <v>357.62299999999999</v>
      </c>
      <c r="K145" s="12">
        <f t="shared" si="38"/>
        <v>0.73522727272727273</v>
      </c>
      <c r="L145" s="12">
        <f t="shared" si="35"/>
        <v>0.80243085700111627</v>
      </c>
      <c r="M145" s="12">
        <f t="shared" si="39"/>
        <v>0.90458387743517621</v>
      </c>
      <c r="N145" s="12">
        <f t="shared" si="40"/>
        <v>9.5416122564823846E-2</v>
      </c>
      <c r="O145" s="14">
        <f>Dados[[#This Row],[Vol. Padrão]]/Dados[[#This Row],[Horas Disp.]]</f>
        <v>55</v>
      </c>
      <c r="P145" s="32" cm="1">
        <f t="array" ref="P145">SUM(Dados[[#This Row],[Vol. Líquido]:[V. Refugo]]/Dados[[#This Row],[H. Ativas]])</f>
        <v>48.788949522510229</v>
      </c>
      <c r="Q145" s="12">
        <f>Dados[[#This Row],[H. Ativas]]/Dados[[#This Row],[Horas Disp.]]</f>
        <v>0.91625000000000001</v>
      </c>
      <c r="R145" s="12">
        <f>Dados[[#This Row],[Vol. Bruto]]/Dados[[#This Row],[Vol. Padrão]]</f>
        <v>0.81277954545454545</v>
      </c>
      <c r="S145" s="12">
        <f>Dados[[#This Row],[Disponibilidade]]*Dados[[#This Row],[Desempenho]]*Dados[[#This Row],[Qualidade]]</f>
        <v>0.67365198863636366</v>
      </c>
      <c r="T145" s="14">
        <f>YEAR(Dados[[#This Row],[Período]])</f>
        <v>2018</v>
      </c>
      <c r="U145" s="14">
        <f>MONTH(Dados[[#This Row],[Período]])</f>
        <v>11</v>
      </c>
    </row>
    <row r="146" spans="1:21" x14ac:dyDescent="0.25">
      <c r="A146" s="9">
        <v>43421</v>
      </c>
      <c r="B146" s="4" t="s">
        <v>30</v>
      </c>
      <c r="C146" s="5" t="s">
        <v>18</v>
      </c>
      <c r="D146" s="10">
        <v>8</v>
      </c>
      <c r="E146" s="10">
        <f t="shared" si="36"/>
        <v>7.08</v>
      </c>
      <c r="F146" s="10">
        <v>0.92</v>
      </c>
      <c r="G146" s="11">
        <v>440</v>
      </c>
      <c r="H146" s="11">
        <v>390.47</v>
      </c>
      <c r="I146" s="11">
        <v>10.89</v>
      </c>
      <c r="J146" s="11">
        <f t="shared" si="37"/>
        <v>401.36</v>
      </c>
      <c r="K146" s="12">
        <f t="shared" si="38"/>
        <v>0.88743181818181827</v>
      </c>
      <c r="L146" s="12">
        <f t="shared" si="35"/>
        <v>1.0027478171545969</v>
      </c>
      <c r="M146" s="12">
        <f t="shared" si="39"/>
        <v>0.97286725134542562</v>
      </c>
      <c r="N146" s="12">
        <f t="shared" si="40"/>
        <v>2.7132748654574448E-2</v>
      </c>
      <c r="O146" s="14">
        <f>Dados[[#This Row],[Vol. Padrão]]/Dados[[#This Row],[Horas Disp.]]</f>
        <v>55</v>
      </c>
      <c r="P146" s="32" cm="1">
        <f t="array" ref="P146">SUM(Dados[[#This Row],[Vol. Líquido]:[V. Refugo]]/Dados[[#This Row],[H. Ativas]])</f>
        <v>56.68926553672317</v>
      </c>
      <c r="Q146" s="12">
        <f>Dados[[#This Row],[H. Ativas]]/Dados[[#This Row],[Horas Disp.]]</f>
        <v>0.88500000000000001</v>
      </c>
      <c r="R146" s="12">
        <f>Dados[[#This Row],[Vol. Bruto]]/Dados[[#This Row],[Vol. Padrão]]</f>
        <v>0.9121818181818182</v>
      </c>
      <c r="S146" s="12">
        <f>Dados[[#This Row],[Disponibilidade]]*Dados[[#This Row],[Desempenho]]*Dados[[#This Row],[Qualidade]]</f>
        <v>0.7853771590909091</v>
      </c>
      <c r="T146" s="14">
        <f>YEAR(Dados[[#This Row],[Período]])</f>
        <v>2018</v>
      </c>
      <c r="U146" s="14">
        <f>MONTH(Dados[[#This Row],[Período]])</f>
        <v>11</v>
      </c>
    </row>
    <row r="147" spans="1:21" x14ac:dyDescent="0.25">
      <c r="A147" s="9">
        <v>43435</v>
      </c>
      <c r="B147" s="4" t="s">
        <v>26</v>
      </c>
      <c r="C147" s="5" t="s">
        <v>21</v>
      </c>
      <c r="D147" s="10">
        <v>8</v>
      </c>
      <c r="E147" s="10">
        <f t="shared" si="36"/>
        <v>6.55</v>
      </c>
      <c r="F147" s="10">
        <v>1.45</v>
      </c>
      <c r="G147" s="11">
        <v>440</v>
      </c>
      <c r="H147" s="11">
        <v>275.76</v>
      </c>
      <c r="I147" s="11">
        <v>23.09</v>
      </c>
      <c r="J147" s="11">
        <f t="shared" si="37"/>
        <v>298.84999999999997</v>
      </c>
      <c r="K147" s="12">
        <f t="shared" si="38"/>
        <v>0.62672727272727269</v>
      </c>
      <c r="L147" s="12">
        <f t="shared" si="35"/>
        <v>0.76546842470506593</v>
      </c>
      <c r="M147" s="12">
        <f t="shared" si="39"/>
        <v>0.92273715910992149</v>
      </c>
      <c r="N147" s="12">
        <f t="shared" si="40"/>
        <v>7.7262840890078649E-2</v>
      </c>
      <c r="O147" s="14">
        <f>Dados[[#This Row],[Vol. Padrão]]/Dados[[#This Row],[Horas Disp.]]</f>
        <v>55</v>
      </c>
      <c r="P147" s="32" cm="1">
        <f t="array" ref="P147">SUM(Dados[[#This Row],[Vol. Líquido]:[V. Refugo]]/Dados[[#This Row],[H. Ativas]])</f>
        <v>45.625954198473288</v>
      </c>
      <c r="Q147" s="12">
        <f>Dados[[#This Row],[H. Ativas]]/Dados[[#This Row],[Horas Disp.]]</f>
        <v>0.81874999999999998</v>
      </c>
      <c r="R147" s="12">
        <f>Dados[[#This Row],[Vol. Bruto]]/Dados[[#This Row],[Vol. Padrão]]</f>
        <v>0.67920454545454534</v>
      </c>
      <c r="S147" s="12">
        <f>Dados[[#This Row],[Disponibilidade]]*Dados[[#This Row],[Desempenho]]*Dados[[#This Row],[Qualidade]]</f>
        <v>0.51313295454545449</v>
      </c>
      <c r="T147" s="14">
        <f>YEAR(Dados[[#This Row],[Período]])</f>
        <v>2018</v>
      </c>
      <c r="U147" s="14">
        <f>MONTH(Dados[[#This Row],[Período]])</f>
        <v>12</v>
      </c>
    </row>
    <row r="148" spans="1:21" x14ac:dyDescent="0.25">
      <c r="A148" s="9">
        <v>43436</v>
      </c>
      <c r="B148" s="4" t="s">
        <v>27</v>
      </c>
      <c r="C148" s="5" t="s">
        <v>17</v>
      </c>
      <c r="D148" s="10">
        <v>8</v>
      </c>
      <c r="E148" s="10">
        <f t="shared" si="36"/>
        <v>7.8</v>
      </c>
      <c r="F148" s="10">
        <v>0.2</v>
      </c>
      <c r="G148" s="11">
        <v>440</v>
      </c>
      <c r="H148" s="11">
        <v>411.03</v>
      </c>
      <c r="I148" s="11">
        <v>3.2</v>
      </c>
      <c r="J148" s="11">
        <f t="shared" si="37"/>
        <v>414.22999999999996</v>
      </c>
      <c r="K148" s="12">
        <f t="shared" si="38"/>
        <v>0.93415909090909088</v>
      </c>
      <c r="L148" s="12">
        <f t="shared" si="35"/>
        <v>0.95811188811188808</v>
      </c>
      <c r="M148" s="12">
        <f t="shared" si="39"/>
        <v>0.99227482316587401</v>
      </c>
      <c r="N148" s="12">
        <f t="shared" si="40"/>
        <v>7.7251768341259699E-3</v>
      </c>
      <c r="O148" s="14">
        <f>Dados[[#This Row],[Vol. Padrão]]/Dados[[#This Row],[Horas Disp.]]</f>
        <v>55</v>
      </c>
      <c r="P148" s="32" cm="1">
        <f t="array" ref="P148">SUM(Dados[[#This Row],[Vol. Líquido]:[V. Refugo]]/Dados[[#This Row],[H. Ativas]])</f>
        <v>53.10641025641025</v>
      </c>
      <c r="Q148" s="12">
        <f>Dados[[#This Row],[H. Ativas]]/Dados[[#This Row],[Horas Disp.]]</f>
        <v>0.97499999999999998</v>
      </c>
      <c r="R148" s="12">
        <f>Dados[[#This Row],[Vol. Bruto]]/Dados[[#This Row],[Vol. Padrão]]</f>
        <v>0.94143181818181809</v>
      </c>
      <c r="S148" s="12">
        <f>Dados[[#This Row],[Disponibilidade]]*Dados[[#This Row],[Desempenho]]*Dados[[#This Row],[Qualidade]]</f>
        <v>0.91080511363636352</v>
      </c>
      <c r="T148" s="14">
        <f>YEAR(Dados[[#This Row],[Período]])</f>
        <v>2018</v>
      </c>
      <c r="U148" s="14">
        <f>MONTH(Dados[[#This Row],[Período]])</f>
        <v>12</v>
      </c>
    </row>
    <row r="149" spans="1:21" x14ac:dyDescent="0.25">
      <c r="A149" s="9">
        <v>43437</v>
      </c>
      <c r="B149" s="4" t="s">
        <v>28</v>
      </c>
      <c r="C149" s="5" t="s">
        <v>13</v>
      </c>
      <c r="D149" s="10">
        <v>8</v>
      </c>
      <c r="E149" s="10">
        <f t="shared" si="36"/>
        <v>7.12</v>
      </c>
      <c r="F149" s="10">
        <v>0.88</v>
      </c>
      <c r="G149" s="11">
        <v>440</v>
      </c>
      <c r="H149" s="11">
        <v>321.45</v>
      </c>
      <c r="I149" s="11">
        <v>7.87</v>
      </c>
      <c r="J149" s="11">
        <f t="shared" si="37"/>
        <v>329.32</v>
      </c>
      <c r="K149" s="12">
        <f t="shared" si="38"/>
        <v>0.73056818181818184</v>
      </c>
      <c r="L149" s="12">
        <f t="shared" si="35"/>
        <v>0.82086312563840647</v>
      </c>
      <c r="M149" s="12">
        <f t="shared" si="39"/>
        <v>0.9761022713470181</v>
      </c>
      <c r="N149" s="12">
        <f t="shared" si="40"/>
        <v>2.3897728652981901E-2</v>
      </c>
      <c r="O149" s="14">
        <f>Dados[[#This Row],[Vol. Padrão]]/Dados[[#This Row],[Horas Disp.]]</f>
        <v>55</v>
      </c>
      <c r="P149" s="32" cm="1">
        <f t="array" ref="P149">SUM(Dados[[#This Row],[Vol. Líquido]:[V. Refugo]]/Dados[[#This Row],[H. Ativas]])</f>
        <v>46.252808988764045</v>
      </c>
      <c r="Q149" s="12">
        <f>Dados[[#This Row],[H. Ativas]]/Dados[[#This Row],[Horas Disp.]]</f>
        <v>0.89</v>
      </c>
      <c r="R149" s="12">
        <f>Dados[[#This Row],[Vol. Bruto]]/Dados[[#This Row],[Vol. Padrão]]</f>
        <v>0.74845454545454548</v>
      </c>
      <c r="S149" s="12">
        <f>Dados[[#This Row],[Disponibilidade]]*Dados[[#This Row],[Desempenho]]*Dados[[#This Row],[Qualidade]]</f>
        <v>0.65020568181818184</v>
      </c>
      <c r="T149" s="14">
        <f>YEAR(Dados[[#This Row],[Período]])</f>
        <v>2018</v>
      </c>
      <c r="U149" s="14">
        <f>MONTH(Dados[[#This Row],[Período]])</f>
        <v>12</v>
      </c>
    </row>
    <row r="150" spans="1:21" x14ac:dyDescent="0.25">
      <c r="A150" s="9">
        <v>43438</v>
      </c>
      <c r="B150" s="4" t="s">
        <v>29</v>
      </c>
      <c r="C150" s="5" t="s">
        <v>14</v>
      </c>
      <c r="D150" s="10">
        <v>8</v>
      </c>
      <c r="E150" s="10">
        <f t="shared" si="36"/>
        <v>7.75</v>
      </c>
      <c r="F150" s="10">
        <v>0.25</v>
      </c>
      <c r="G150" s="11">
        <v>440</v>
      </c>
      <c r="H150" s="11">
        <v>379.5</v>
      </c>
      <c r="I150" s="11">
        <v>12.3</v>
      </c>
      <c r="J150" s="11">
        <f t="shared" si="37"/>
        <v>391.8</v>
      </c>
      <c r="K150" s="12">
        <f t="shared" si="38"/>
        <v>0.86250000000000004</v>
      </c>
      <c r="L150" s="12">
        <f t="shared" si="35"/>
        <v>0.89032258064516134</v>
      </c>
      <c r="M150" s="12">
        <f t="shared" si="39"/>
        <v>0.96860643185298623</v>
      </c>
      <c r="N150" s="12">
        <f t="shared" si="40"/>
        <v>3.1393568147013787E-2</v>
      </c>
      <c r="O150" s="14">
        <f>Dados[[#This Row],[Vol. Padrão]]/Dados[[#This Row],[Horas Disp.]]</f>
        <v>55</v>
      </c>
      <c r="P150" s="32" cm="1">
        <f t="array" ref="P150">SUM(Dados[[#This Row],[Vol. Líquido]:[V. Refugo]]/Dados[[#This Row],[H. Ativas]])</f>
        <v>50.554838709677419</v>
      </c>
      <c r="Q150" s="12">
        <f>Dados[[#This Row],[H. Ativas]]/Dados[[#This Row],[Horas Disp.]]</f>
        <v>0.96875</v>
      </c>
      <c r="R150" s="12">
        <f>Dados[[#This Row],[Vol. Bruto]]/Dados[[#This Row],[Vol. Padrão]]</f>
        <v>0.8904545454545455</v>
      </c>
      <c r="S150" s="12">
        <f>Dados[[#This Row],[Disponibilidade]]*Dados[[#This Row],[Desempenho]]*Dados[[#This Row],[Qualidade]]</f>
        <v>0.83554687500000002</v>
      </c>
      <c r="T150" s="14">
        <f>YEAR(Dados[[#This Row],[Período]])</f>
        <v>2018</v>
      </c>
      <c r="U150" s="14">
        <f>MONTH(Dados[[#This Row],[Período]])</f>
        <v>12</v>
      </c>
    </row>
    <row r="151" spans="1:21" x14ac:dyDescent="0.25">
      <c r="A151" s="9">
        <v>43439</v>
      </c>
      <c r="B151" s="4" t="s">
        <v>30</v>
      </c>
      <c r="C151" s="5" t="s">
        <v>16</v>
      </c>
      <c r="D151" s="10">
        <v>8</v>
      </c>
      <c r="E151" s="10">
        <f t="shared" si="36"/>
        <v>7.83</v>
      </c>
      <c r="F151" s="10">
        <v>0.17</v>
      </c>
      <c r="G151" s="11">
        <v>440</v>
      </c>
      <c r="H151" s="11">
        <v>430.6</v>
      </c>
      <c r="I151" s="11">
        <v>1.8</v>
      </c>
      <c r="J151" s="11">
        <f t="shared" si="37"/>
        <v>432.40000000000003</v>
      </c>
      <c r="K151" s="12">
        <f t="shared" si="38"/>
        <v>0.97863636363636364</v>
      </c>
      <c r="L151" s="12">
        <f t="shared" si="35"/>
        <v>0.9998838964356207</v>
      </c>
      <c r="M151" s="12">
        <f t="shared" si="39"/>
        <v>0.99583718778908414</v>
      </c>
      <c r="N151" s="12">
        <f t="shared" si="40"/>
        <v>4.1628122109158188E-3</v>
      </c>
      <c r="O151" s="14">
        <f>Dados[[#This Row],[Vol. Padrão]]/Dados[[#This Row],[Horas Disp.]]</f>
        <v>55</v>
      </c>
      <c r="P151" s="32" cm="1">
        <f t="array" ref="P151">SUM(Dados[[#This Row],[Vol. Líquido]:[V. Refugo]]/Dados[[#This Row],[H. Ativas]])</f>
        <v>55.223499361430399</v>
      </c>
      <c r="Q151" s="12">
        <f>Dados[[#This Row],[H. Ativas]]/Dados[[#This Row],[Horas Disp.]]</f>
        <v>0.97875000000000001</v>
      </c>
      <c r="R151" s="12">
        <f>Dados[[#This Row],[Vol. Bruto]]/Dados[[#This Row],[Vol. Padrão]]</f>
        <v>0.98272727272727278</v>
      </c>
      <c r="S151" s="12">
        <f>Dados[[#This Row],[Disponibilidade]]*Dados[[#This Row],[Desempenho]]*Dados[[#This Row],[Qualidade]]</f>
        <v>0.95784034090909098</v>
      </c>
      <c r="T151" s="14">
        <f>YEAR(Dados[[#This Row],[Período]])</f>
        <v>2018</v>
      </c>
      <c r="U151" s="14">
        <f>MONTH(Dados[[#This Row],[Período]])</f>
        <v>12</v>
      </c>
    </row>
    <row r="152" spans="1:21" x14ac:dyDescent="0.25">
      <c r="A152" s="9">
        <v>43440</v>
      </c>
      <c r="B152" s="4" t="s">
        <v>26</v>
      </c>
      <c r="C152" s="5" t="s">
        <v>22</v>
      </c>
      <c r="D152" s="10">
        <v>8</v>
      </c>
      <c r="E152" s="10">
        <f t="shared" si="36"/>
        <v>7.67</v>
      </c>
      <c r="F152" s="10">
        <v>0.33</v>
      </c>
      <c r="G152" s="11">
        <v>440</v>
      </c>
      <c r="H152" s="11">
        <v>248.45599999999999</v>
      </c>
      <c r="I152" s="11">
        <v>23.4</v>
      </c>
      <c r="J152" s="11">
        <f t="shared" si="37"/>
        <v>271.85599999999999</v>
      </c>
      <c r="K152" s="12">
        <f t="shared" si="38"/>
        <v>0.56467272727272722</v>
      </c>
      <c r="L152" s="12">
        <f t="shared" ref="L152:L183" si="41">H152/(E152*55)</f>
        <v>0.58896764252696454</v>
      </c>
      <c r="M152" s="12">
        <f t="shared" si="39"/>
        <v>0.91392501912777346</v>
      </c>
      <c r="N152" s="12">
        <f t="shared" si="40"/>
        <v>8.6074980872226467E-2</v>
      </c>
      <c r="O152" s="14">
        <f>Dados[[#This Row],[Vol. Padrão]]/Dados[[#This Row],[Horas Disp.]]</f>
        <v>55</v>
      </c>
      <c r="P152" s="32" cm="1">
        <f t="array" ref="P152">SUM(Dados[[#This Row],[Vol. Líquido]:[V. Refugo]]/Dados[[#This Row],[H. Ativas]])</f>
        <v>35.44406779661017</v>
      </c>
      <c r="Q152" s="12">
        <f>Dados[[#This Row],[H. Ativas]]/Dados[[#This Row],[Horas Disp.]]</f>
        <v>0.95874999999999999</v>
      </c>
      <c r="R152" s="12">
        <f>Dados[[#This Row],[Vol. Bruto]]/Dados[[#This Row],[Vol. Padrão]]</f>
        <v>0.61785454545454543</v>
      </c>
      <c r="S152" s="12">
        <f>Dados[[#This Row],[Disponibilidade]]*Dados[[#This Row],[Desempenho]]*Dados[[#This Row],[Qualidade]]</f>
        <v>0.54137997727272724</v>
      </c>
      <c r="T152" s="14">
        <f>YEAR(Dados[[#This Row],[Período]])</f>
        <v>2018</v>
      </c>
      <c r="U152" s="14">
        <f>MONTH(Dados[[#This Row],[Período]])</f>
        <v>12</v>
      </c>
    </row>
    <row r="153" spans="1:21" x14ac:dyDescent="0.25">
      <c r="A153" s="9">
        <v>43441</v>
      </c>
      <c r="B153" s="4" t="s">
        <v>27</v>
      </c>
      <c r="C153" s="5" t="s">
        <v>20</v>
      </c>
      <c r="D153" s="10">
        <v>8</v>
      </c>
      <c r="E153" s="10">
        <f t="shared" si="36"/>
        <v>7.58</v>
      </c>
      <c r="F153" s="10">
        <v>0.42</v>
      </c>
      <c r="G153" s="11">
        <v>440</v>
      </c>
      <c r="H153" s="11">
        <v>352.32100000000003</v>
      </c>
      <c r="I153" s="11">
        <v>2.3450000000000002</v>
      </c>
      <c r="J153" s="11">
        <f t="shared" si="37"/>
        <v>354.66600000000005</v>
      </c>
      <c r="K153" s="12">
        <f t="shared" si="38"/>
        <v>0.80072954545454555</v>
      </c>
      <c r="L153" s="12">
        <f t="shared" si="41"/>
        <v>0.84509714559846494</v>
      </c>
      <c r="M153" s="12">
        <f t="shared" si="39"/>
        <v>0.99338814546643872</v>
      </c>
      <c r="N153" s="12">
        <f t="shared" si="40"/>
        <v>6.6118545335611531E-3</v>
      </c>
      <c r="O153" s="14">
        <f>Dados[[#This Row],[Vol. Padrão]]/Dados[[#This Row],[Horas Disp.]]</f>
        <v>55</v>
      </c>
      <c r="P153" s="32" cm="1">
        <f t="array" ref="P153">SUM(Dados[[#This Row],[Vol. Líquido]:[V. Refugo]]/Dados[[#This Row],[H. Ativas]])</f>
        <v>46.789709762532986</v>
      </c>
      <c r="Q153" s="12">
        <f>Dados[[#This Row],[H. Ativas]]/Dados[[#This Row],[Horas Disp.]]</f>
        <v>0.94750000000000001</v>
      </c>
      <c r="R153" s="12">
        <f>Dados[[#This Row],[Vol. Bruto]]/Dados[[#This Row],[Vol. Padrão]]</f>
        <v>0.806059090909091</v>
      </c>
      <c r="S153" s="12">
        <f>Dados[[#This Row],[Disponibilidade]]*Dados[[#This Row],[Desempenho]]*Dados[[#This Row],[Qualidade]]</f>
        <v>0.7586912443181818</v>
      </c>
      <c r="T153" s="14">
        <f>YEAR(Dados[[#This Row],[Período]])</f>
        <v>2018</v>
      </c>
      <c r="U153" s="14">
        <f>MONTH(Dados[[#This Row],[Período]])</f>
        <v>12</v>
      </c>
    </row>
    <row r="154" spans="1:21" x14ac:dyDescent="0.25">
      <c r="A154" s="9">
        <v>43442</v>
      </c>
      <c r="B154" s="4" t="s">
        <v>28</v>
      </c>
      <c r="C154" s="5" t="s">
        <v>15</v>
      </c>
      <c r="D154" s="10">
        <v>8</v>
      </c>
      <c r="E154" s="10">
        <f t="shared" si="36"/>
        <v>8</v>
      </c>
      <c r="F154" s="10">
        <v>0</v>
      </c>
      <c r="G154" s="11">
        <v>440</v>
      </c>
      <c r="H154" s="11">
        <v>395.13400000000001</v>
      </c>
      <c r="I154" s="11">
        <v>8.7889999999999997</v>
      </c>
      <c r="J154" s="11">
        <f t="shared" si="37"/>
        <v>403.923</v>
      </c>
      <c r="K154" s="12">
        <f t="shared" si="38"/>
        <v>0.89803181818181821</v>
      </c>
      <c r="L154" s="12">
        <f t="shared" si="41"/>
        <v>0.89803181818181821</v>
      </c>
      <c r="M154" s="12">
        <f t="shared" si="39"/>
        <v>0.97824090235020045</v>
      </c>
      <c r="N154" s="12">
        <f t="shared" si="40"/>
        <v>2.1759097649799591E-2</v>
      </c>
      <c r="O154" s="14">
        <f>Dados[[#This Row],[Vol. Padrão]]/Dados[[#This Row],[Horas Disp.]]</f>
        <v>55</v>
      </c>
      <c r="P154" s="32" cm="1">
        <f t="array" ref="P154">SUM(Dados[[#This Row],[Vol. Líquido]:[V. Refugo]]/Dados[[#This Row],[H. Ativas]])</f>
        <v>50.490375</v>
      </c>
      <c r="Q154" s="12">
        <f>Dados[[#This Row],[H. Ativas]]/Dados[[#This Row],[Horas Disp.]]</f>
        <v>1</v>
      </c>
      <c r="R154" s="12">
        <f>Dados[[#This Row],[Vol. Bruto]]/Dados[[#This Row],[Vol. Padrão]]</f>
        <v>0.91800681818181817</v>
      </c>
      <c r="S154" s="12">
        <f>Dados[[#This Row],[Disponibilidade]]*Dados[[#This Row],[Desempenho]]*Dados[[#This Row],[Qualidade]]</f>
        <v>0.89803181818181821</v>
      </c>
      <c r="T154" s="14">
        <f>YEAR(Dados[[#This Row],[Período]])</f>
        <v>2018</v>
      </c>
      <c r="U154" s="14">
        <f>MONTH(Dados[[#This Row],[Período]])</f>
        <v>12</v>
      </c>
    </row>
    <row r="155" spans="1:21" x14ac:dyDescent="0.25">
      <c r="A155" s="9">
        <v>43443</v>
      </c>
      <c r="B155" s="4" t="s">
        <v>29</v>
      </c>
      <c r="C155" s="5" t="s">
        <v>19</v>
      </c>
      <c r="D155" s="10">
        <v>8</v>
      </c>
      <c r="E155" s="10">
        <f t="shared" si="36"/>
        <v>6.75</v>
      </c>
      <c r="F155" s="10">
        <v>1.25</v>
      </c>
      <c r="G155" s="11">
        <v>440</v>
      </c>
      <c r="H155" s="11">
        <v>349.98700000000002</v>
      </c>
      <c r="I155" s="11">
        <v>12.432</v>
      </c>
      <c r="J155" s="11">
        <f t="shared" si="37"/>
        <v>362.41900000000004</v>
      </c>
      <c r="K155" s="12">
        <f t="shared" si="38"/>
        <v>0.79542500000000005</v>
      </c>
      <c r="L155" s="12">
        <f t="shared" si="41"/>
        <v>0.94272592592592597</v>
      </c>
      <c r="M155" s="12">
        <f t="shared" si="39"/>
        <v>0.96569716267634975</v>
      </c>
      <c r="N155" s="12">
        <f t="shared" si="40"/>
        <v>3.4302837323650248E-2</v>
      </c>
      <c r="O155" s="14">
        <f>Dados[[#This Row],[Vol. Padrão]]/Dados[[#This Row],[Horas Disp.]]</f>
        <v>55</v>
      </c>
      <c r="P155" s="32" cm="1">
        <f t="array" ref="P155">SUM(Dados[[#This Row],[Vol. Líquido]:[V. Refugo]]/Dados[[#This Row],[H. Ativas]])</f>
        <v>53.691703703703709</v>
      </c>
      <c r="Q155" s="12">
        <f>Dados[[#This Row],[H. Ativas]]/Dados[[#This Row],[Horas Disp.]]</f>
        <v>0.84375</v>
      </c>
      <c r="R155" s="12">
        <f>Dados[[#This Row],[Vol. Bruto]]/Dados[[#This Row],[Vol. Padrão]]</f>
        <v>0.82367954545454558</v>
      </c>
      <c r="S155" s="12">
        <f>Dados[[#This Row],[Disponibilidade]]*Dados[[#This Row],[Desempenho]]*Dados[[#This Row],[Qualidade]]</f>
        <v>0.67113984375000002</v>
      </c>
      <c r="T155" s="14">
        <f>YEAR(Dados[[#This Row],[Período]])</f>
        <v>2018</v>
      </c>
      <c r="U155" s="14">
        <f>MONTH(Dados[[#This Row],[Período]])</f>
        <v>12</v>
      </c>
    </row>
    <row r="156" spans="1:21" x14ac:dyDescent="0.25">
      <c r="A156" s="9">
        <v>43444</v>
      </c>
      <c r="B156" s="4" t="s">
        <v>30</v>
      </c>
      <c r="C156" s="5" t="s">
        <v>18</v>
      </c>
      <c r="D156" s="10">
        <v>8</v>
      </c>
      <c r="E156" s="10">
        <f t="shared" si="36"/>
        <v>7.45</v>
      </c>
      <c r="F156" s="10">
        <v>0.55000000000000004</v>
      </c>
      <c r="G156" s="11">
        <v>440</v>
      </c>
      <c r="H156" s="11">
        <v>369.12</v>
      </c>
      <c r="I156" s="11">
        <v>43.95</v>
      </c>
      <c r="J156" s="11">
        <f t="shared" si="37"/>
        <v>413.07</v>
      </c>
      <c r="K156" s="12">
        <f t="shared" si="38"/>
        <v>0.83890909090909094</v>
      </c>
      <c r="L156" s="12">
        <f t="shared" si="41"/>
        <v>0.90084197681513123</v>
      </c>
      <c r="M156" s="12">
        <f t="shared" si="39"/>
        <v>0.89360156874137553</v>
      </c>
      <c r="N156" s="12">
        <f t="shared" si="40"/>
        <v>0.10639843125862446</v>
      </c>
      <c r="O156" s="14">
        <f>Dados[[#This Row],[Vol. Padrão]]/Dados[[#This Row],[Horas Disp.]]</f>
        <v>55</v>
      </c>
      <c r="P156" s="32" cm="1">
        <f t="array" ref="P156">SUM(Dados[[#This Row],[Vol. Líquido]:[V. Refugo]]/Dados[[#This Row],[H. Ativas]])</f>
        <v>55.445637583892619</v>
      </c>
      <c r="Q156" s="12">
        <f>Dados[[#This Row],[H. Ativas]]/Dados[[#This Row],[Horas Disp.]]</f>
        <v>0.93125000000000002</v>
      </c>
      <c r="R156" s="12">
        <f>Dados[[#This Row],[Vol. Bruto]]/Dados[[#This Row],[Vol. Padrão]]</f>
        <v>0.93879545454545454</v>
      </c>
      <c r="S156" s="12">
        <f>Dados[[#This Row],[Disponibilidade]]*Dados[[#This Row],[Desempenho]]*Dados[[#This Row],[Qualidade]]</f>
        <v>0.78123409090909091</v>
      </c>
      <c r="T156" s="14">
        <f>YEAR(Dados[[#This Row],[Período]])</f>
        <v>2018</v>
      </c>
      <c r="U156" s="14">
        <f>MONTH(Dados[[#This Row],[Período]])</f>
        <v>12</v>
      </c>
    </row>
    <row r="157" spans="1:21" x14ac:dyDescent="0.25">
      <c r="A157" s="9">
        <v>43445</v>
      </c>
      <c r="B157" s="4" t="s">
        <v>27</v>
      </c>
      <c r="C157" s="5" t="s">
        <v>17</v>
      </c>
      <c r="D157" s="10">
        <v>8</v>
      </c>
      <c r="E157" s="10">
        <f t="shared" si="36"/>
        <v>7.83</v>
      </c>
      <c r="F157" s="10">
        <v>0.17</v>
      </c>
      <c r="G157" s="11">
        <v>440</v>
      </c>
      <c r="H157" s="11">
        <v>288.33</v>
      </c>
      <c r="I157" s="11">
        <v>9.0850000000000009</v>
      </c>
      <c r="J157" s="11">
        <f t="shared" si="37"/>
        <v>297.41499999999996</v>
      </c>
      <c r="K157" s="12">
        <f t="shared" si="38"/>
        <v>0.65529545454545446</v>
      </c>
      <c r="L157" s="12">
        <f t="shared" si="41"/>
        <v>0.66952281435040051</v>
      </c>
      <c r="M157" s="12">
        <f t="shared" si="39"/>
        <v>0.96945345729031829</v>
      </c>
      <c r="N157" s="12">
        <f t="shared" si="40"/>
        <v>3.0546542709681764E-2</v>
      </c>
      <c r="O157" s="14">
        <f>Dados[[#This Row],[Vol. Padrão]]/Dados[[#This Row],[Horas Disp.]]</f>
        <v>55</v>
      </c>
      <c r="P157" s="32" cm="1">
        <f t="array" ref="P157">SUM(Dados[[#This Row],[Vol. Líquido]:[V. Refugo]]/Dados[[#This Row],[H. Ativas]])</f>
        <v>37.984035759897829</v>
      </c>
      <c r="Q157" s="12">
        <f>Dados[[#This Row],[H. Ativas]]/Dados[[#This Row],[Horas Disp.]]</f>
        <v>0.97875000000000001</v>
      </c>
      <c r="R157" s="12">
        <f>Dados[[#This Row],[Vol. Bruto]]/Dados[[#This Row],[Vol. Padrão]]</f>
        <v>0.67594318181818169</v>
      </c>
      <c r="S157" s="12">
        <f>Dados[[#This Row],[Disponibilidade]]*Dados[[#This Row],[Desempenho]]*Dados[[#This Row],[Qualidade]]</f>
        <v>0.64137042613636353</v>
      </c>
      <c r="T157" s="14">
        <f>YEAR(Dados[[#This Row],[Período]])</f>
        <v>2018</v>
      </c>
      <c r="U157" s="14">
        <f>MONTH(Dados[[#This Row],[Período]])</f>
        <v>12</v>
      </c>
    </row>
    <row r="158" spans="1:21" x14ac:dyDescent="0.25">
      <c r="A158" s="9">
        <v>43466</v>
      </c>
      <c r="B158" s="4" t="s">
        <v>30</v>
      </c>
      <c r="C158" s="5" t="s">
        <v>16</v>
      </c>
      <c r="D158" s="10">
        <v>8</v>
      </c>
      <c r="E158" s="10">
        <f t="shared" si="36"/>
        <v>7.33</v>
      </c>
      <c r="F158" s="10">
        <v>0.67</v>
      </c>
      <c r="G158" s="11">
        <v>440</v>
      </c>
      <c r="H158" s="11">
        <v>380.7</v>
      </c>
      <c r="I158" s="11">
        <v>3.3</v>
      </c>
      <c r="J158" s="11">
        <f t="shared" si="37"/>
        <v>384</v>
      </c>
      <c r="K158" s="12">
        <f t="shared" si="38"/>
        <v>0.86522727272727273</v>
      </c>
      <c r="L158" s="12">
        <f t="shared" si="41"/>
        <v>0.94431353094381743</v>
      </c>
      <c r="M158" s="12">
        <f t="shared" si="39"/>
        <v>0.99140624999999993</v>
      </c>
      <c r="N158" s="12">
        <f t="shared" si="40"/>
        <v>8.593749999999999E-3</v>
      </c>
      <c r="O158" s="14">
        <f>Dados[[#This Row],[Vol. Padrão]]/Dados[[#This Row],[Horas Disp.]]</f>
        <v>55</v>
      </c>
      <c r="P158" s="32" cm="1">
        <f t="array" ref="P158">SUM(Dados[[#This Row],[Vol. Líquido]:[V. Refugo]]/Dados[[#This Row],[H. Ativas]])</f>
        <v>52.387448840381985</v>
      </c>
      <c r="Q158" s="12">
        <f>Dados[[#This Row],[H. Ativas]]/Dados[[#This Row],[Horas Disp.]]</f>
        <v>0.91625000000000001</v>
      </c>
      <c r="R158" s="12">
        <f>Dados[[#This Row],[Vol. Bruto]]/Dados[[#This Row],[Vol. Padrão]]</f>
        <v>0.87272727272727268</v>
      </c>
      <c r="S158" s="12">
        <f>Dados[[#This Row],[Disponibilidade]]*Dados[[#This Row],[Desempenho]]*Dados[[#This Row],[Qualidade]]</f>
        <v>0.79276448863636351</v>
      </c>
      <c r="T158" s="14">
        <f>YEAR(Dados[[#This Row],[Período]])</f>
        <v>2019</v>
      </c>
      <c r="U158" s="14">
        <f>MONTH(Dados[[#This Row],[Período]])</f>
        <v>1</v>
      </c>
    </row>
    <row r="159" spans="1:21" x14ac:dyDescent="0.25">
      <c r="A159" s="9">
        <v>43467</v>
      </c>
      <c r="B159" s="4" t="s">
        <v>29</v>
      </c>
      <c r="C159" s="5" t="s">
        <v>14</v>
      </c>
      <c r="D159" s="10">
        <v>8</v>
      </c>
      <c r="E159" s="10">
        <f t="shared" si="36"/>
        <v>7</v>
      </c>
      <c r="F159" s="10">
        <v>1</v>
      </c>
      <c r="G159" s="11">
        <v>440</v>
      </c>
      <c r="H159" s="11">
        <v>370.8</v>
      </c>
      <c r="I159" s="11">
        <v>4.8899999999999997</v>
      </c>
      <c r="J159" s="11">
        <f t="shared" si="37"/>
        <v>375.69</v>
      </c>
      <c r="K159" s="12">
        <f t="shared" si="38"/>
        <v>0.84272727272727277</v>
      </c>
      <c r="L159" s="12">
        <f t="shared" si="41"/>
        <v>0.96311688311688315</v>
      </c>
      <c r="M159" s="12">
        <f t="shared" si="39"/>
        <v>0.98698394953285962</v>
      </c>
      <c r="N159" s="12">
        <f t="shared" si="40"/>
        <v>1.3016050467140461E-2</v>
      </c>
      <c r="O159" s="14">
        <f>Dados[[#This Row],[Vol. Padrão]]/Dados[[#This Row],[Horas Disp.]]</f>
        <v>55</v>
      </c>
      <c r="P159" s="32" cm="1">
        <f t="array" ref="P159">SUM(Dados[[#This Row],[Vol. Líquido]:[V. Refugo]]/Dados[[#This Row],[H. Ativas]])</f>
        <v>53.67</v>
      </c>
      <c r="Q159" s="12">
        <f>Dados[[#This Row],[H. Ativas]]/Dados[[#This Row],[Horas Disp.]]</f>
        <v>0.875</v>
      </c>
      <c r="R159" s="12">
        <f>Dados[[#This Row],[Vol. Bruto]]/Dados[[#This Row],[Vol. Padrão]]</f>
        <v>0.85384090909090904</v>
      </c>
      <c r="S159" s="12">
        <f>Dados[[#This Row],[Disponibilidade]]*Dados[[#This Row],[Desempenho]]*Dados[[#This Row],[Qualidade]]</f>
        <v>0.73738636363636367</v>
      </c>
      <c r="T159" s="14">
        <f>YEAR(Dados[[#This Row],[Período]])</f>
        <v>2019</v>
      </c>
      <c r="U159" s="14">
        <f>MONTH(Dados[[#This Row],[Período]])</f>
        <v>1</v>
      </c>
    </row>
    <row r="160" spans="1:21" x14ac:dyDescent="0.25">
      <c r="A160" s="9">
        <v>43468</v>
      </c>
      <c r="B160" s="4" t="s">
        <v>28</v>
      </c>
      <c r="C160" s="5" t="s">
        <v>13</v>
      </c>
      <c r="D160" s="10">
        <v>8</v>
      </c>
      <c r="E160" s="10">
        <f t="shared" si="36"/>
        <v>7.08</v>
      </c>
      <c r="F160" s="10">
        <v>0.92</v>
      </c>
      <c r="G160" s="11">
        <v>440</v>
      </c>
      <c r="H160" s="11">
        <v>385.6</v>
      </c>
      <c r="I160" s="11">
        <v>5.6</v>
      </c>
      <c r="J160" s="11">
        <f t="shared" si="37"/>
        <v>391.20000000000005</v>
      </c>
      <c r="K160" s="12">
        <f t="shared" si="38"/>
        <v>0.87636363636363646</v>
      </c>
      <c r="L160" s="12">
        <f t="shared" si="41"/>
        <v>0.99024139702105818</v>
      </c>
      <c r="M160" s="12">
        <f t="shared" si="39"/>
        <v>0.98568507157464202</v>
      </c>
      <c r="N160" s="12">
        <f t="shared" si="40"/>
        <v>1.431492842535787E-2</v>
      </c>
      <c r="O160" s="14">
        <f>Dados[[#This Row],[Vol. Padrão]]/Dados[[#This Row],[Horas Disp.]]</f>
        <v>55</v>
      </c>
      <c r="P160" s="32" cm="1">
        <f t="array" ref="P160">SUM(Dados[[#This Row],[Vol. Líquido]:[V. Refugo]]/Dados[[#This Row],[H. Ativas]])</f>
        <v>55.254237288135592</v>
      </c>
      <c r="Q160" s="12">
        <f>Dados[[#This Row],[H. Ativas]]/Dados[[#This Row],[Horas Disp.]]</f>
        <v>0.88500000000000001</v>
      </c>
      <c r="R160" s="12">
        <f>Dados[[#This Row],[Vol. Bruto]]/Dados[[#This Row],[Vol. Padrão]]</f>
        <v>0.88909090909090915</v>
      </c>
      <c r="S160" s="12">
        <f>Dados[[#This Row],[Disponibilidade]]*Dados[[#This Row],[Desempenho]]*Dados[[#This Row],[Qualidade]]</f>
        <v>0.77558181818181815</v>
      </c>
      <c r="T160" s="14">
        <f>YEAR(Dados[[#This Row],[Período]])</f>
        <v>2019</v>
      </c>
      <c r="U160" s="14">
        <f>MONTH(Dados[[#This Row],[Período]])</f>
        <v>1</v>
      </c>
    </row>
    <row r="161" spans="1:21" x14ac:dyDescent="0.25">
      <c r="A161" s="9">
        <v>43469</v>
      </c>
      <c r="B161" s="4" t="s">
        <v>27</v>
      </c>
      <c r="C161" s="5" t="s">
        <v>17</v>
      </c>
      <c r="D161" s="10">
        <v>8</v>
      </c>
      <c r="E161" s="10">
        <f t="shared" si="36"/>
        <v>7.55</v>
      </c>
      <c r="F161" s="10">
        <v>0.45</v>
      </c>
      <c r="G161" s="11">
        <v>440</v>
      </c>
      <c r="H161" s="11">
        <v>407.9</v>
      </c>
      <c r="I161" s="11">
        <v>6.7</v>
      </c>
      <c r="J161" s="11">
        <f t="shared" si="37"/>
        <v>414.59999999999997</v>
      </c>
      <c r="K161" s="12">
        <f t="shared" si="38"/>
        <v>0.92704545454545451</v>
      </c>
      <c r="L161" s="12">
        <f t="shared" si="41"/>
        <v>0.98229981938591204</v>
      </c>
      <c r="M161" s="12">
        <f t="shared" si="39"/>
        <v>0.98383984563434634</v>
      </c>
      <c r="N161" s="12">
        <f t="shared" si="40"/>
        <v>1.6160154365653642E-2</v>
      </c>
      <c r="O161" s="14">
        <f>Dados[[#This Row],[Vol. Padrão]]/Dados[[#This Row],[Horas Disp.]]</f>
        <v>55</v>
      </c>
      <c r="P161" s="32" cm="1">
        <f t="array" ref="P161">SUM(Dados[[#This Row],[Vol. Líquido]:[V. Refugo]]/Dados[[#This Row],[H. Ativas]])</f>
        <v>54.913907284768214</v>
      </c>
      <c r="Q161" s="12">
        <f>Dados[[#This Row],[H. Ativas]]/Dados[[#This Row],[Horas Disp.]]</f>
        <v>0.94374999999999998</v>
      </c>
      <c r="R161" s="12">
        <f>Dados[[#This Row],[Vol. Bruto]]/Dados[[#This Row],[Vol. Padrão]]</f>
        <v>0.94227272727272715</v>
      </c>
      <c r="S161" s="12">
        <f>Dados[[#This Row],[Disponibilidade]]*Dados[[#This Row],[Desempenho]]*Dados[[#This Row],[Qualidade]]</f>
        <v>0.87489914772727262</v>
      </c>
      <c r="T161" s="14">
        <f>YEAR(Dados[[#This Row],[Período]])</f>
        <v>2019</v>
      </c>
      <c r="U161" s="14">
        <f>MONTH(Dados[[#This Row],[Período]])</f>
        <v>1</v>
      </c>
    </row>
    <row r="162" spans="1:21" x14ac:dyDescent="0.25">
      <c r="A162" s="9">
        <v>43470</v>
      </c>
      <c r="B162" s="4" t="s">
        <v>26</v>
      </c>
      <c r="C162" s="5" t="s">
        <v>21</v>
      </c>
      <c r="D162" s="10">
        <v>8</v>
      </c>
      <c r="E162" s="10">
        <f t="shared" ref="E162:E193" si="42">D162-F162</f>
        <v>7.45</v>
      </c>
      <c r="F162" s="10">
        <v>0.55000000000000004</v>
      </c>
      <c r="G162" s="11">
        <v>440</v>
      </c>
      <c r="H162" s="11">
        <v>378.4</v>
      </c>
      <c r="I162" s="11">
        <v>9.1999999999999993</v>
      </c>
      <c r="J162" s="11">
        <f t="shared" ref="J162:J193" si="43">SUM(H162:I162)</f>
        <v>387.59999999999997</v>
      </c>
      <c r="K162" s="12">
        <f t="shared" ref="K162:K193" si="44">(H162/G162)</f>
        <v>0.86</v>
      </c>
      <c r="L162" s="12">
        <f t="shared" si="41"/>
        <v>0.92348993288590597</v>
      </c>
      <c r="M162" s="12">
        <f t="shared" ref="M162:M193" si="45">(H162/J162)</f>
        <v>0.97626418988648089</v>
      </c>
      <c r="N162" s="12">
        <f t="shared" ref="N162:N193" si="46">I162/(H162+I162)</f>
        <v>2.3735810113519093E-2</v>
      </c>
      <c r="O162" s="14">
        <f>Dados[[#This Row],[Vol. Padrão]]/Dados[[#This Row],[Horas Disp.]]</f>
        <v>55</v>
      </c>
      <c r="P162" s="32" cm="1">
        <f t="array" ref="P162">SUM(Dados[[#This Row],[Vol. Líquido]:[V. Refugo]]/Dados[[#This Row],[H. Ativas]])</f>
        <v>52.026845637583882</v>
      </c>
      <c r="Q162" s="12">
        <f>Dados[[#This Row],[H. Ativas]]/Dados[[#This Row],[Horas Disp.]]</f>
        <v>0.93125000000000002</v>
      </c>
      <c r="R162" s="12">
        <f>Dados[[#This Row],[Vol. Bruto]]/Dados[[#This Row],[Vol. Padrão]]</f>
        <v>0.88090909090909086</v>
      </c>
      <c r="S162" s="12">
        <f>Dados[[#This Row],[Disponibilidade]]*Dados[[#This Row],[Desempenho]]*Dados[[#This Row],[Qualidade]]</f>
        <v>0.800875</v>
      </c>
      <c r="T162" s="14">
        <f>YEAR(Dados[[#This Row],[Período]])</f>
        <v>2019</v>
      </c>
      <c r="U162" s="14">
        <f>MONTH(Dados[[#This Row],[Período]])</f>
        <v>1</v>
      </c>
    </row>
    <row r="163" spans="1:21" x14ac:dyDescent="0.25">
      <c r="A163" s="9">
        <v>43471</v>
      </c>
      <c r="B163" s="4" t="s">
        <v>30</v>
      </c>
      <c r="C163" s="5" t="s">
        <v>18</v>
      </c>
      <c r="D163" s="10">
        <v>8</v>
      </c>
      <c r="E163" s="10">
        <f t="shared" si="42"/>
        <v>7.7</v>
      </c>
      <c r="F163" s="10">
        <v>0.3</v>
      </c>
      <c r="G163" s="11">
        <v>440</v>
      </c>
      <c r="H163" s="11">
        <v>401.55</v>
      </c>
      <c r="I163" s="11">
        <v>4.3209999999999997</v>
      </c>
      <c r="J163" s="11">
        <f t="shared" si="43"/>
        <v>405.87100000000004</v>
      </c>
      <c r="K163" s="12">
        <f t="shared" si="44"/>
        <v>0.91261363636363635</v>
      </c>
      <c r="L163" s="12">
        <f t="shared" si="41"/>
        <v>0.9481700118063755</v>
      </c>
      <c r="M163" s="12">
        <f t="shared" si="45"/>
        <v>0.9893537601848863</v>
      </c>
      <c r="N163" s="12">
        <f t="shared" si="46"/>
        <v>1.0646239815113668E-2</v>
      </c>
      <c r="O163" s="14">
        <f>Dados[[#This Row],[Vol. Padrão]]/Dados[[#This Row],[Horas Disp.]]</f>
        <v>55</v>
      </c>
      <c r="P163" s="32" cm="1">
        <f t="array" ref="P163">SUM(Dados[[#This Row],[Vol. Líquido]:[V. Refugo]]/Dados[[#This Row],[H. Ativas]])</f>
        <v>52.71051948051948</v>
      </c>
      <c r="Q163" s="12">
        <f>Dados[[#This Row],[H. Ativas]]/Dados[[#This Row],[Horas Disp.]]</f>
        <v>0.96250000000000002</v>
      </c>
      <c r="R163" s="12">
        <f>Dados[[#This Row],[Vol. Bruto]]/Dados[[#This Row],[Vol. Padrão]]</f>
        <v>0.92243409090909101</v>
      </c>
      <c r="S163" s="12">
        <f>Dados[[#This Row],[Disponibilidade]]*Dados[[#This Row],[Desempenho]]*Dados[[#This Row],[Qualidade]]</f>
        <v>0.87839062500000009</v>
      </c>
      <c r="T163" s="14">
        <f>YEAR(Dados[[#This Row],[Período]])</f>
        <v>2019</v>
      </c>
      <c r="U163" s="14">
        <f>MONTH(Dados[[#This Row],[Período]])</f>
        <v>1</v>
      </c>
    </row>
    <row r="164" spans="1:21" x14ac:dyDescent="0.25">
      <c r="A164" s="9">
        <v>43472</v>
      </c>
      <c r="B164" s="4" t="s">
        <v>29</v>
      </c>
      <c r="C164" s="5" t="s">
        <v>19</v>
      </c>
      <c r="D164" s="10">
        <v>8</v>
      </c>
      <c r="E164" s="10">
        <f t="shared" si="42"/>
        <v>7.33</v>
      </c>
      <c r="F164" s="10">
        <v>0.67</v>
      </c>
      <c r="G164" s="11">
        <v>440</v>
      </c>
      <c r="H164" s="11">
        <v>248.9</v>
      </c>
      <c r="I164" s="11">
        <v>65.400000000000006</v>
      </c>
      <c r="J164" s="11">
        <f t="shared" si="43"/>
        <v>314.3</v>
      </c>
      <c r="K164" s="12">
        <f t="shared" si="44"/>
        <v>0.56568181818181817</v>
      </c>
      <c r="L164" s="12">
        <f t="shared" si="41"/>
        <v>0.61738806895696396</v>
      </c>
      <c r="M164" s="12">
        <f t="shared" si="45"/>
        <v>0.79191854915685644</v>
      </c>
      <c r="N164" s="12">
        <f t="shared" si="46"/>
        <v>0.2080814508431435</v>
      </c>
      <c r="O164" s="14">
        <f>Dados[[#This Row],[Vol. Padrão]]/Dados[[#This Row],[Horas Disp.]]</f>
        <v>55</v>
      </c>
      <c r="P164" s="32" cm="1">
        <f t="array" ref="P164">SUM(Dados[[#This Row],[Vol. Líquido]:[V. Refugo]]/Dados[[#This Row],[H. Ativas]])</f>
        <v>42.878581173260571</v>
      </c>
      <c r="Q164" s="12">
        <f>Dados[[#This Row],[H. Ativas]]/Dados[[#This Row],[Horas Disp.]]</f>
        <v>0.91625000000000001</v>
      </c>
      <c r="R164" s="12">
        <f>Dados[[#This Row],[Vol. Bruto]]/Dados[[#This Row],[Vol. Padrão]]</f>
        <v>0.71431818181818185</v>
      </c>
      <c r="S164" s="12">
        <f>Dados[[#This Row],[Disponibilidade]]*Dados[[#This Row],[Desempenho]]*Dados[[#This Row],[Qualidade]]</f>
        <v>0.51830596590909084</v>
      </c>
      <c r="T164" s="14">
        <f>YEAR(Dados[[#This Row],[Período]])</f>
        <v>2019</v>
      </c>
      <c r="U164" s="14">
        <f>MONTH(Dados[[#This Row],[Período]])</f>
        <v>1</v>
      </c>
    </row>
    <row r="165" spans="1:21" x14ac:dyDescent="0.25">
      <c r="A165" s="9">
        <v>43473</v>
      </c>
      <c r="B165" s="4" t="s">
        <v>28</v>
      </c>
      <c r="C165" s="5" t="s">
        <v>15</v>
      </c>
      <c r="D165" s="10">
        <v>8</v>
      </c>
      <c r="E165" s="10">
        <f t="shared" si="42"/>
        <v>6.55</v>
      </c>
      <c r="F165" s="10">
        <v>1.45</v>
      </c>
      <c r="G165" s="11">
        <v>440</v>
      </c>
      <c r="H165" s="11">
        <v>349.67</v>
      </c>
      <c r="I165" s="11">
        <v>28.67</v>
      </c>
      <c r="J165" s="11">
        <f t="shared" si="43"/>
        <v>378.34000000000003</v>
      </c>
      <c r="K165" s="12">
        <f t="shared" si="44"/>
        <v>0.7947045454545455</v>
      </c>
      <c r="L165" s="12">
        <f t="shared" si="41"/>
        <v>0.97063150589868152</v>
      </c>
      <c r="M165" s="12">
        <f t="shared" si="45"/>
        <v>0.92422159961938988</v>
      </c>
      <c r="N165" s="12">
        <f t="shared" si="46"/>
        <v>7.5778400380610025E-2</v>
      </c>
      <c r="O165" s="14">
        <f>Dados[[#This Row],[Vol. Padrão]]/Dados[[#This Row],[Horas Disp.]]</f>
        <v>55</v>
      </c>
      <c r="P165" s="32" cm="1">
        <f t="array" ref="P165">SUM(Dados[[#This Row],[Vol. Líquido]:[V. Refugo]]/Dados[[#This Row],[H. Ativas]])</f>
        <v>57.761832061068709</v>
      </c>
      <c r="Q165" s="12">
        <f>Dados[[#This Row],[H. Ativas]]/Dados[[#This Row],[Horas Disp.]]</f>
        <v>0.81874999999999998</v>
      </c>
      <c r="R165" s="12">
        <f>Dados[[#This Row],[Vol. Bruto]]/Dados[[#This Row],[Vol. Padrão]]</f>
        <v>0.85986363636363639</v>
      </c>
      <c r="S165" s="12">
        <f>Dados[[#This Row],[Disponibilidade]]*Dados[[#This Row],[Desempenho]]*Dados[[#This Row],[Qualidade]]</f>
        <v>0.6506643465909091</v>
      </c>
      <c r="T165" s="14">
        <f>YEAR(Dados[[#This Row],[Período]])</f>
        <v>2019</v>
      </c>
      <c r="U165" s="14">
        <f>MONTH(Dados[[#This Row],[Período]])</f>
        <v>1</v>
      </c>
    </row>
    <row r="166" spans="1:21" x14ac:dyDescent="0.25">
      <c r="A166" s="9">
        <v>43474</v>
      </c>
      <c r="B166" s="4" t="s">
        <v>27</v>
      </c>
      <c r="C166" s="5" t="s">
        <v>20</v>
      </c>
      <c r="D166" s="10">
        <v>8</v>
      </c>
      <c r="E166" s="10">
        <f t="shared" si="42"/>
        <v>7.8</v>
      </c>
      <c r="F166" s="10">
        <v>0.2</v>
      </c>
      <c r="G166" s="11">
        <v>440</v>
      </c>
      <c r="H166" s="11">
        <v>410.3</v>
      </c>
      <c r="I166" s="11">
        <v>2.4500000000000002</v>
      </c>
      <c r="J166" s="11">
        <f t="shared" si="43"/>
        <v>412.75</v>
      </c>
      <c r="K166" s="12">
        <f t="shared" si="44"/>
        <v>0.9325</v>
      </c>
      <c r="L166" s="12">
        <f t="shared" si="41"/>
        <v>0.95641025641025645</v>
      </c>
      <c r="M166" s="12">
        <f t="shared" si="45"/>
        <v>0.99406420351302249</v>
      </c>
      <c r="N166" s="12">
        <f t="shared" si="46"/>
        <v>5.9357964869775895E-3</v>
      </c>
      <c r="O166" s="14">
        <f>Dados[[#This Row],[Vol. Padrão]]/Dados[[#This Row],[Horas Disp.]]</f>
        <v>55</v>
      </c>
      <c r="P166" s="32" cm="1">
        <f t="array" ref="P166">SUM(Dados[[#This Row],[Vol. Líquido]:[V. Refugo]]/Dados[[#This Row],[H. Ativas]])</f>
        <v>52.916666666666664</v>
      </c>
      <c r="Q166" s="12">
        <f>Dados[[#This Row],[H. Ativas]]/Dados[[#This Row],[Horas Disp.]]</f>
        <v>0.97499999999999998</v>
      </c>
      <c r="R166" s="12">
        <f>Dados[[#This Row],[Vol. Bruto]]/Dados[[#This Row],[Vol. Padrão]]</f>
        <v>0.93806818181818186</v>
      </c>
      <c r="S166" s="12">
        <f>Dados[[#This Row],[Disponibilidade]]*Dados[[#This Row],[Desempenho]]*Dados[[#This Row],[Qualidade]]</f>
        <v>0.90918750000000015</v>
      </c>
      <c r="T166" s="14">
        <f>YEAR(Dados[[#This Row],[Período]])</f>
        <v>2019</v>
      </c>
      <c r="U166" s="14">
        <f>MONTH(Dados[[#This Row],[Período]])</f>
        <v>1</v>
      </c>
    </row>
    <row r="167" spans="1:21" x14ac:dyDescent="0.25">
      <c r="A167" s="9">
        <v>43475</v>
      </c>
      <c r="B167" s="4" t="s">
        <v>26</v>
      </c>
      <c r="C167" s="5" t="s">
        <v>22</v>
      </c>
      <c r="D167" s="10">
        <v>8</v>
      </c>
      <c r="E167" s="10">
        <f t="shared" si="42"/>
        <v>7.12</v>
      </c>
      <c r="F167" s="10">
        <v>0.88</v>
      </c>
      <c r="G167" s="11">
        <v>440</v>
      </c>
      <c r="H167" s="11">
        <v>370.5</v>
      </c>
      <c r="I167" s="11">
        <v>1.23</v>
      </c>
      <c r="J167" s="11">
        <f t="shared" si="43"/>
        <v>371.73</v>
      </c>
      <c r="K167" s="12">
        <f t="shared" si="44"/>
        <v>0.84204545454545454</v>
      </c>
      <c r="L167" s="12">
        <f t="shared" si="41"/>
        <v>0.94611848825331968</v>
      </c>
      <c r="M167" s="12">
        <f t="shared" si="45"/>
        <v>0.99669114680009685</v>
      </c>
      <c r="N167" s="12">
        <f t="shared" si="46"/>
        <v>3.3088531999031553E-3</v>
      </c>
      <c r="O167" s="14">
        <f>Dados[[#This Row],[Vol. Padrão]]/Dados[[#This Row],[Horas Disp.]]</f>
        <v>55</v>
      </c>
      <c r="P167" s="32" cm="1">
        <f t="array" ref="P167">SUM(Dados[[#This Row],[Vol. Líquido]:[V. Refugo]]/Dados[[#This Row],[H. Ativas]])</f>
        <v>52.209269662921344</v>
      </c>
      <c r="Q167" s="12">
        <f>Dados[[#This Row],[H. Ativas]]/Dados[[#This Row],[Horas Disp.]]</f>
        <v>0.89</v>
      </c>
      <c r="R167" s="12">
        <f>Dados[[#This Row],[Vol. Bruto]]/Dados[[#This Row],[Vol. Padrão]]</f>
        <v>0.84484090909090914</v>
      </c>
      <c r="S167" s="12">
        <f>Dados[[#This Row],[Disponibilidade]]*Dados[[#This Row],[Desempenho]]*Dados[[#This Row],[Qualidade]]</f>
        <v>0.74942045454545458</v>
      </c>
      <c r="T167" s="14">
        <f>YEAR(Dados[[#This Row],[Período]])</f>
        <v>2019</v>
      </c>
      <c r="U167" s="14">
        <f>MONTH(Dados[[#This Row],[Período]])</f>
        <v>1</v>
      </c>
    </row>
    <row r="168" spans="1:21" x14ac:dyDescent="0.25">
      <c r="A168" s="9">
        <v>43476</v>
      </c>
      <c r="B168" s="4" t="s">
        <v>29</v>
      </c>
      <c r="C168" s="5" t="s">
        <v>14</v>
      </c>
      <c r="D168" s="10">
        <v>8</v>
      </c>
      <c r="E168" s="10">
        <f t="shared" si="42"/>
        <v>7.75</v>
      </c>
      <c r="F168" s="10">
        <v>0.25</v>
      </c>
      <c r="G168" s="11">
        <v>440</v>
      </c>
      <c r="H168" s="11">
        <v>402.04300000000001</v>
      </c>
      <c r="I168" s="7">
        <v>4.181</v>
      </c>
      <c r="J168" s="11">
        <f t="shared" si="43"/>
        <v>406.22399999999999</v>
      </c>
      <c r="K168" s="12">
        <f t="shared" si="44"/>
        <v>0.91373409090909097</v>
      </c>
      <c r="L168" s="12">
        <f t="shared" si="41"/>
        <v>0.94320938416422284</v>
      </c>
      <c r="M168" s="12">
        <f t="shared" si="45"/>
        <v>0.9897076489818426</v>
      </c>
      <c r="N168" s="12">
        <f t="shared" si="46"/>
        <v>1.029235101815747E-2</v>
      </c>
      <c r="O168" s="14">
        <f>Dados[[#This Row],[Vol. Padrão]]/Dados[[#This Row],[Horas Disp.]]</f>
        <v>55</v>
      </c>
      <c r="P168" s="32" cm="1">
        <f t="array" ref="P168">SUM(Dados[[#This Row],[Vol. Líquido]:[V. Refugo]]/Dados[[#This Row],[H. Ativas]])</f>
        <v>52.416000000000004</v>
      </c>
      <c r="Q168" s="12">
        <f>Dados[[#This Row],[H. Ativas]]/Dados[[#This Row],[Horas Disp.]]</f>
        <v>0.96875</v>
      </c>
      <c r="R168" s="12">
        <f>Dados[[#This Row],[Vol. Bruto]]/Dados[[#This Row],[Vol. Padrão]]</f>
        <v>0.92323636363636363</v>
      </c>
      <c r="S168" s="12">
        <f>Dados[[#This Row],[Disponibilidade]]*Dados[[#This Row],[Desempenho]]*Dados[[#This Row],[Qualidade]]</f>
        <v>0.88517990056818185</v>
      </c>
      <c r="T168" s="14">
        <f>YEAR(Dados[[#This Row],[Período]])</f>
        <v>2019</v>
      </c>
      <c r="U168" s="14">
        <f>MONTH(Dados[[#This Row],[Período]])</f>
        <v>1</v>
      </c>
    </row>
    <row r="169" spans="1:21" x14ac:dyDescent="0.25">
      <c r="A169" s="9">
        <v>43477</v>
      </c>
      <c r="B169" s="4" t="s">
        <v>29</v>
      </c>
      <c r="C169" s="5" t="s">
        <v>19</v>
      </c>
      <c r="D169" s="10">
        <v>8</v>
      </c>
      <c r="E169" s="10">
        <f t="shared" si="42"/>
        <v>7.83</v>
      </c>
      <c r="F169" s="10">
        <v>0.17</v>
      </c>
      <c r="G169" s="11">
        <v>440</v>
      </c>
      <c r="H169" s="11">
        <v>296.7</v>
      </c>
      <c r="I169" s="7">
        <v>15.323</v>
      </c>
      <c r="J169" s="11">
        <f t="shared" si="43"/>
        <v>312.02299999999997</v>
      </c>
      <c r="K169" s="12">
        <f t="shared" si="44"/>
        <v>0.67431818181818182</v>
      </c>
      <c r="L169" s="12">
        <f t="shared" si="41"/>
        <v>0.68895855102751657</v>
      </c>
      <c r="M169" s="12">
        <f t="shared" si="45"/>
        <v>0.95089144069507703</v>
      </c>
      <c r="N169" s="12">
        <f t="shared" si="46"/>
        <v>4.9108559304923041E-2</v>
      </c>
      <c r="O169" s="14">
        <f>Dados[[#This Row],[Vol. Padrão]]/Dados[[#This Row],[Horas Disp.]]</f>
        <v>55</v>
      </c>
      <c r="P169" s="32" cm="1">
        <f t="array" ref="P169">SUM(Dados[[#This Row],[Vol. Líquido]:[V. Refugo]]/Dados[[#This Row],[H. Ativas]])</f>
        <v>39.849680715197955</v>
      </c>
      <c r="Q169" s="12">
        <f>Dados[[#This Row],[H. Ativas]]/Dados[[#This Row],[Horas Disp.]]</f>
        <v>0.97875000000000001</v>
      </c>
      <c r="R169" s="12">
        <f>Dados[[#This Row],[Vol. Bruto]]/Dados[[#This Row],[Vol. Padrão]]</f>
        <v>0.7091431818181817</v>
      </c>
      <c r="S169" s="12">
        <f>Dados[[#This Row],[Disponibilidade]]*Dados[[#This Row],[Desempenho]]*Dados[[#This Row],[Qualidade]]</f>
        <v>0.65998892045454538</v>
      </c>
      <c r="T169" s="14">
        <f>YEAR(Dados[[#This Row],[Período]])</f>
        <v>2019</v>
      </c>
      <c r="U169" s="14">
        <f>MONTH(Dados[[#This Row],[Período]])</f>
        <v>1</v>
      </c>
    </row>
    <row r="170" spans="1:21" x14ac:dyDescent="0.25">
      <c r="A170" s="9">
        <v>43478</v>
      </c>
      <c r="B170" s="4" t="s">
        <v>28</v>
      </c>
      <c r="C170" s="5" t="s">
        <v>13</v>
      </c>
      <c r="D170" s="10">
        <v>8</v>
      </c>
      <c r="E170" s="10">
        <f t="shared" si="42"/>
        <v>7.67</v>
      </c>
      <c r="F170" s="10">
        <v>0.33</v>
      </c>
      <c r="G170" s="11">
        <v>440</v>
      </c>
      <c r="H170" s="11">
        <v>350.4</v>
      </c>
      <c r="I170" s="7">
        <v>21.545000000000002</v>
      </c>
      <c r="J170" s="11">
        <f t="shared" si="43"/>
        <v>371.94499999999999</v>
      </c>
      <c r="K170" s="12">
        <f t="shared" si="44"/>
        <v>0.79636363636363627</v>
      </c>
      <c r="L170" s="12">
        <f t="shared" si="41"/>
        <v>0.83062700011852542</v>
      </c>
      <c r="M170" s="12">
        <f t="shared" si="45"/>
        <v>0.94207476911909016</v>
      </c>
      <c r="N170" s="12">
        <f t="shared" si="46"/>
        <v>5.7925230880909818E-2</v>
      </c>
      <c r="O170" s="14">
        <f>Dados[[#This Row],[Vol. Padrão]]/Dados[[#This Row],[Horas Disp.]]</f>
        <v>55</v>
      </c>
      <c r="P170" s="32" cm="1">
        <f t="array" ref="P170">SUM(Dados[[#This Row],[Vol. Líquido]:[V. Refugo]]/Dados[[#This Row],[H. Ativas]])</f>
        <v>48.493481095176008</v>
      </c>
      <c r="Q170" s="12">
        <f>Dados[[#This Row],[H. Ativas]]/Dados[[#This Row],[Horas Disp.]]</f>
        <v>0.95874999999999999</v>
      </c>
      <c r="R170" s="12">
        <f>Dados[[#This Row],[Vol. Bruto]]/Dados[[#This Row],[Vol. Padrão]]</f>
        <v>0.84532954545454542</v>
      </c>
      <c r="S170" s="12">
        <f>Dados[[#This Row],[Disponibilidade]]*Dados[[#This Row],[Desempenho]]*Dados[[#This Row],[Qualidade]]</f>
        <v>0.76351363636363634</v>
      </c>
      <c r="T170" s="14">
        <f>YEAR(Dados[[#This Row],[Período]])</f>
        <v>2019</v>
      </c>
      <c r="U170" s="14">
        <f>MONTH(Dados[[#This Row],[Período]])</f>
        <v>1</v>
      </c>
    </row>
    <row r="171" spans="1:21" x14ac:dyDescent="0.25">
      <c r="A171" s="9">
        <v>43497</v>
      </c>
      <c r="B171" s="4" t="s">
        <v>26</v>
      </c>
      <c r="C171" s="5" t="s">
        <v>21</v>
      </c>
      <c r="D171" s="10">
        <v>8</v>
      </c>
      <c r="E171" s="10">
        <f t="shared" si="42"/>
        <v>7.67</v>
      </c>
      <c r="F171" s="6">
        <v>0.33</v>
      </c>
      <c r="G171" s="11">
        <v>440</v>
      </c>
      <c r="H171" s="7">
        <v>346.50700000000001</v>
      </c>
      <c r="I171" s="7">
        <v>13.754</v>
      </c>
      <c r="J171" s="11">
        <f t="shared" si="43"/>
        <v>360.26100000000002</v>
      </c>
      <c r="K171" s="12">
        <f t="shared" si="44"/>
        <v>0.78751590909090907</v>
      </c>
      <c r="L171" s="12">
        <f t="shared" si="41"/>
        <v>0.82139860139860132</v>
      </c>
      <c r="M171" s="12">
        <f t="shared" si="45"/>
        <v>0.96182212340497575</v>
      </c>
      <c r="N171" s="12">
        <f t="shared" si="46"/>
        <v>3.8177876595024161E-2</v>
      </c>
      <c r="O171" s="14">
        <f>Dados[[#This Row],[Vol. Padrão]]/Dados[[#This Row],[Horas Disp.]]</f>
        <v>55</v>
      </c>
      <c r="P171" s="32" cm="1">
        <f t="array" ref="P171">SUM(Dados[[#This Row],[Vol. Líquido]:[V. Refugo]]/Dados[[#This Row],[H. Ativas]])</f>
        <v>46.970143415906122</v>
      </c>
      <c r="Q171" s="12">
        <f>Dados[[#This Row],[H. Ativas]]/Dados[[#This Row],[Horas Disp.]]</f>
        <v>0.95874999999999999</v>
      </c>
      <c r="R171" s="12">
        <f>Dados[[#This Row],[Vol. Bruto]]/Dados[[#This Row],[Vol. Padrão]]</f>
        <v>0.81877500000000003</v>
      </c>
      <c r="S171" s="12">
        <f>Dados[[#This Row],[Disponibilidade]]*Dados[[#This Row],[Desempenho]]*Dados[[#This Row],[Qualidade]]</f>
        <v>0.75503087784090905</v>
      </c>
      <c r="T171" s="14">
        <f>YEAR(Dados[[#This Row],[Período]])</f>
        <v>2019</v>
      </c>
      <c r="U171" s="14">
        <f>MONTH(Dados[[#This Row],[Período]])</f>
        <v>2</v>
      </c>
    </row>
    <row r="172" spans="1:21" x14ac:dyDescent="0.25">
      <c r="A172" s="9">
        <v>43498</v>
      </c>
      <c r="B172" s="4" t="s">
        <v>27</v>
      </c>
      <c r="C172" s="5" t="s">
        <v>17</v>
      </c>
      <c r="D172" s="10">
        <v>8</v>
      </c>
      <c r="E172" s="10">
        <f t="shared" si="42"/>
        <v>7.5</v>
      </c>
      <c r="F172" s="6">
        <v>0.5</v>
      </c>
      <c r="G172" s="11">
        <v>440</v>
      </c>
      <c r="H172" s="7">
        <v>324.49200000000002</v>
      </c>
      <c r="I172" s="7">
        <v>17.911999999999999</v>
      </c>
      <c r="J172" s="11">
        <f t="shared" si="43"/>
        <v>342.404</v>
      </c>
      <c r="K172" s="12">
        <f t="shared" si="44"/>
        <v>0.73748181818181824</v>
      </c>
      <c r="L172" s="12">
        <f t="shared" si="41"/>
        <v>0.78664727272727275</v>
      </c>
      <c r="M172" s="12">
        <f t="shared" si="45"/>
        <v>0.94768752701487136</v>
      </c>
      <c r="N172" s="12">
        <f t="shared" si="46"/>
        <v>5.2312472985128679E-2</v>
      </c>
      <c r="O172" s="14">
        <f>Dados[[#This Row],[Vol. Padrão]]/Dados[[#This Row],[Horas Disp.]]</f>
        <v>55</v>
      </c>
      <c r="P172" s="32" cm="1">
        <f t="array" ref="P172">SUM(Dados[[#This Row],[Vol. Líquido]:[V. Refugo]]/Dados[[#This Row],[H. Ativas]])</f>
        <v>45.653866666666666</v>
      </c>
      <c r="Q172" s="12">
        <f>Dados[[#This Row],[H. Ativas]]/Dados[[#This Row],[Horas Disp.]]</f>
        <v>0.9375</v>
      </c>
      <c r="R172" s="12">
        <f>Dados[[#This Row],[Vol. Bruto]]/Dados[[#This Row],[Vol. Padrão]]</f>
        <v>0.77819090909090904</v>
      </c>
      <c r="S172" s="12">
        <f>Dados[[#This Row],[Disponibilidade]]*Dados[[#This Row],[Desempenho]]*Dados[[#This Row],[Qualidade]]</f>
        <v>0.69138920454545449</v>
      </c>
      <c r="T172" s="14">
        <f>YEAR(Dados[[#This Row],[Período]])</f>
        <v>2019</v>
      </c>
      <c r="U172" s="14">
        <f>MONTH(Dados[[#This Row],[Período]])</f>
        <v>2</v>
      </c>
    </row>
    <row r="173" spans="1:21" x14ac:dyDescent="0.25">
      <c r="A173" s="9">
        <v>43499</v>
      </c>
      <c r="B173" s="4" t="s">
        <v>28</v>
      </c>
      <c r="C173" s="5" t="s">
        <v>13</v>
      </c>
      <c r="D173" s="10">
        <v>8</v>
      </c>
      <c r="E173" s="10">
        <f t="shared" si="42"/>
        <v>7.58</v>
      </c>
      <c r="F173" s="6">
        <v>0.42</v>
      </c>
      <c r="G173" s="11">
        <v>440</v>
      </c>
      <c r="H173" s="7">
        <v>287.81599999999997</v>
      </c>
      <c r="I173" s="7">
        <v>21.375</v>
      </c>
      <c r="J173" s="11">
        <f t="shared" si="43"/>
        <v>309.19099999999997</v>
      </c>
      <c r="K173" s="12">
        <f t="shared" si="44"/>
        <v>0.65412727272727267</v>
      </c>
      <c r="L173" s="12">
        <f t="shared" si="41"/>
        <v>0.69037179179659391</v>
      </c>
      <c r="M173" s="12">
        <f t="shared" si="45"/>
        <v>0.93086797481168593</v>
      </c>
      <c r="N173" s="12">
        <f t="shared" si="46"/>
        <v>6.9132025188314031E-2</v>
      </c>
      <c r="O173" s="14">
        <f>Dados[[#This Row],[Vol. Padrão]]/Dados[[#This Row],[Horas Disp.]]</f>
        <v>55</v>
      </c>
      <c r="P173" s="32" cm="1">
        <f t="array" ref="P173">SUM(Dados[[#This Row],[Vol. Líquido]:[V. Refugo]]/Dados[[#This Row],[H. Ativas]])</f>
        <v>40.790369393139841</v>
      </c>
      <c r="Q173" s="12">
        <f>Dados[[#This Row],[H. Ativas]]/Dados[[#This Row],[Horas Disp.]]</f>
        <v>0.94750000000000001</v>
      </c>
      <c r="R173" s="12">
        <f>Dados[[#This Row],[Vol. Bruto]]/Dados[[#This Row],[Vol. Padrão]]</f>
        <v>0.70270681818181813</v>
      </c>
      <c r="S173" s="12">
        <f>Dados[[#This Row],[Disponibilidade]]*Dados[[#This Row],[Desempenho]]*Dados[[#This Row],[Qualidade]]</f>
        <v>0.6197855909090908</v>
      </c>
      <c r="T173" s="14">
        <f>YEAR(Dados[[#This Row],[Período]])</f>
        <v>2019</v>
      </c>
      <c r="U173" s="14">
        <f>MONTH(Dados[[#This Row],[Período]])</f>
        <v>2</v>
      </c>
    </row>
    <row r="174" spans="1:21" x14ac:dyDescent="0.25">
      <c r="A174" s="9">
        <v>43500</v>
      </c>
      <c r="B174" s="4" t="s">
        <v>29</v>
      </c>
      <c r="C174" s="5" t="s">
        <v>14</v>
      </c>
      <c r="D174" s="10">
        <v>8</v>
      </c>
      <c r="E174" s="10">
        <f t="shared" si="42"/>
        <v>7.75</v>
      </c>
      <c r="F174" s="6">
        <v>0.25</v>
      </c>
      <c r="G174" s="11">
        <v>440</v>
      </c>
      <c r="H174" s="7">
        <v>402.11500000000001</v>
      </c>
      <c r="I174" s="7">
        <v>25.518999999999998</v>
      </c>
      <c r="J174" s="11">
        <f t="shared" si="43"/>
        <v>427.63400000000001</v>
      </c>
      <c r="K174" s="12">
        <f t="shared" si="44"/>
        <v>0.91389772727272733</v>
      </c>
      <c r="L174" s="12">
        <f t="shared" si="41"/>
        <v>0.94337829912023463</v>
      </c>
      <c r="M174" s="12">
        <f t="shared" si="45"/>
        <v>0.94032513785152727</v>
      </c>
      <c r="N174" s="12">
        <f t="shared" si="46"/>
        <v>5.967486214847275E-2</v>
      </c>
      <c r="O174" s="14">
        <f>Dados[[#This Row],[Vol. Padrão]]/Dados[[#This Row],[Horas Disp.]]</f>
        <v>55</v>
      </c>
      <c r="P174" s="32" cm="1">
        <f t="array" ref="P174">SUM(Dados[[#This Row],[Vol. Líquido]:[V. Refugo]]/Dados[[#This Row],[H. Ativas]])</f>
        <v>55.178580645161297</v>
      </c>
      <c r="Q174" s="12">
        <f>Dados[[#This Row],[H. Ativas]]/Dados[[#This Row],[Horas Disp.]]</f>
        <v>0.96875</v>
      </c>
      <c r="R174" s="12">
        <f>Dados[[#This Row],[Vol. Bruto]]/Dados[[#This Row],[Vol. Padrão]]</f>
        <v>0.97189545454545456</v>
      </c>
      <c r="S174" s="12">
        <f>Dados[[#This Row],[Disponibilidade]]*Dados[[#This Row],[Desempenho]]*Dados[[#This Row],[Qualidade]]</f>
        <v>0.88533842329545465</v>
      </c>
      <c r="T174" s="14">
        <f>YEAR(Dados[[#This Row],[Período]])</f>
        <v>2019</v>
      </c>
      <c r="U174" s="14">
        <f>MONTH(Dados[[#This Row],[Período]])</f>
        <v>2</v>
      </c>
    </row>
    <row r="175" spans="1:21" x14ac:dyDescent="0.25">
      <c r="A175" s="9">
        <v>43501</v>
      </c>
      <c r="B175" s="4" t="s">
        <v>30</v>
      </c>
      <c r="C175" s="5" t="s">
        <v>16</v>
      </c>
      <c r="D175" s="10">
        <v>8</v>
      </c>
      <c r="E175" s="10">
        <f t="shared" si="42"/>
        <v>7.17</v>
      </c>
      <c r="F175" s="6">
        <v>0.83</v>
      </c>
      <c r="G175" s="11">
        <v>440</v>
      </c>
      <c r="H175" s="7">
        <v>279.11500000000001</v>
      </c>
      <c r="I175" s="7">
        <v>11.598000000000001</v>
      </c>
      <c r="J175" s="11">
        <f t="shared" si="43"/>
        <v>290.71300000000002</v>
      </c>
      <c r="K175" s="12">
        <f t="shared" si="44"/>
        <v>0.63435227272727279</v>
      </c>
      <c r="L175" s="12">
        <f t="shared" si="41"/>
        <v>0.70778496259667811</v>
      </c>
      <c r="M175" s="12">
        <f t="shared" si="45"/>
        <v>0.96010498326528226</v>
      </c>
      <c r="N175" s="12">
        <f t="shared" si="46"/>
        <v>3.9895016734717743E-2</v>
      </c>
      <c r="O175" s="14">
        <f>Dados[[#This Row],[Vol. Padrão]]/Dados[[#This Row],[Horas Disp.]]</f>
        <v>55</v>
      </c>
      <c r="P175" s="32" cm="1">
        <f t="array" ref="P175">SUM(Dados[[#This Row],[Vol. Líquido]:[V. Refugo]]/Dados[[#This Row],[H. Ativas]])</f>
        <v>40.545746164574624</v>
      </c>
      <c r="Q175" s="12">
        <f>Dados[[#This Row],[H. Ativas]]/Dados[[#This Row],[Horas Disp.]]</f>
        <v>0.89624999999999999</v>
      </c>
      <c r="R175" s="12">
        <f>Dados[[#This Row],[Vol. Bruto]]/Dados[[#This Row],[Vol. Padrão]]</f>
        <v>0.66071136363636374</v>
      </c>
      <c r="S175" s="12">
        <f>Dados[[#This Row],[Disponibilidade]]*Dados[[#This Row],[Desempenho]]*Dados[[#This Row],[Qualidade]]</f>
        <v>0.56853822443181834</v>
      </c>
      <c r="T175" s="14">
        <f>YEAR(Dados[[#This Row],[Período]])</f>
        <v>2019</v>
      </c>
      <c r="U175" s="14">
        <f>MONTH(Dados[[#This Row],[Período]])</f>
        <v>2</v>
      </c>
    </row>
    <row r="176" spans="1:21" x14ac:dyDescent="0.25">
      <c r="A176" s="9">
        <v>43502</v>
      </c>
      <c r="B176" s="4" t="s">
        <v>26</v>
      </c>
      <c r="C176" s="5" t="s">
        <v>22</v>
      </c>
      <c r="D176" s="10">
        <v>8</v>
      </c>
      <c r="E176" s="10">
        <f t="shared" si="42"/>
        <v>7.33</v>
      </c>
      <c r="F176" s="6">
        <v>0.67</v>
      </c>
      <c r="G176" s="11">
        <v>440</v>
      </c>
      <c r="H176" s="7">
        <v>377.79</v>
      </c>
      <c r="I176" s="7">
        <v>48.180999999999997</v>
      </c>
      <c r="J176" s="11">
        <f t="shared" si="43"/>
        <v>425.971</v>
      </c>
      <c r="K176" s="12">
        <f t="shared" si="44"/>
        <v>0.85861363636363641</v>
      </c>
      <c r="L176" s="12">
        <f t="shared" si="41"/>
        <v>0.93709537393029896</v>
      </c>
      <c r="M176" s="12">
        <f t="shared" si="45"/>
        <v>0.88689136114899847</v>
      </c>
      <c r="N176" s="12">
        <f t="shared" si="46"/>
        <v>0.11310863885100159</v>
      </c>
      <c r="O176" s="14">
        <f>Dados[[#This Row],[Vol. Padrão]]/Dados[[#This Row],[Horas Disp.]]</f>
        <v>55</v>
      </c>
      <c r="P176" s="32" cm="1">
        <f t="array" ref="P176">SUM(Dados[[#This Row],[Vol. Líquido]:[V. Refugo]]/Dados[[#This Row],[H. Ativas]])</f>
        <v>58.113369713506138</v>
      </c>
      <c r="Q176" s="12">
        <f>Dados[[#This Row],[H. Ativas]]/Dados[[#This Row],[Horas Disp.]]</f>
        <v>0.91625000000000001</v>
      </c>
      <c r="R176" s="12">
        <f>Dados[[#This Row],[Vol. Bruto]]/Dados[[#This Row],[Vol. Padrão]]</f>
        <v>0.96811590909090905</v>
      </c>
      <c r="S176" s="12">
        <f>Dados[[#This Row],[Disponibilidade]]*Dados[[#This Row],[Desempenho]]*Dados[[#This Row],[Qualidade]]</f>
        <v>0.78670474431818183</v>
      </c>
      <c r="T176" s="14">
        <f>YEAR(Dados[[#This Row],[Período]])</f>
        <v>2019</v>
      </c>
      <c r="U176" s="14">
        <f>MONTH(Dados[[#This Row],[Período]])</f>
        <v>2</v>
      </c>
    </row>
    <row r="177" spans="1:21" x14ac:dyDescent="0.25">
      <c r="A177" s="9">
        <v>43503</v>
      </c>
      <c r="B177" s="4" t="s">
        <v>27</v>
      </c>
      <c r="C177" s="5" t="s">
        <v>20</v>
      </c>
      <c r="D177" s="10">
        <v>8</v>
      </c>
      <c r="E177" s="10">
        <f t="shared" si="42"/>
        <v>6.67</v>
      </c>
      <c r="F177" s="6">
        <v>1.33</v>
      </c>
      <c r="G177" s="11">
        <v>440</v>
      </c>
      <c r="H177" s="7">
        <v>265.08300000000003</v>
      </c>
      <c r="I177" s="7">
        <v>15.323</v>
      </c>
      <c r="J177" s="11">
        <f t="shared" si="43"/>
        <v>280.40600000000001</v>
      </c>
      <c r="K177" s="12">
        <f t="shared" si="44"/>
        <v>0.60246136363636371</v>
      </c>
      <c r="L177" s="12">
        <f t="shared" si="41"/>
        <v>0.72259234019353957</v>
      </c>
      <c r="M177" s="12">
        <f t="shared" si="45"/>
        <v>0.945354236357282</v>
      </c>
      <c r="N177" s="12">
        <f t="shared" si="46"/>
        <v>5.4645763642718059E-2</v>
      </c>
      <c r="O177" s="14">
        <f>Dados[[#This Row],[Vol. Padrão]]/Dados[[#This Row],[Horas Disp.]]</f>
        <v>55</v>
      </c>
      <c r="P177" s="32" cm="1">
        <f t="array" ref="P177">SUM(Dados[[#This Row],[Vol. Líquido]:[V. Refugo]]/Dados[[#This Row],[H. Ativas]])</f>
        <v>42.039880059970017</v>
      </c>
      <c r="Q177" s="12">
        <f>Dados[[#This Row],[H. Ativas]]/Dados[[#This Row],[Horas Disp.]]</f>
        <v>0.83374999999999999</v>
      </c>
      <c r="R177" s="12">
        <f>Dados[[#This Row],[Vol. Bruto]]/Dados[[#This Row],[Vol. Padrão]]</f>
        <v>0.6372863636363636</v>
      </c>
      <c r="S177" s="12">
        <f>Dados[[#This Row],[Disponibilidade]]*Dados[[#This Row],[Desempenho]]*Dados[[#This Row],[Qualidade]]</f>
        <v>0.5023021619318182</v>
      </c>
      <c r="T177" s="14">
        <f>YEAR(Dados[[#This Row],[Período]])</f>
        <v>2019</v>
      </c>
      <c r="U177" s="14">
        <f>MONTH(Dados[[#This Row],[Período]])</f>
        <v>2</v>
      </c>
    </row>
    <row r="178" spans="1:21" x14ac:dyDescent="0.25">
      <c r="A178" s="9">
        <v>43504</v>
      </c>
      <c r="B178" s="4" t="s">
        <v>28</v>
      </c>
      <c r="C178" s="5" t="s">
        <v>15</v>
      </c>
      <c r="D178" s="10">
        <v>8</v>
      </c>
      <c r="E178" s="10">
        <f t="shared" si="42"/>
        <v>7.3</v>
      </c>
      <c r="F178" s="6">
        <v>0.7</v>
      </c>
      <c r="G178" s="11">
        <v>440</v>
      </c>
      <c r="H178" s="7">
        <v>378.40499999999997</v>
      </c>
      <c r="I178" s="7">
        <v>21.545000000000002</v>
      </c>
      <c r="J178" s="11">
        <f t="shared" si="43"/>
        <v>399.95</v>
      </c>
      <c r="K178" s="12">
        <f t="shared" si="44"/>
        <v>0.86001136363636355</v>
      </c>
      <c r="L178" s="12">
        <f t="shared" si="41"/>
        <v>0.942478206724782</v>
      </c>
      <c r="M178" s="12">
        <f t="shared" si="45"/>
        <v>0.94613076634579318</v>
      </c>
      <c r="N178" s="12">
        <f t="shared" si="46"/>
        <v>5.3869233654206782E-2</v>
      </c>
      <c r="O178" s="14">
        <f>Dados[[#This Row],[Vol. Padrão]]/Dados[[#This Row],[Horas Disp.]]</f>
        <v>55</v>
      </c>
      <c r="P178" s="32" cm="1">
        <f t="array" ref="P178">SUM(Dados[[#This Row],[Vol. Líquido]:[V. Refugo]]/Dados[[#This Row],[H. Ativas]])</f>
        <v>54.787671232876704</v>
      </c>
      <c r="Q178" s="12">
        <f>Dados[[#This Row],[H. Ativas]]/Dados[[#This Row],[Horas Disp.]]</f>
        <v>0.91249999999999998</v>
      </c>
      <c r="R178" s="12">
        <f>Dados[[#This Row],[Vol. Bruto]]/Dados[[#This Row],[Vol. Padrão]]</f>
        <v>0.90897727272727269</v>
      </c>
      <c r="S178" s="12">
        <f>Dados[[#This Row],[Disponibilidade]]*Dados[[#This Row],[Desempenho]]*Dados[[#This Row],[Qualidade]]</f>
        <v>0.78476036931818172</v>
      </c>
      <c r="T178" s="14">
        <f>YEAR(Dados[[#This Row],[Período]])</f>
        <v>2019</v>
      </c>
      <c r="U178" s="14">
        <f>MONTH(Dados[[#This Row],[Período]])</f>
        <v>2</v>
      </c>
    </row>
    <row r="179" spans="1:21" x14ac:dyDescent="0.25">
      <c r="A179" s="9">
        <v>43505</v>
      </c>
      <c r="B179" s="4" t="s">
        <v>29</v>
      </c>
      <c r="C179" s="5" t="s">
        <v>19</v>
      </c>
      <c r="D179" s="10">
        <v>8</v>
      </c>
      <c r="E179" s="10">
        <f t="shared" si="42"/>
        <v>7.67</v>
      </c>
      <c r="F179" s="6">
        <v>0.33</v>
      </c>
      <c r="G179" s="11">
        <v>440</v>
      </c>
      <c r="H179" s="7">
        <v>367.99299999999999</v>
      </c>
      <c r="I179" s="7">
        <v>24.734999999999999</v>
      </c>
      <c r="J179" s="11">
        <f t="shared" si="43"/>
        <v>392.72800000000001</v>
      </c>
      <c r="K179" s="12">
        <f t="shared" si="44"/>
        <v>0.83634772727272721</v>
      </c>
      <c r="L179" s="12">
        <f t="shared" si="41"/>
        <v>0.87233139741614307</v>
      </c>
      <c r="M179" s="12">
        <f t="shared" si="45"/>
        <v>0.93701747774541155</v>
      </c>
      <c r="N179" s="12">
        <f t="shared" si="46"/>
        <v>6.2982522254588419E-2</v>
      </c>
      <c r="O179" s="14">
        <f>Dados[[#This Row],[Vol. Padrão]]/Dados[[#This Row],[Horas Disp.]]</f>
        <v>55</v>
      </c>
      <c r="P179" s="32" cm="1">
        <f t="array" ref="P179">SUM(Dados[[#This Row],[Vol. Líquido]:[V. Refugo]]/Dados[[#This Row],[H. Ativas]])</f>
        <v>51.203129074315513</v>
      </c>
      <c r="Q179" s="12">
        <f>Dados[[#This Row],[H. Ativas]]/Dados[[#This Row],[Horas Disp.]]</f>
        <v>0.95874999999999999</v>
      </c>
      <c r="R179" s="12">
        <f>Dados[[#This Row],[Vol. Bruto]]/Dados[[#This Row],[Vol. Padrão]]</f>
        <v>0.89256363636363634</v>
      </c>
      <c r="S179" s="12">
        <f>Dados[[#This Row],[Disponibilidade]]*Dados[[#This Row],[Desempenho]]*Dados[[#This Row],[Qualidade]]</f>
        <v>0.80184838352272714</v>
      </c>
      <c r="T179" s="14">
        <f>YEAR(Dados[[#This Row],[Período]])</f>
        <v>2019</v>
      </c>
      <c r="U179" s="14">
        <f>MONTH(Dados[[#This Row],[Período]])</f>
        <v>2</v>
      </c>
    </row>
    <row r="180" spans="1:21" x14ac:dyDescent="0.25">
      <c r="A180" s="9">
        <v>43506</v>
      </c>
      <c r="B180" s="4" t="s">
        <v>30</v>
      </c>
      <c r="C180" s="5" t="s">
        <v>18</v>
      </c>
      <c r="D180" s="10">
        <v>8</v>
      </c>
      <c r="E180" s="10">
        <f t="shared" si="42"/>
        <v>7.42</v>
      </c>
      <c r="F180" s="6">
        <v>0.57999999999999996</v>
      </c>
      <c r="G180" s="11">
        <v>440</v>
      </c>
      <c r="H180" s="7">
        <v>395.322</v>
      </c>
      <c r="I180" s="7">
        <v>30.087</v>
      </c>
      <c r="J180" s="11">
        <f t="shared" si="43"/>
        <v>425.40899999999999</v>
      </c>
      <c r="K180" s="12">
        <f t="shared" si="44"/>
        <v>0.89845909090909093</v>
      </c>
      <c r="L180" s="12">
        <f t="shared" si="41"/>
        <v>0.96868904680225432</v>
      </c>
      <c r="M180" s="12">
        <f t="shared" si="45"/>
        <v>0.92927512111873523</v>
      </c>
      <c r="N180" s="12">
        <f t="shared" si="46"/>
        <v>7.0724878881264858E-2</v>
      </c>
      <c r="O180" s="14">
        <f>Dados[[#This Row],[Vol. Padrão]]/Dados[[#This Row],[Horas Disp.]]</f>
        <v>55</v>
      </c>
      <c r="P180" s="32" cm="1">
        <f t="array" ref="P180">SUM(Dados[[#This Row],[Vol. Líquido]:[V. Refugo]]/Dados[[#This Row],[H. Ativas]])</f>
        <v>57.332749326145553</v>
      </c>
      <c r="Q180" s="12">
        <f>Dados[[#This Row],[H. Ativas]]/Dados[[#This Row],[Horas Disp.]]</f>
        <v>0.92749999999999999</v>
      </c>
      <c r="R180" s="12">
        <f>Dados[[#This Row],[Vol. Bruto]]/Dados[[#This Row],[Vol. Padrão]]</f>
        <v>0.96683863636363632</v>
      </c>
      <c r="S180" s="12">
        <f>Dados[[#This Row],[Disponibilidade]]*Dados[[#This Row],[Desempenho]]*Dados[[#This Row],[Qualidade]]</f>
        <v>0.83332080681818188</v>
      </c>
      <c r="T180" s="14">
        <f>YEAR(Dados[[#This Row],[Período]])</f>
        <v>2019</v>
      </c>
      <c r="U180" s="14">
        <f>MONTH(Dados[[#This Row],[Período]])</f>
        <v>2</v>
      </c>
    </row>
    <row r="181" spans="1:21" x14ac:dyDescent="0.25">
      <c r="A181" s="9">
        <v>43525</v>
      </c>
      <c r="B181" s="4" t="s">
        <v>27</v>
      </c>
      <c r="C181" s="5" t="s">
        <v>17</v>
      </c>
      <c r="D181" s="10">
        <v>8</v>
      </c>
      <c r="E181" s="10">
        <f t="shared" si="42"/>
        <v>7.67</v>
      </c>
      <c r="F181" s="10">
        <v>0.33</v>
      </c>
      <c r="G181" s="11">
        <v>440</v>
      </c>
      <c r="H181" s="11">
        <v>348.45600000000002</v>
      </c>
      <c r="I181" s="11">
        <v>23.4</v>
      </c>
      <c r="J181" s="11">
        <f t="shared" si="43"/>
        <v>371.85599999999999</v>
      </c>
      <c r="K181" s="12">
        <f t="shared" si="44"/>
        <v>0.79194545454545462</v>
      </c>
      <c r="L181" s="12">
        <f t="shared" si="41"/>
        <v>0.82601872703567614</v>
      </c>
      <c r="M181" s="12">
        <f t="shared" si="45"/>
        <v>0.93707241512843686</v>
      </c>
      <c r="N181" s="12">
        <f t="shared" si="46"/>
        <v>6.2927584871563177E-2</v>
      </c>
      <c r="O181" s="14">
        <f>Dados[[#This Row],[Vol. Padrão]]/Dados[[#This Row],[Horas Disp.]]</f>
        <v>55</v>
      </c>
      <c r="P181" s="32" cm="1">
        <f t="array" ref="P181">SUM(Dados[[#This Row],[Vol. Líquido]:[V. Refugo]]/Dados[[#This Row],[H. Ativas]])</f>
        <v>48.481877444589315</v>
      </c>
      <c r="Q181" s="12">
        <f>Dados[[#This Row],[H. Ativas]]/Dados[[#This Row],[Horas Disp.]]</f>
        <v>0.95874999999999999</v>
      </c>
      <c r="R181" s="12">
        <f>Dados[[#This Row],[Vol. Bruto]]/Dados[[#This Row],[Vol. Padrão]]</f>
        <v>0.84512727272727273</v>
      </c>
      <c r="S181" s="12">
        <f>Dados[[#This Row],[Disponibilidade]]*Dados[[#This Row],[Desempenho]]*Dados[[#This Row],[Qualidade]]</f>
        <v>0.75927770454545462</v>
      </c>
      <c r="T181" s="14">
        <f>YEAR(Dados[[#This Row],[Período]])</f>
        <v>2019</v>
      </c>
      <c r="U181" s="14">
        <f>MONTH(Dados[[#This Row],[Período]])</f>
        <v>3</v>
      </c>
    </row>
    <row r="182" spans="1:21" x14ac:dyDescent="0.25">
      <c r="A182" s="9">
        <v>43526</v>
      </c>
      <c r="B182" s="4" t="s">
        <v>28</v>
      </c>
      <c r="C182" s="5" t="s">
        <v>13</v>
      </c>
      <c r="D182" s="10">
        <v>8</v>
      </c>
      <c r="E182" s="10">
        <f t="shared" si="42"/>
        <v>7</v>
      </c>
      <c r="F182" s="10">
        <v>1</v>
      </c>
      <c r="G182" s="11">
        <v>440</v>
      </c>
      <c r="H182" s="11">
        <v>352.32100000000003</v>
      </c>
      <c r="I182" s="11">
        <v>2.3450000000000002</v>
      </c>
      <c r="J182" s="11">
        <f t="shared" si="43"/>
        <v>354.66600000000005</v>
      </c>
      <c r="K182" s="12">
        <f t="shared" si="44"/>
        <v>0.80072954545454555</v>
      </c>
      <c r="L182" s="12">
        <f t="shared" si="41"/>
        <v>0.91511948051948055</v>
      </c>
      <c r="M182" s="12">
        <f t="shared" si="45"/>
        <v>0.99338814546643872</v>
      </c>
      <c r="N182" s="12">
        <f t="shared" si="46"/>
        <v>6.6118545335611531E-3</v>
      </c>
      <c r="O182" s="14">
        <f>Dados[[#This Row],[Vol. Padrão]]/Dados[[#This Row],[Horas Disp.]]</f>
        <v>55</v>
      </c>
      <c r="P182" s="32" cm="1">
        <f t="array" ref="P182">SUM(Dados[[#This Row],[Vol. Líquido]:[V. Refugo]]/Dados[[#This Row],[H. Ativas]])</f>
        <v>50.66657142857143</v>
      </c>
      <c r="Q182" s="12">
        <f>Dados[[#This Row],[H. Ativas]]/Dados[[#This Row],[Horas Disp.]]</f>
        <v>0.875</v>
      </c>
      <c r="R182" s="12">
        <f>Dados[[#This Row],[Vol. Bruto]]/Dados[[#This Row],[Vol. Padrão]]</f>
        <v>0.806059090909091</v>
      </c>
      <c r="S182" s="12">
        <f>Dados[[#This Row],[Disponibilidade]]*Dados[[#This Row],[Desempenho]]*Dados[[#This Row],[Qualidade]]</f>
        <v>0.70063835227272719</v>
      </c>
      <c r="T182" s="14">
        <f>YEAR(Dados[[#This Row],[Período]])</f>
        <v>2019</v>
      </c>
      <c r="U182" s="14">
        <f>MONTH(Dados[[#This Row],[Período]])</f>
        <v>3</v>
      </c>
    </row>
    <row r="183" spans="1:21" x14ac:dyDescent="0.25">
      <c r="A183" s="9">
        <v>43527</v>
      </c>
      <c r="B183" s="4" t="s">
        <v>29</v>
      </c>
      <c r="C183" s="5" t="s">
        <v>14</v>
      </c>
      <c r="D183" s="10">
        <v>8</v>
      </c>
      <c r="E183" s="10">
        <f t="shared" si="42"/>
        <v>7.5</v>
      </c>
      <c r="F183" s="10">
        <v>0.5</v>
      </c>
      <c r="G183" s="11">
        <v>440</v>
      </c>
      <c r="H183" s="11">
        <v>390.13400000000001</v>
      </c>
      <c r="I183" s="11">
        <v>8.7889999999999997</v>
      </c>
      <c r="J183" s="11">
        <f t="shared" si="43"/>
        <v>398.923</v>
      </c>
      <c r="K183" s="12">
        <f t="shared" si="44"/>
        <v>0.88666818181818186</v>
      </c>
      <c r="L183" s="12">
        <f t="shared" si="41"/>
        <v>0.94577939393939392</v>
      </c>
      <c r="M183" s="12">
        <f t="shared" si="45"/>
        <v>0.97796817932282676</v>
      </c>
      <c r="N183" s="12">
        <f t="shared" si="46"/>
        <v>2.2031820677173287E-2</v>
      </c>
      <c r="O183" s="14">
        <f>Dados[[#This Row],[Vol. Padrão]]/Dados[[#This Row],[Horas Disp.]]</f>
        <v>55</v>
      </c>
      <c r="P183" s="32" cm="1">
        <f t="array" ref="P183">SUM(Dados[[#This Row],[Vol. Líquido]:[V. Refugo]]/Dados[[#This Row],[H. Ativas]])</f>
        <v>53.189733333333336</v>
      </c>
      <c r="Q183" s="12">
        <f>Dados[[#This Row],[H. Ativas]]/Dados[[#This Row],[Horas Disp.]]</f>
        <v>0.9375</v>
      </c>
      <c r="R183" s="12">
        <f>Dados[[#This Row],[Vol. Bruto]]/Dados[[#This Row],[Vol. Padrão]]</f>
        <v>0.90664318181818182</v>
      </c>
      <c r="S183" s="12">
        <f>Dados[[#This Row],[Disponibilidade]]*Dados[[#This Row],[Desempenho]]*Dados[[#This Row],[Qualidade]]</f>
        <v>0.83125142045454548</v>
      </c>
      <c r="T183" s="14">
        <f>YEAR(Dados[[#This Row],[Período]])</f>
        <v>2019</v>
      </c>
      <c r="U183" s="14">
        <f>MONTH(Dados[[#This Row],[Período]])</f>
        <v>3</v>
      </c>
    </row>
    <row r="184" spans="1:21" x14ac:dyDescent="0.25">
      <c r="A184" s="9">
        <v>43528</v>
      </c>
      <c r="B184" s="4" t="s">
        <v>30</v>
      </c>
      <c r="C184" s="5" t="s">
        <v>16</v>
      </c>
      <c r="D184" s="10">
        <v>8</v>
      </c>
      <c r="E184" s="10">
        <f t="shared" si="42"/>
        <v>7.75</v>
      </c>
      <c r="F184" s="10">
        <v>0.25</v>
      </c>
      <c r="G184" s="11">
        <v>440</v>
      </c>
      <c r="H184" s="11">
        <v>344.98700000000002</v>
      </c>
      <c r="I184" s="11">
        <v>12.432</v>
      </c>
      <c r="J184" s="11">
        <f t="shared" si="43"/>
        <v>357.41900000000004</v>
      </c>
      <c r="K184" s="12">
        <f t="shared" si="44"/>
        <v>0.7840613636363637</v>
      </c>
      <c r="L184" s="12">
        <f t="shared" ref="L184:L205" si="47">H184/(E184*55)</f>
        <v>0.80935366568914957</v>
      </c>
      <c r="M184" s="12">
        <f t="shared" si="45"/>
        <v>0.96521729398828826</v>
      </c>
      <c r="N184" s="12">
        <f t="shared" si="46"/>
        <v>3.4782706011711739E-2</v>
      </c>
      <c r="O184" s="14">
        <f>Dados[[#This Row],[Vol. Padrão]]/Dados[[#This Row],[Horas Disp.]]</f>
        <v>55</v>
      </c>
      <c r="P184" s="32" cm="1">
        <f t="array" ref="P184">SUM(Dados[[#This Row],[Vol. Líquido]:[V. Refugo]]/Dados[[#This Row],[H. Ativas]])</f>
        <v>46.118580645161295</v>
      </c>
      <c r="Q184" s="12">
        <f>Dados[[#This Row],[H. Ativas]]/Dados[[#This Row],[Horas Disp.]]</f>
        <v>0.96875</v>
      </c>
      <c r="R184" s="12">
        <f>Dados[[#This Row],[Vol. Bruto]]/Dados[[#This Row],[Vol. Padrão]]</f>
        <v>0.81231590909090923</v>
      </c>
      <c r="S184" s="12">
        <f>Dados[[#This Row],[Disponibilidade]]*Dados[[#This Row],[Desempenho]]*Dados[[#This Row],[Qualidade]]</f>
        <v>0.7595594460227274</v>
      </c>
      <c r="T184" s="14">
        <f>YEAR(Dados[[#This Row],[Período]])</f>
        <v>2019</v>
      </c>
      <c r="U184" s="14">
        <f>MONTH(Dados[[#This Row],[Período]])</f>
        <v>3</v>
      </c>
    </row>
    <row r="185" spans="1:21" x14ac:dyDescent="0.25">
      <c r="A185" s="9">
        <v>43529</v>
      </c>
      <c r="B185" s="4" t="s">
        <v>26</v>
      </c>
      <c r="C185" s="5" t="s">
        <v>21</v>
      </c>
      <c r="D185" s="10">
        <v>8</v>
      </c>
      <c r="E185" s="10">
        <f t="shared" si="42"/>
        <v>7.12</v>
      </c>
      <c r="F185" s="10">
        <v>0.88</v>
      </c>
      <c r="G185" s="11">
        <v>440</v>
      </c>
      <c r="H185" s="11">
        <v>389.12</v>
      </c>
      <c r="I185" s="11">
        <v>13.95</v>
      </c>
      <c r="J185" s="11">
        <f t="shared" si="43"/>
        <v>403.07</v>
      </c>
      <c r="K185" s="12">
        <f t="shared" si="44"/>
        <v>0.88436363636363635</v>
      </c>
      <c r="L185" s="12">
        <f t="shared" si="47"/>
        <v>0.99366700715015321</v>
      </c>
      <c r="M185" s="12">
        <f t="shared" si="45"/>
        <v>0.96539062693824895</v>
      </c>
      <c r="N185" s="12">
        <f t="shared" si="46"/>
        <v>3.4609373061751061E-2</v>
      </c>
      <c r="O185" s="14">
        <f>Dados[[#This Row],[Vol. Padrão]]/Dados[[#This Row],[Horas Disp.]]</f>
        <v>55</v>
      </c>
      <c r="P185" s="32" cm="1">
        <f t="array" ref="P185">SUM(Dados[[#This Row],[Vol. Líquido]:[V. Refugo]]/Dados[[#This Row],[H. Ativas]])</f>
        <v>56.610955056179776</v>
      </c>
      <c r="Q185" s="12">
        <f>Dados[[#This Row],[H. Ativas]]/Dados[[#This Row],[Horas Disp.]]</f>
        <v>0.89</v>
      </c>
      <c r="R185" s="12">
        <f>Dados[[#This Row],[Vol. Bruto]]/Dados[[#This Row],[Vol. Padrão]]</f>
        <v>0.91606818181818184</v>
      </c>
      <c r="S185" s="12">
        <f>Dados[[#This Row],[Disponibilidade]]*Dados[[#This Row],[Desempenho]]*Dados[[#This Row],[Qualidade]]</f>
        <v>0.78708363636363643</v>
      </c>
      <c r="T185" s="14">
        <f>YEAR(Dados[[#This Row],[Período]])</f>
        <v>2019</v>
      </c>
      <c r="U185" s="14">
        <f>MONTH(Dados[[#This Row],[Período]])</f>
        <v>3</v>
      </c>
    </row>
    <row r="186" spans="1:21" x14ac:dyDescent="0.25">
      <c r="A186" s="9">
        <v>43530</v>
      </c>
      <c r="B186" s="4" t="s">
        <v>27</v>
      </c>
      <c r="C186" s="5" t="s">
        <v>20</v>
      </c>
      <c r="D186" s="10">
        <v>8</v>
      </c>
      <c r="E186" s="10">
        <f t="shared" si="42"/>
        <v>7.08</v>
      </c>
      <c r="F186" s="10">
        <v>0.92</v>
      </c>
      <c r="G186" s="11">
        <v>440</v>
      </c>
      <c r="H186" s="11">
        <v>288.33</v>
      </c>
      <c r="I186" s="11">
        <v>9.0850000000000009</v>
      </c>
      <c r="J186" s="11">
        <f t="shared" si="43"/>
        <v>297.41499999999996</v>
      </c>
      <c r="K186" s="12">
        <f t="shared" si="44"/>
        <v>0.65529545454545446</v>
      </c>
      <c r="L186" s="12">
        <f t="shared" si="47"/>
        <v>0.74044684129429894</v>
      </c>
      <c r="M186" s="12">
        <f t="shared" si="45"/>
        <v>0.96945345729031829</v>
      </c>
      <c r="N186" s="12">
        <f t="shared" si="46"/>
        <v>3.0546542709681764E-2</v>
      </c>
      <c r="O186" s="14">
        <f>Dados[[#This Row],[Vol. Padrão]]/Dados[[#This Row],[Horas Disp.]]</f>
        <v>55</v>
      </c>
      <c r="P186" s="32" cm="1">
        <f t="array" ref="P186">SUM(Dados[[#This Row],[Vol. Líquido]:[V. Refugo]]/Dados[[#This Row],[H. Ativas]])</f>
        <v>42.007768361581917</v>
      </c>
      <c r="Q186" s="12">
        <f>Dados[[#This Row],[H. Ativas]]/Dados[[#This Row],[Horas Disp.]]</f>
        <v>0.88500000000000001</v>
      </c>
      <c r="R186" s="12">
        <f>Dados[[#This Row],[Vol. Bruto]]/Dados[[#This Row],[Vol. Padrão]]</f>
        <v>0.67594318181818169</v>
      </c>
      <c r="S186" s="12">
        <f>Dados[[#This Row],[Disponibilidade]]*Dados[[#This Row],[Desempenho]]*Dados[[#This Row],[Qualidade]]</f>
        <v>0.57993647727272712</v>
      </c>
      <c r="T186" s="14">
        <f>YEAR(Dados[[#This Row],[Período]])</f>
        <v>2019</v>
      </c>
      <c r="U186" s="14">
        <f>MONTH(Dados[[#This Row],[Período]])</f>
        <v>3</v>
      </c>
    </row>
    <row r="187" spans="1:21" x14ac:dyDescent="0.25">
      <c r="A187" s="9">
        <v>43531</v>
      </c>
      <c r="B187" s="4" t="s">
        <v>28</v>
      </c>
      <c r="C187" s="5" t="s">
        <v>15</v>
      </c>
      <c r="D187" s="10">
        <v>8</v>
      </c>
      <c r="E187" s="10">
        <f t="shared" si="42"/>
        <v>6.67</v>
      </c>
      <c r="F187" s="10">
        <v>1.33</v>
      </c>
      <c r="G187" s="11">
        <v>440</v>
      </c>
      <c r="H187" s="11">
        <v>340.7</v>
      </c>
      <c r="I187" s="11">
        <v>3.3</v>
      </c>
      <c r="J187" s="11">
        <f t="shared" si="43"/>
        <v>344</v>
      </c>
      <c r="K187" s="12">
        <f t="shared" si="44"/>
        <v>0.77431818181818179</v>
      </c>
      <c r="L187" s="12">
        <f t="shared" si="47"/>
        <v>0.92871745945209205</v>
      </c>
      <c r="M187" s="12">
        <f t="shared" si="45"/>
        <v>0.99040697674418599</v>
      </c>
      <c r="N187" s="12">
        <f t="shared" si="46"/>
        <v>9.5930232558139525E-3</v>
      </c>
      <c r="O187" s="14">
        <f>Dados[[#This Row],[Vol. Padrão]]/Dados[[#This Row],[Horas Disp.]]</f>
        <v>55</v>
      </c>
      <c r="P187" s="32" cm="1">
        <f t="array" ref="P187">SUM(Dados[[#This Row],[Vol. Líquido]:[V. Refugo]]/Dados[[#This Row],[H. Ativas]])</f>
        <v>51.574212893553224</v>
      </c>
      <c r="Q187" s="12">
        <f>Dados[[#This Row],[H. Ativas]]/Dados[[#This Row],[Horas Disp.]]</f>
        <v>0.83374999999999999</v>
      </c>
      <c r="R187" s="12">
        <f>Dados[[#This Row],[Vol. Bruto]]/Dados[[#This Row],[Vol. Padrão]]</f>
        <v>0.78181818181818186</v>
      </c>
      <c r="S187" s="12">
        <f>Dados[[#This Row],[Disponibilidade]]*Dados[[#This Row],[Desempenho]]*Dados[[#This Row],[Qualidade]]</f>
        <v>0.645587784090909</v>
      </c>
      <c r="T187" s="14">
        <f>YEAR(Dados[[#This Row],[Período]])</f>
        <v>2019</v>
      </c>
      <c r="U187" s="14">
        <f>MONTH(Dados[[#This Row],[Período]])</f>
        <v>3</v>
      </c>
    </row>
    <row r="188" spans="1:21" x14ac:dyDescent="0.25">
      <c r="A188" s="9">
        <v>43532</v>
      </c>
      <c r="B188" s="4" t="s">
        <v>29</v>
      </c>
      <c r="C188" s="5" t="s">
        <v>19</v>
      </c>
      <c r="D188" s="10">
        <v>8</v>
      </c>
      <c r="E188" s="10">
        <f t="shared" si="42"/>
        <v>7.58</v>
      </c>
      <c r="F188" s="10">
        <v>0.42</v>
      </c>
      <c r="G188" s="11">
        <v>440</v>
      </c>
      <c r="H188" s="11">
        <v>369.8</v>
      </c>
      <c r="I188" s="11">
        <v>4.8899999999999997</v>
      </c>
      <c r="J188" s="11">
        <f t="shared" si="43"/>
        <v>374.69</v>
      </c>
      <c r="K188" s="12">
        <f t="shared" si="44"/>
        <v>0.84045454545454545</v>
      </c>
      <c r="L188" s="12">
        <f t="shared" si="47"/>
        <v>0.8870232669704966</v>
      </c>
      <c r="M188" s="12">
        <f t="shared" si="45"/>
        <v>0.98694921134804781</v>
      </c>
      <c r="N188" s="12">
        <f t="shared" si="46"/>
        <v>1.3050788651952279E-2</v>
      </c>
      <c r="O188" s="14">
        <f>Dados[[#This Row],[Vol. Padrão]]/Dados[[#This Row],[Horas Disp.]]</f>
        <v>55</v>
      </c>
      <c r="P188" s="32" cm="1">
        <f t="array" ref="P188">SUM(Dados[[#This Row],[Vol. Líquido]:[V. Refugo]]/Dados[[#This Row],[H. Ativas]])</f>
        <v>49.431398416886545</v>
      </c>
      <c r="Q188" s="12">
        <f>Dados[[#This Row],[H. Ativas]]/Dados[[#This Row],[Horas Disp.]]</f>
        <v>0.94750000000000001</v>
      </c>
      <c r="R188" s="12">
        <f>Dados[[#This Row],[Vol. Bruto]]/Dados[[#This Row],[Vol. Padrão]]</f>
        <v>0.85156818181818184</v>
      </c>
      <c r="S188" s="12">
        <f>Dados[[#This Row],[Disponibilidade]]*Dados[[#This Row],[Desempenho]]*Dados[[#This Row],[Qualidade]]</f>
        <v>0.7963306818181819</v>
      </c>
      <c r="T188" s="14">
        <f>YEAR(Dados[[#This Row],[Período]])</f>
        <v>2019</v>
      </c>
      <c r="U188" s="14">
        <f>MONTH(Dados[[#This Row],[Período]])</f>
        <v>3</v>
      </c>
    </row>
    <row r="189" spans="1:21" x14ac:dyDescent="0.25">
      <c r="A189" s="9">
        <v>43533</v>
      </c>
      <c r="B189" s="4" t="s">
        <v>30</v>
      </c>
      <c r="C189" s="5" t="s">
        <v>18</v>
      </c>
      <c r="D189" s="10">
        <v>8</v>
      </c>
      <c r="E189" s="10">
        <f t="shared" si="42"/>
        <v>7.64</v>
      </c>
      <c r="F189" s="10">
        <v>0.36</v>
      </c>
      <c r="G189" s="11">
        <v>440</v>
      </c>
      <c r="H189" s="11">
        <v>382.6</v>
      </c>
      <c r="I189" s="11">
        <v>5.6</v>
      </c>
      <c r="J189" s="11">
        <f t="shared" si="43"/>
        <v>388.20000000000005</v>
      </c>
      <c r="K189" s="12">
        <f t="shared" si="44"/>
        <v>0.86954545454545462</v>
      </c>
      <c r="L189" s="12">
        <f t="shared" si="47"/>
        <v>0.91051880057115664</v>
      </c>
      <c r="M189" s="12">
        <f t="shared" si="45"/>
        <v>0.98557444616177226</v>
      </c>
      <c r="N189" s="12">
        <f t="shared" si="46"/>
        <v>1.4425553838227715E-2</v>
      </c>
      <c r="O189" s="14">
        <f>Dados[[#This Row],[Vol. Padrão]]/Dados[[#This Row],[Horas Disp.]]</f>
        <v>55</v>
      </c>
      <c r="P189" s="32" cm="1">
        <f t="array" ref="P189">SUM(Dados[[#This Row],[Vol. Líquido]:[V. Refugo]]/Dados[[#This Row],[H. Ativas]])</f>
        <v>50.811518324607334</v>
      </c>
      <c r="Q189" s="12">
        <f>Dados[[#This Row],[H. Ativas]]/Dados[[#This Row],[Horas Disp.]]</f>
        <v>0.95499999999999996</v>
      </c>
      <c r="R189" s="12">
        <f>Dados[[#This Row],[Vol. Bruto]]/Dados[[#This Row],[Vol. Padrão]]</f>
        <v>0.88227272727272743</v>
      </c>
      <c r="S189" s="12">
        <f>Dados[[#This Row],[Disponibilidade]]*Dados[[#This Row],[Desempenho]]*Dados[[#This Row],[Qualidade]]</f>
        <v>0.83041590909090912</v>
      </c>
      <c r="T189" s="14">
        <f>YEAR(Dados[[#This Row],[Período]])</f>
        <v>2019</v>
      </c>
      <c r="U189" s="14">
        <f>MONTH(Dados[[#This Row],[Período]])</f>
        <v>3</v>
      </c>
    </row>
    <row r="190" spans="1:21" x14ac:dyDescent="0.25">
      <c r="A190" s="9">
        <v>43534</v>
      </c>
      <c r="B190" s="4" t="s">
        <v>26</v>
      </c>
      <c r="C190" s="5" t="s">
        <v>22</v>
      </c>
      <c r="D190" s="10">
        <v>8</v>
      </c>
      <c r="E190" s="10">
        <f t="shared" si="42"/>
        <v>7.45</v>
      </c>
      <c r="F190" s="10">
        <v>0.55000000000000004</v>
      </c>
      <c r="G190" s="11">
        <v>440</v>
      </c>
      <c r="H190" s="11">
        <v>403.9</v>
      </c>
      <c r="I190" s="11">
        <v>6.7</v>
      </c>
      <c r="J190" s="11">
        <f t="shared" si="43"/>
        <v>410.59999999999997</v>
      </c>
      <c r="K190" s="12">
        <f t="shared" si="44"/>
        <v>0.91795454545454536</v>
      </c>
      <c r="L190" s="12">
        <f t="shared" si="47"/>
        <v>0.9857230018303843</v>
      </c>
      <c r="M190" s="12">
        <f t="shared" si="45"/>
        <v>0.98368241597661965</v>
      </c>
      <c r="N190" s="12">
        <f t="shared" si="46"/>
        <v>1.6317584023380422E-2</v>
      </c>
      <c r="O190" s="14">
        <f>Dados[[#This Row],[Vol. Padrão]]/Dados[[#This Row],[Horas Disp.]]</f>
        <v>55</v>
      </c>
      <c r="P190" s="32" cm="1">
        <f t="array" ref="P190">SUM(Dados[[#This Row],[Vol. Líquido]:[V. Refugo]]/Dados[[#This Row],[H. Ativas]])</f>
        <v>55.114093959731541</v>
      </c>
      <c r="Q190" s="12">
        <f>Dados[[#This Row],[H. Ativas]]/Dados[[#This Row],[Horas Disp.]]</f>
        <v>0.93125000000000002</v>
      </c>
      <c r="R190" s="12">
        <f>Dados[[#This Row],[Vol. Bruto]]/Dados[[#This Row],[Vol. Padrão]]</f>
        <v>0.93318181818181811</v>
      </c>
      <c r="S190" s="12">
        <f>Dados[[#This Row],[Disponibilidade]]*Dados[[#This Row],[Desempenho]]*Dados[[#This Row],[Qualidade]]</f>
        <v>0.85484517045454544</v>
      </c>
      <c r="T190" s="14">
        <f>YEAR(Dados[[#This Row],[Período]])</f>
        <v>2019</v>
      </c>
      <c r="U190" s="14">
        <f>MONTH(Dados[[#This Row],[Período]])</f>
        <v>3</v>
      </c>
    </row>
    <row r="191" spans="1:21" x14ac:dyDescent="0.25">
      <c r="A191" s="9">
        <v>43535</v>
      </c>
      <c r="B191" s="4" t="s">
        <v>29</v>
      </c>
      <c r="C191" s="5" t="s">
        <v>14</v>
      </c>
      <c r="D191" s="10">
        <v>8</v>
      </c>
      <c r="E191" s="10">
        <f t="shared" si="42"/>
        <v>7.2</v>
      </c>
      <c r="F191" s="10">
        <v>0.8</v>
      </c>
      <c r="G191" s="11">
        <v>440</v>
      </c>
      <c r="H191" s="11">
        <v>358.4</v>
      </c>
      <c r="I191" s="11">
        <v>9.1999999999999993</v>
      </c>
      <c r="J191" s="11">
        <f t="shared" si="43"/>
        <v>367.59999999999997</v>
      </c>
      <c r="K191" s="12">
        <f t="shared" si="44"/>
        <v>0.81454545454545446</v>
      </c>
      <c r="L191" s="12">
        <f t="shared" si="47"/>
        <v>0.90505050505050499</v>
      </c>
      <c r="M191" s="12">
        <f t="shared" si="45"/>
        <v>0.97497279651795432</v>
      </c>
      <c r="N191" s="12">
        <f t="shared" si="46"/>
        <v>2.5027203482045703E-2</v>
      </c>
      <c r="O191" s="14">
        <f>Dados[[#This Row],[Vol. Padrão]]/Dados[[#This Row],[Horas Disp.]]</f>
        <v>55</v>
      </c>
      <c r="P191" s="32" cm="1">
        <f t="array" ref="P191">SUM(Dados[[#This Row],[Vol. Líquido]:[V. Refugo]]/Dados[[#This Row],[H. Ativas]])</f>
        <v>51.05555555555555</v>
      </c>
      <c r="Q191" s="12">
        <f>Dados[[#This Row],[H. Ativas]]/Dados[[#This Row],[Horas Disp.]]</f>
        <v>0.9</v>
      </c>
      <c r="R191" s="12">
        <f>Dados[[#This Row],[Vol. Bruto]]/Dados[[#This Row],[Vol. Padrão]]</f>
        <v>0.83545454545454534</v>
      </c>
      <c r="S191" s="12">
        <f>Dados[[#This Row],[Disponibilidade]]*Dados[[#This Row],[Desempenho]]*Dados[[#This Row],[Qualidade]]</f>
        <v>0.73309090909090902</v>
      </c>
      <c r="T191" s="14">
        <f>YEAR(Dados[[#This Row],[Período]])</f>
        <v>2019</v>
      </c>
      <c r="U191" s="14">
        <f>MONTH(Dados[[#This Row],[Período]])</f>
        <v>3</v>
      </c>
    </row>
    <row r="192" spans="1:21" x14ac:dyDescent="0.25">
      <c r="A192" s="9">
        <v>43536</v>
      </c>
      <c r="B192" s="4" t="s">
        <v>27</v>
      </c>
      <c r="C192" s="5" t="s">
        <v>20</v>
      </c>
      <c r="D192" s="10">
        <v>8</v>
      </c>
      <c r="E192" s="10">
        <f t="shared" si="42"/>
        <v>7.25</v>
      </c>
      <c r="F192" s="10">
        <v>0.75</v>
      </c>
      <c r="G192" s="11">
        <v>440</v>
      </c>
      <c r="H192" s="11">
        <v>301.55</v>
      </c>
      <c r="I192" s="11">
        <v>4.3209999999999997</v>
      </c>
      <c r="J192" s="11">
        <f t="shared" si="43"/>
        <v>305.87100000000004</v>
      </c>
      <c r="K192" s="12">
        <f t="shared" si="44"/>
        <v>0.68534090909090917</v>
      </c>
      <c r="L192" s="12">
        <f t="shared" si="47"/>
        <v>0.75623824451410659</v>
      </c>
      <c r="M192" s="12">
        <f t="shared" si="45"/>
        <v>0.98587312952192252</v>
      </c>
      <c r="N192" s="12">
        <f t="shared" si="46"/>
        <v>1.4126870478077357E-2</v>
      </c>
      <c r="O192" s="14">
        <f>Dados[[#This Row],[Vol. Padrão]]/Dados[[#This Row],[Horas Disp.]]</f>
        <v>55</v>
      </c>
      <c r="P192" s="32" cm="1">
        <f t="array" ref="P192">SUM(Dados[[#This Row],[Vol. Líquido]:[V. Refugo]]/Dados[[#This Row],[H. Ativas]])</f>
        <v>42.189103448275858</v>
      </c>
      <c r="Q192" s="12">
        <f>Dados[[#This Row],[H. Ativas]]/Dados[[#This Row],[Horas Disp.]]</f>
        <v>0.90625</v>
      </c>
      <c r="R192" s="12">
        <f>Dados[[#This Row],[Vol. Bruto]]/Dados[[#This Row],[Vol. Padrão]]</f>
        <v>0.69516136363636372</v>
      </c>
      <c r="S192" s="12">
        <f>Dados[[#This Row],[Disponibilidade]]*Dados[[#This Row],[Desempenho]]*Dados[[#This Row],[Qualidade]]</f>
        <v>0.62109019886363637</v>
      </c>
      <c r="T192" s="14">
        <f>YEAR(Dados[[#This Row],[Período]])</f>
        <v>2019</v>
      </c>
      <c r="U192" s="14">
        <f>MONTH(Dados[[#This Row],[Período]])</f>
        <v>3</v>
      </c>
    </row>
    <row r="193" spans="1:21" x14ac:dyDescent="0.25">
      <c r="A193" s="9">
        <v>43537</v>
      </c>
      <c r="B193" s="4" t="s">
        <v>28</v>
      </c>
      <c r="C193" s="5" t="s">
        <v>13</v>
      </c>
      <c r="D193" s="10">
        <v>8</v>
      </c>
      <c r="E193" s="10">
        <f t="shared" si="42"/>
        <v>7.33</v>
      </c>
      <c r="F193" s="10">
        <v>0.67</v>
      </c>
      <c r="G193" s="11">
        <v>440</v>
      </c>
      <c r="H193" s="11">
        <v>448.9</v>
      </c>
      <c r="I193" s="11">
        <v>2.4</v>
      </c>
      <c r="J193" s="11">
        <f t="shared" si="43"/>
        <v>451.29999999999995</v>
      </c>
      <c r="K193" s="12">
        <f t="shared" si="44"/>
        <v>1.0202272727272728</v>
      </c>
      <c r="L193" s="12">
        <f t="shared" si="47"/>
        <v>1.1134813344908843</v>
      </c>
      <c r="M193" s="12">
        <f t="shared" si="45"/>
        <v>0.99468202969200092</v>
      </c>
      <c r="N193" s="12">
        <f t="shared" si="46"/>
        <v>5.317970307999114E-3</v>
      </c>
      <c r="O193" s="14">
        <f>Dados[[#This Row],[Vol. Padrão]]/Dados[[#This Row],[Horas Disp.]]</f>
        <v>55</v>
      </c>
      <c r="P193" s="32" cm="1">
        <f t="array" ref="P193">SUM(Dados[[#This Row],[Vol. Líquido]:[V. Refugo]]/Dados[[#This Row],[H. Ativas]])</f>
        <v>61.568894952251014</v>
      </c>
      <c r="Q193" s="12">
        <f>Dados[[#This Row],[H. Ativas]]/Dados[[#This Row],[Horas Disp.]]</f>
        <v>0.91625000000000001</v>
      </c>
      <c r="R193" s="12">
        <f>Dados[[#This Row],[Vol. Bruto]]/Dados[[#This Row],[Vol. Padrão]]</f>
        <v>1.0256818181818181</v>
      </c>
      <c r="S193" s="12">
        <f>Dados[[#This Row],[Disponibilidade]]*Dados[[#This Row],[Desempenho]]*Dados[[#This Row],[Qualidade]]</f>
        <v>0.9347832386363637</v>
      </c>
      <c r="T193" s="14">
        <f>YEAR(Dados[[#This Row],[Período]])</f>
        <v>2019</v>
      </c>
      <c r="U193" s="14">
        <f>MONTH(Dados[[#This Row],[Período]])</f>
        <v>3</v>
      </c>
    </row>
    <row r="194" spans="1:21" x14ac:dyDescent="0.25">
      <c r="A194" s="9">
        <v>43556</v>
      </c>
      <c r="B194" s="4" t="s">
        <v>26</v>
      </c>
      <c r="C194" s="5" t="s">
        <v>21</v>
      </c>
      <c r="D194" s="10">
        <v>8</v>
      </c>
      <c r="E194" s="10">
        <f t="shared" ref="E194:E205" si="48">D194-F194</f>
        <v>7.75</v>
      </c>
      <c r="F194" s="10">
        <v>0.25</v>
      </c>
      <c r="G194" s="11">
        <v>440</v>
      </c>
      <c r="H194" s="11">
        <v>330.47</v>
      </c>
      <c r="I194" s="11">
        <v>10.89</v>
      </c>
      <c r="J194" s="11">
        <f t="shared" ref="J194:J205" si="49">SUM(H194:I194)</f>
        <v>341.36</v>
      </c>
      <c r="K194" s="12">
        <f t="shared" ref="K194:K205" si="50">(H194/G194)</f>
        <v>0.75106818181818191</v>
      </c>
      <c r="L194" s="12">
        <f t="shared" si="47"/>
        <v>0.77529618768328457</v>
      </c>
      <c r="M194" s="12">
        <f t="shared" ref="M194:M205" si="51">(H194/J194)</f>
        <v>0.96809819545348019</v>
      </c>
      <c r="N194" s="12">
        <f t="shared" ref="N194:N205" si="52">I194/(H194+I194)</f>
        <v>3.1901804546519801E-2</v>
      </c>
      <c r="O194" s="14">
        <f>Dados[[#This Row],[Vol. Padrão]]/Dados[[#This Row],[Horas Disp.]]</f>
        <v>55</v>
      </c>
      <c r="P194" s="32" cm="1">
        <f t="array" ref="P194">SUM(Dados[[#This Row],[Vol. Líquido]:[V. Refugo]]/Dados[[#This Row],[H. Ativas]])</f>
        <v>44.046451612903233</v>
      </c>
      <c r="Q194" s="12">
        <f>Dados[[#This Row],[H. Ativas]]/Dados[[#This Row],[Horas Disp.]]</f>
        <v>0.96875</v>
      </c>
      <c r="R194" s="12">
        <f>Dados[[#This Row],[Vol. Bruto]]/Dados[[#This Row],[Vol. Padrão]]</f>
        <v>0.77581818181818185</v>
      </c>
      <c r="S194" s="12">
        <f>Dados[[#This Row],[Disponibilidade]]*Dados[[#This Row],[Desempenho]]*Dados[[#This Row],[Qualidade]]</f>
        <v>0.72759730113636367</v>
      </c>
      <c r="T194" s="14">
        <f>YEAR(Dados[[#This Row],[Período]])</f>
        <v>2019</v>
      </c>
      <c r="U194" s="14">
        <f>MONTH(Dados[[#This Row],[Período]])</f>
        <v>4</v>
      </c>
    </row>
    <row r="195" spans="1:21" x14ac:dyDescent="0.25">
      <c r="A195" s="9">
        <v>43557</v>
      </c>
      <c r="B195" s="4" t="s">
        <v>27</v>
      </c>
      <c r="C195" s="5" t="s">
        <v>17</v>
      </c>
      <c r="D195" s="10">
        <v>8</v>
      </c>
      <c r="E195" s="10">
        <f t="shared" si="48"/>
        <v>7.58</v>
      </c>
      <c r="F195" s="6">
        <v>0.42</v>
      </c>
      <c r="G195" s="11">
        <v>440</v>
      </c>
      <c r="H195" s="11">
        <v>375.76</v>
      </c>
      <c r="I195" s="11">
        <v>23.09</v>
      </c>
      <c r="J195" s="11">
        <f t="shared" si="49"/>
        <v>398.84999999999997</v>
      </c>
      <c r="K195" s="12">
        <f t="shared" si="50"/>
        <v>0.85399999999999998</v>
      </c>
      <c r="L195" s="12">
        <f t="shared" si="47"/>
        <v>0.9013192612137203</v>
      </c>
      <c r="M195" s="12">
        <f t="shared" si="51"/>
        <v>0.94210856211608385</v>
      </c>
      <c r="N195" s="12">
        <f t="shared" si="52"/>
        <v>5.7891437883916264E-2</v>
      </c>
      <c r="O195" s="14">
        <f>Dados[[#This Row],[Vol. Padrão]]/Dados[[#This Row],[Horas Disp.]]</f>
        <v>55</v>
      </c>
      <c r="P195" s="32" cm="1">
        <f t="array" ref="P195">SUM(Dados[[#This Row],[Vol. Líquido]:[V. Refugo]]/Dados[[#This Row],[H. Ativas]])</f>
        <v>52.618733509234829</v>
      </c>
      <c r="Q195" s="12">
        <f>Dados[[#This Row],[H. Ativas]]/Dados[[#This Row],[Horas Disp.]]</f>
        <v>0.94750000000000001</v>
      </c>
      <c r="R195" s="12">
        <f>Dados[[#This Row],[Vol. Bruto]]/Dados[[#This Row],[Vol. Padrão]]</f>
        <v>0.90647727272727263</v>
      </c>
      <c r="S195" s="12">
        <f>Dados[[#This Row],[Disponibilidade]]*Dados[[#This Row],[Desempenho]]*Dados[[#This Row],[Qualidade]]</f>
        <v>0.80916500000000002</v>
      </c>
      <c r="T195" s="14">
        <f>YEAR(Dados[[#This Row],[Período]])</f>
        <v>2019</v>
      </c>
      <c r="U195" s="14">
        <f>MONTH(Dados[[#This Row],[Período]])</f>
        <v>4</v>
      </c>
    </row>
    <row r="196" spans="1:21" x14ac:dyDescent="0.25">
      <c r="A196" s="9">
        <v>43558</v>
      </c>
      <c r="B196" s="4" t="s">
        <v>28</v>
      </c>
      <c r="C196" s="5" t="s">
        <v>15</v>
      </c>
      <c r="D196" s="10">
        <v>8</v>
      </c>
      <c r="E196" s="10">
        <f t="shared" si="48"/>
        <v>7.45</v>
      </c>
      <c r="F196" s="6">
        <v>0.55000000000000004</v>
      </c>
      <c r="G196" s="11">
        <v>440</v>
      </c>
      <c r="H196" s="11">
        <v>361.03</v>
      </c>
      <c r="I196" s="11">
        <v>3.2</v>
      </c>
      <c r="J196" s="11">
        <f t="shared" si="49"/>
        <v>364.22999999999996</v>
      </c>
      <c r="K196" s="12">
        <f t="shared" si="50"/>
        <v>0.82052272727272724</v>
      </c>
      <c r="L196" s="12">
        <f t="shared" si="47"/>
        <v>0.88109823062843196</v>
      </c>
      <c r="M196" s="12">
        <f t="shared" si="51"/>
        <v>0.99121434258572882</v>
      </c>
      <c r="N196" s="12">
        <f t="shared" si="52"/>
        <v>8.7856574142712029E-3</v>
      </c>
      <c r="O196" s="14">
        <f>Dados[[#This Row],[Vol. Padrão]]/Dados[[#This Row],[Horas Disp.]]</f>
        <v>55</v>
      </c>
      <c r="P196" s="32" cm="1">
        <f t="array" ref="P196">SUM(Dados[[#This Row],[Vol. Líquido]:[V. Refugo]]/Dados[[#This Row],[H. Ativas]])</f>
        <v>48.889932885906035</v>
      </c>
      <c r="Q196" s="12">
        <f>Dados[[#This Row],[H. Ativas]]/Dados[[#This Row],[Horas Disp.]]</f>
        <v>0.93125000000000002</v>
      </c>
      <c r="R196" s="12">
        <f>Dados[[#This Row],[Vol. Bruto]]/Dados[[#This Row],[Vol. Padrão]]</f>
        <v>0.82779545454545445</v>
      </c>
      <c r="S196" s="12">
        <f>Dados[[#This Row],[Disponibilidade]]*Dados[[#This Row],[Desempenho]]*Dados[[#This Row],[Qualidade]]</f>
        <v>0.7641117897727272</v>
      </c>
      <c r="T196" s="14">
        <f>YEAR(Dados[[#This Row],[Período]])</f>
        <v>2019</v>
      </c>
      <c r="U196" s="14">
        <f>MONTH(Dados[[#This Row],[Período]])</f>
        <v>4</v>
      </c>
    </row>
    <row r="197" spans="1:21" x14ac:dyDescent="0.25">
      <c r="A197" s="9">
        <v>43559</v>
      </c>
      <c r="B197" s="4" t="s">
        <v>29</v>
      </c>
      <c r="C197" s="5" t="s">
        <v>19</v>
      </c>
      <c r="D197" s="10">
        <v>8</v>
      </c>
      <c r="E197" s="10">
        <f t="shared" si="48"/>
        <v>7.55</v>
      </c>
      <c r="F197" s="6">
        <v>0.45</v>
      </c>
      <c r="G197" s="11">
        <v>440</v>
      </c>
      <c r="H197" s="11">
        <v>341.45</v>
      </c>
      <c r="I197" s="11">
        <v>7.87</v>
      </c>
      <c r="J197" s="11">
        <f t="shared" si="49"/>
        <v>349.32</v>
      </c>
      <c r="K197" s="12">
        <f t="shared" si="50"/>
        <v>0.77602272727272725</v>
      </c>
      <c r="L197" s="12">
        <f t="shared" si="47"/>
        <v>0.82227573750752558</v>
      </c>
      <c r="M197" s="12">
        <f t="shared" si="51"/>
        <v>0.97747051414176112</v>
      </c>
      <c r="N197" s="12">
        <f t="shared" si="52"/>
        <v>2.2529485858238864E-2</v>
      </c>
      <c r="O197" s="14">
        <f>Dados[[#This Row],[Vol. Padrão]]/Dados[[#This Row],[Horas Disp.]]</f>
        <v>55</v>
      </c>
      <c r="P197" s="32" cm="1">
        <f t="array" ref="P197">SUM(Dados[[#This Row],[Vol. Líquido]:[V. Refugo]]/Dados[[#This Row],[H. Ativas]])</f>
        <v>46.267549668874175</v>
      </c>
      <c r="Q197" s="12">
        <f>Dados[[#This Row],[H. Ativas]]/Dados[[#This Row],[Horas Disp.]]</f>
        <v>0.94374999999999998</v>
      </c>
      <c r="R197" s="12">
        <f>Dados[[#This Row],[Vol. Bruto]]/Dados[[#This Row],[Vol. Padrão]]</f>
        <v>0.7939090909090909</v>
      </c>
      <c r="S197" s="12">
        <f>Dados[[#This Row],[Disponibilidade]]*Dados[[#This Row],[Desempenho]]*Dados[[#This Row],[Qualidade]]</f>
        <v>0.73237144886363637</v>
      </c>
      <c r="T197" s="14">
        <f>YEAR(Dados[[#This Row],[Período]])</f>
        <v>2019</v>
      </c>
      <c r="U197" s="14">
        <f>MONTH(Dados[[#This Row],[Período]])</f>
        <v>4</v>
      </c>
    </row>
    <row r="198" spans="1:21" x14ac:dyDescent="0.25">
      <c r="A198" s="9">
        <v>43560</v>
      </c>
      <c r="B198" s="4" t="s">
        <v>30</v>
      </c>
      <c r="C198" s="5" t="s">
        <v>18</v>
      </c>
      <c r="D198" s="10">
        <v>8</v>
      </c>
      <c r="E198" s="10">
        <f t="shared" si="48"/>
        <v>7.7</v>
      </c>
      <c r="F198" s="6">
        <v>0.3</v>
      </c>
      <c r="G198" s="11">
        <v>440</v>
      </c>
      <c r="H198" s="11">
        <v>339.5</v>
      </c>
      <c r="I198" s="11">
        <v>5.3</v>
      </c>
      <c r="J198" s="11">
        <f t="shared" si="49"/>
        <v>344.8</v>
      </c>
      <c r="K198" s="12">
        <f t="shared" si="50"/>
        <v>0.77159090909090911</v>
      </c>
      <c r="L198" s="12">
        <f t="shared" si="47"/>
        <v>0.80165289256198347</v>
      </c>
      <c r="M198" s="12">
        <f t="shared" si="51"/>
        <v>0.9846287703016241</v>
      </c>
      <c r="N198" s="12">
        <f t="shared" si="52"/>
        <v>1.5371229698375869E-2</v>
      </c>
      <c r="O198" s="14">
        <f>Dados[[#This Row],[Vol. Padrão]]/Dados[[#This Row],[Horas Disp.]]</f>
        <v>55</v>
      </c>
      <c r="P198" s="32" cm="1">
        <f t="array" ref="P198">SUM(Dados[[#This Row],[Vol. Líquido]:[V. Refugo]]/Dados[[#This Row],[H. Ativas]])</f>
        <v>44.779220779220772</v>
      </c>
      <c r="Q198" s="12">
        <f>Dados[[#This Row],[H. Ativas]]/Dados[[#This Row],[Horas Disp.]]</f>
        <v>0.96250000000000002</v>
      </c>
      <c r="R198" s="12">
        <f>Dados[[#This Row],[Vol. Bruto]]/Dados[[#This Row],[Vol. Padrão]]</f>
        <v>0.78363636363636369</v>
      </c>
      <c r="S198" s="12">
        <f>Dados[[#This Row],[Disponibilidade]]*Dados[[#This Row],[Desempenho]]*Dados[[#This Row],[Qualidade]]</f>
        <v>0.74265625000000002</v>
      </c>
      <c r="T198" s="14">
        <f>YEAR(Dados[[#This Row],[Período]])</f>
        <v>2019</v>
      </c>
      <c r="U198" s="14">
        <f>MONTH(Dados[[#This Row],[Período]])</f>
        <v>4</v>
      </c>
    </row>
    <row r="199" spans="1:21" x14ac:dyDescent="0.25">
      <c r="A199" s="9">
        <v>43561</v>
      </c>
      <c r="B199" s="4" t="s">
        <v>26</v>
      </c>
      <c r="C199" s="5" t="s">
        <v>22</v>
      </c>
      <c r="D199" s="10">
        <v>8</v>
      </c>
      <c r="E199" s="10">
        <f t="shared" si="48"/>
        <v>7.82</v>
      </c>
      <c r="F199" s="6">
        <v>0.18</v>
      </c>
      <c r="G199" s="11">
        <v>440</v>
      </c>
      <c r="H199" s="11">
        <v>410.6</v>
      </c>
      <c r="I199" s="11">
        <v>1.8</v>
      </c>
      <c r="J199" s="11">
        <f t="shared" si="49"/>
        <v>412.40000000000003</v>
      </c>
      <c r="K199" s="12">
        <f t="shared" si="50"/>
        <v>0.93318181818181822</v>
      </c>
      <c r="L199" s="12">
        <f t="shared" si="47"/>
        <v>0.95466170657986515</v>
      </c>
      <c r="M199" s="12">
        <f t="shared" si="51"/>
        <v>0.99563530552861301</v>
      </c>
      <c r="N199" s="12">
        <f t="shared" si="52"/>
        <v>4.3646944713870029E-3</v>
      </c>
      <c r="O199" s="14">
        <f>Dados[[#This Row],[Vol. Padrão]]/Dados[[#This Row],[Horas Disp.]]</f>
        <v>55</v>
      </c>
      <c r="P199" s="32" cm="1">
        <f t="array" ref="P199">SUM(Dados[[#This Row],[Vol. Líquido]:[V. Refugo]]/Dados[[#This Row],[H. Ativas]])</f>
        <v>52.736572890025577</v>
      </c>
      <c r="Q199" s="12">
        <f>Dados[[#This Row],[H. Ativas]]/Dados[[#This Row],[Horas Disp.]]</f>
        <v>0.97750000000000004</v>
      </c>
      <c r="R199" s="12">
        <f>Dados[[#This Row],[Vol. Bruto]]/Dados[[#This Row],[Vol. Padrão]]</f>
        <v>0.93727272727272737</v>
      </c>
      <c r="S199" s="12">
        <f>Dados[[#This Row],[Disponibilidade]]*Dados[[#This Row],[Desempenho]]*Dados[[#This Row],[Qualidade]]</f>
        <v>0.91218522727272744</v>
      </c>
      <c r="T199" s="14">
        <f>YEAR(Dados[[#This Row],[Período]])</f>
        <v>2019</v>
      </c>
      <c r="U199" s="14">
        <f>MONTH(Dados[[#This Row],[Período]])</f>
        <v>4</v>
      </c>
    </row>
    <row r="200" spans="1:21" x14ac:dyDescent="0.25">
      <c r="A200" s="9">
        <v>43562</v>
      </c>
      <c r="B200" s="4" t="s">
        <v>27</v>
      </c>
      <c r="C200" s="5" t="s">
        <v>20</v>
      </c>
      <c r="D200" s="10">
        <v>8</v>
      </c>
      <c r="E200" s="10">
        <f t="shared" si="48"/>
        <v>7.33</v>
      </c>
      <c r="F200" s="6">
        <v>0.67</v>
      </c>
      <c r="G200" s="11">
        <v>440</v>
      </c>
      <c r="H200" s="11">
        <v>348.45600000000002</v>
      </c>
      <c r="I200" s="11">
        <v>23.4</v>
      </c>
      <c r="J200" s="11">
        <f t="shared" si="49"/>
        <v>371.85599999999999</v>
      </c>
      <c r="K200" s="12">
        <f t="shared" si="50"/>
        <v>0.79194545454545462</v>
      </c>
      <c r="L200" s="12">
        <f t="shared" si="47"/>
        <v>0.86433337467443894</v>
      </c>
      <c r="M200" s="12">
        <f t="shared" si="51"/>
        <v>0.93707241512843686</v>
      </c>
      <c r="N200" s="12">
        <f t="shared" si="52"/>
        <v>6.2927584871563177E-2</v>
      </c>
      <c r="O200" s="14">
        <f>Dados[[#This Row],[Vol. Padrão]]/Dados[[#This Row],[Horas Disp.]]</f>
        <v>55</v>
      </c>
      <c r="P200" s="32" cm="1">
        <f t="array" ref="P200">SUM(Dados[[#This Row],[Vol. Líquido]:[V. Refugo]]/Dados[[#This Row],[H. Ativas]])</f>
        <v>50.730695770804914</v>
      </c>
      <c r="Q200" s="12">
        <f>Dados[[#This Row],[H. Ativas]]/Dados[[#This Row],[Horas Disp.]]</f>
        <v>0.91625000000000001</v>
      </c>
      <c r="R200" s="12">
        <f>Dados[[#This Row],[Vol. Bruto]]/Dados[[#This Row],[Vol. Padrão]]</f>
        <v>0.84512727272727273</v>
      </c>
      <c r="S200" s="12">
        <f>Dados[[#This Row],[Disponibilidade]]*Dados[[#This Row],[Desempenho]]*Dados[[#This Row],[Qualidade]]</f>
        <v>0.72562002272727277</v>
      </c>
      <c r="T200" s="14">
        <f>YEAR(Dados[[#This Row],[Período]])</f>
        <v>2019</v>
      </c>
      <c r="U200" s="14">
        <f>MONTH(Dados[[#This Row],[Período]])</f>
        <v>4</v>
      </c>
    </row>
    <row r="201" spans="1:21" x14ac:dyDescent="0.25">
      <c r="A201" s="9">
        <v>43563</v>
      </c>
      <c r="B201" s="4" t="s">
        <v>28</v>
      </c>
      <c r="C201" s="5" t="s">
        <v>13</v>
      </c>
      <c r="D201" s="10">
        <v>8</v>
      </c>
      <c r="E201" s="10">
        <f t="shared" si="48"/>
        <v>6.83</v>
      </c>
      <c r="F201" s="6">
        <v>1.17</v>
      </c>
      <c r="G201" s="11">
        <v>440</v>
      </c>
      <c r="H201" s="11">
        <v>362.32100000000003</v>
      </c>
      <c r="I201" s="11">
        <v>2.3450000000000002</v>
      </c>
      <c r="J201" s="11">
        <f t="shared" si="49"/>
        <v>364.66600000000005</v>
      </c>
      <c r="K201" s="12">
        <f t="shared" si="50"/>
        <v>0.82345681818181826</v>
      </c>
      <c r="L201" s="12">
        <f t="shared" si="47"/>
        <v>0.9645175029948091</v>
      </c>
      <c r="M201" s="12">
        <f t="shared" si="51"/>
        <v>0.99356945807944796</v>
      </c>
      <c r="N201" s="12">
        <f t="shared" si="52"/>
        <v>6.4305419205519564E-3</v>
      </c>
      <c r="O201" s="14">
        <f>Dados[[#This Row],[Vol. Padrão]]/Dados[[#This Row],[Horas Disp.]]</f>
        <v>55</v>
      </c>
      <c r="P201" s="32" cm="1">
        <f t="array" ref="P201">SUM(Dados[[#This Row],[Vol. Líquido]:[V. Refugo]]/Dados[[#This Row],[H. Ativas]])</f>
        <v>53.391800878477312</v>
      </c>
      <c r="Q201" s="12">
        <f>Dados[[#This Row],[H. Ativas]]/Dados[[#This Row],[Horas Disp.]]</f>
        <v>0.85375000000000001</v>
      </c>
      <c r="R201" s="12">
        <f>Dados[[#This Row],[Vol. Bruto]]/Dados[[#This Row],[Vol. Padrão]]</f>
        <v>0.82878636363636371</v>
      </c>
      <c r="S201" s="12">
        <f>Dados[[#This Row],[Disponibilidade]]*Dados[[#This Row],[Desempenho]]*Dados[[#This Row],[Qualidade]]</f>
        <v>0.70302625852272727</v>
      </c>
      <c r="T201" s="14">
        <f>YEAR(Dados[[#This Row],[Período]])</f>
        <v>2019</v>
      </c>
      <c r="U201" s="14">
        <f>MONTH(Dados[[#This Row],[Período]])</f>
        <v>4</v>
      </c>
    </row>
    <row r="202" spans="1:21" x14ac:dyDescent="0.25">
      <c r="A202" s="9">
        <v>43564</v>
      </c>
      <c r="B202" s="4" t="s">
        <v>29</v>
      </c>
      <c r="C202" s="5" t="s">
        <v>14</v>
      </c>
      <c r="D202" s="10">
        <v>8</v>
      </c>
      <c r="E202" s="10">
        <f t="shared" si="48"/>
        <v>7.67</v>
      </c>
      <c r="F202" s="6">
        <v>0.33</v>
      </c>
      <c r="G202" s="11">
        <v>440</v>
      </c>
      <c r="H202" s="11">
        <v>345.13400000000001</v>
      </c>
      <c r="I202" s="11">
        <v>8.7889999999999997</v>
      </c>
      <c r="J202" s="11">
        <f t="shared" si="49"/>
        <v>353.923</v>
      </c>
      <c r="K202" s="12">
        <f t="shared" si="50"/>
        <v>0.78439545454545456</v>
      </c>
      <c r="L202" s="12">
        <f t="shared" si="47"/>
        <v>0.81814389000829679</v>
      </c>
      <c r="M202" s="12">
        <f t="shared" si="51"/>
        <v>0.97516691483740814</v>
      </c>
      <c r="N202" s="12">
        <f t="shared" si="52"/>
        <v>2.4833085162591861E-2</v>
      </c>
      <c r="O202" s="14">
        <f>Dados[[#This Row],[Vol. Padrão]]/Dados[[#This Row],[Horas Disp.]]</f>
        <v>55</v>
      </c>
      <c r="P202" s="32" cm="1">
        <f t="array" ref="P202">SUM(Dados[[#This Row],[Vol. Líquido]:[V. Refugo]]/Dados[[#This Row],[H. Ativas]])</f>
        <v>46.143807040417208</v>
      </c>
      <c r="Q202" s="12">
        <f>Dados[[#This Row],[H. Ativas]]/Dados[[#This Row],[Horas Disp.]]</f>
        <v>0.95874999999999999</v>
      </c>
      <c r="R202" s="12">
        <f>Dados[[#This Row],[Vol. Bruto]]/Dados[[#This Row],[Vol. Padrão]]</f>
        <v>0.80437045454545453</v>
      </c>
      <c r="S202" s="12">
        <f>Dados[[#This Row],[Disponibilidade]]*Dados[[#This Row],[Desempenho]]*Dados[[#This Row],[Qualidade]]</f>
        <v>0.75203914204545452</v>
      </c>
      <c r="T202" s="14">
        <f>YEAR(Dados[[#This Row],[Período]])</f>
        <v>2019</v>
      </c>
      <c r="U202" s="14">
        <f>MONTH(Dados[[#This Row],[Período]])</f>
        <v>4</v>
      </c>
    </row>
    <row r="203" spans="1:21" x14ac:dyDescent="0.25">
      <c r="A203" s="9">
        <v>43565</v>
      </c>
      <c r="B203" s="4" t="s">
        <v>30</v>
      </c>
      <c r="C203" s="5" t="s">
        <v>16</v>
      </c>
      <c r="D203" s="10">
        <v>8</v>
      </c>
      <c r="E203" s="10">
        <f t="shared" si="48"/>
        <v>7.62</v>
      </c>
      <c r="F203" s="6">
        <v>0.38</v>
      </c>
      <c r="G203" s="11">
        <v>440</v>
      </c>
      <c r="H203" s="11">
        <v>343.98</v>
      </c>
      <c r="I203" s="11">
        <v>12.432</v>
      </c>
      <c r="J203" s="11">
        <f t="shared" si="49"/>
        <v>356.41200000000003</v>
      </c>
      <c r="K203" s="12">
        <f t="shared" si="50"/>
        <v>0.78177272727272729</v>
      </c>
      <c r="L203" s="12">
        <f t="shared" si="47"/>
        <v>0.82075876879026488</v>
      </c>
      <c r="M203" s="12">
        <f t="shared" si="51"/>
        <v>0.96511901956163093</v>
      </c>
      <c r="N203" s="12">
        <f t="shared" si="52"/>
        <v>3.4880980438369076E-2</v>
      </c>
      <c r="O203" s="14">
        <f>Dados[[#This Row],[Vol. Padrão]]/Dados[[#This Row],[Horas Disp.]]</f>
        <v>55</v>
      </c>
      <c r="P203" s="32" cm="1">
        <f t="array" ref="P203">SUM(Dados[[#This Row],[Vol. Líquido]:[V. Refugo]]/Dados[[#This Row],[H. Ativas]])</f>
        <v>46.773228346456698</v>
      </c>
      <c r="Q203" s="12">
        <f>Dados[[#This Row],[H. Ativas]]/Dados[[#This Row],[Horas Disp.]]</f>
        <v>0.95250000000000001</v>
      </c>
      <c r="R203" s="12">
        <f>Dados[[#This Row],[Vol. Bruto]]/Dados[[#This Row],[Vol. Padrão]]</f>
        <v>0.81002727272727282</v>
      </c>
      <c r="S203" s="12">
        <f>Dados[[#This Row],[Disponibilidade]]*Dados[[#This Row],[Desempenho]]*Dados[[#This Row],[Qualidade]]</f>
        <v>0.74463852272727282</v>
      </c>
      <c r="T203" s="14">
        <f>YEAR(Dados[[#This Row],[Período]])</f>
        <v>2019</v>
      </c>
      <c r="U203" s="14">
        <f>MONTH(Dados[[#This Row],[Período]])</f>
        <v>4</v>
      </c>
    </row>
    <row r="204" spans="1:21" x14ac:dyDescent="0.25">
      <c r="A204" s="9">
        <v>43566</v>
      </c>
      <c r="B204" s="4" t="s">
        <v>27</v>
      </c>
      <c r="C204" s="5" t="s">
        <v>17</v>
      </c>
      <c r="D204" s="10">
        <v>8</v>
      </c>
      <c r="E204" s="10">
        <f t="shared" si="48"/>
        <v>7.42</v>
      </c>
      <c r="F204" s="6">
        <v>0.57999999999999996</v>
      </c>
      <c r="G204" s="11">
        <v>440</v>
      </c>
      <c r="H204" s="11">
        <v>379.12</v>
      </c>
      <c r="I204" s="11">
        <v>11.23</v>
      </c>
      <c r="J204" s="11">
        <f t="shared" si="49"/>
        <v>390.35</v>
      </c>
      <c r="K204" s="12">
        <f t="shared" si="50"/>
        <v>0.86163636363636364</v>
      </c>
      <c r="L204" s="12">
        <f t="shared" si="47"/>
        <v>0.92898799313893654</v>
      </c>
      <c r="M204" s="12">
        <f t="shared" si="51"/>
        <v>0.97123094658639675</v>
      </c>
      <c r="N204" s="12">
        <f t="shared" si="52"/>
        <v>2.8769053413603175E-2</v>
      </c>
      <c r="O204" s="14">
        <f>Dados[[#This Row],[Vol. Padrão]]/Dados[[#This Row],[Horas Disp.]]</f>
        <v>55</v>
      </c>
      <c r="P204" s="32" cm="1">
        <f t="array" ref="P204">SUM(Dados[[#This Row],[Vol. Líquido]:[V. Refugo]]/Dados[[#This Row],[H. Ativas]])</f>
        <v>52.607816711590303</v>
      </c>
      <c r="Q204" s="12">
        <f>Dados[[#This Row],[H. Ativas]]/Dados[[#This Row],[Horas Disp.]]</f>
        <v>0.92749999999999999</v>
      </c>
      <c r="R204" s="12">
        <f>Dados[[#This Row],[Vol. Bruto]]/Dados[[#This Row],[Vol. Padrão]]</f>
        <v>0.88715909090909095</v>
      </c>
      <c r="S204" s="12">
        <f>Dados[[#This Row],[Disponibilidade]]*Dados[[#This Row],[Desempenho]]*Dados[[#This Row],[Qualidade]]</f>
        <v>0.79916772727272722</v>
      </c>
      <c r="T204" s="14">
        <f>YEAR(Dados[[#This Row],[Período]])</f>
        <v>2019</v>
      </c>
      <c r="U204" s="14">
        <f>MONTH(Dados[[#This Row],[Período]])</f>
        <v>4</v>
      </c>
    </row>
    <row r="205" spans="1:21" x14ac:dyDescent="0.25">
      <c r="A205" s="9">
        <v>43567</v>
      </c>
      <c r="B205" s="4" t="s">
        <v>29</v>
      </c>
      <c r="C205" s="5" t="s">
        <v>14</v>
      </c>
      <c r="D205" s="10">
        <v>8</v>
      </c>
      <c r="E205" s="10">
        <f t="shared" si="48"/>
        <v>7.33</v>
      </c>
      <c r="F205" s="10">
        <v>0.67</v>
      </c>
      <c r="G205" s="11">
        <v>440</v>
      </c>
      <c r="H205" s="11">
        <v>388.33</v>
      </c>
      <c r="I205" s="11">
        <v>9.0850000000000009</v>
      </c>
      <c r="J205" s="11">
        <f t="shared" si="49"/>
        <v>397.41499999999996</v>
      </c>
      <c r="K205" s="12">
        <f t="shared" si="50"/>
        <v>0.88256818181818175</v>
      </c>
      <c r="L205" s="12">
        <f t="shared" si="47"/>
        <v>0.96323948902393652</v>
      </c>
      <c r="M205" s="12">
        <f t="shared" si="51"/>
        <v>0.97713976573606942</v>
      </c>
      <c r="N205" s="12">
        <f t="shared" si="52"/>
        <v>2.2860234263930655E-2</v>
      </c>
      <c r="O205" s="14">
        <f>Dados[[#This Row],[Vol. Padrão]]/Dados[[#This Row],[Horas Disp.]]</f>
        <v>55</v>
      </c>
      <c r="P205" s="32" cm="1">
        <f t="array" ref="P205">SUM(Dados[[#This Row],[Vol. Líquido]:[V. Refugo]]/Dados[[#This Row],[H. Ativas]])</f>
        <v>54.217598908594809</v>
      </c>
      <c r="Q205" s="12">
        <f>Dados[[#This Row],[H. Ativas]]/Dados[[#This Row],[Horas Disp.]]</f>
        <v>0.91625000000000001</v>
      </c>
      <c r="R205" s="12">
        <f>Dados[[#This Row],[Vol. Bruto]]/Dados[[#This Row],[Vol. Padrão]]</f>
        <v>0.90321590909090899</v>
      </c>
      <c r="S205" s="12">
        <f>Dados[[#This Row],[Disponibilidade]]*Dados[[#This Row],[Desempenho]]*Dados[[#This Row],[Qualidade]]</f>
        <v>0.80865309659090912</v>
      </c>
      <c r="T205" s="14">
        <f>YEAR(Dados[[#This Row],[Período]])</f>
        <v>2019</v>
      </c>
      <c r="U205" s="14">
        <f>MONTH(Dados[[#This Row],[Período]])</f>
        <v>4</v>
      </c>
    </row>
    <row r="206" spans="1:21" x14ac:dyDescent="0.25">
      <c r="A206" s="35">
        <v>43586</v>
      </c>
      <c r="B206" s="35" t="s">
        <v>26</v>
      </c>
      <c r="C206" s="36" t="s">
        <v>21</v>
      </c>
      <c r="D206" s="37">
        <v>8</v>
      </c>
      <c r="E206" s="37">
        <f>D206-F206</f>
        <v>7.8466101569376185</v>
      </c>
      <c r="F206" s="37">
        <v>0.15338984306238101</v>
      </c>
      <c r="G206" s="38">
        <v>440</v>
      </c>
      <c r="H206" s="38">
        <v>391.14800000000002</v>
      </c>
      <c r="I206" s="38">
        <v>13.754</v>
      </c>
      <c r="J206" s="38">
        <f>SUM(H206:I206)</f>
        <v>404.90200000000004</v>
      </c>
      <c r="K206" s="12">
        <f t="shared" ref="K206:K237" si="53">(H206/G206)</f>
        <v>0.88897272727272736</v>
      </c>
      <c r="L206" s="12">
        <f t="shared" ref="L206:L237" si="54">H206/(E206*55)</f>
        <v>0.9063508541830515</v>
      </c>
      <c r="M206" s="12">
        <f t="shared" ref="M206:M237" si="55">(H206/J206)</f>
        <v>0.96603128658292614</v>
      </c>
      <c r="N206" s="12">
        <f t="shared" ref="N206:N237" si="56">I206/(H206+I206)</f>
        <v>3.3968713417073755E-2</v>
      </c>
      <c r="O206" s="14">
        <f>Dados[[#This Row],[Vol. Padrão]]/Dados[[#This Row],[Horas Disp.]]</f>
        <v>55</v>
      </c>
      <c r="P206" s="32" cm="1">
        <f t="array" ref="P206">SUM(Dados[[#This Row],[Vol. Líquido]:[V. Refugo]]/Dados[[#This Row],[H. Ativas]])</f>
        <v>51.602155822919777</v>
      </c>
      <c r="Q206" s="12">
        <f>Dados[[#This Row],[H. Ativas]]/Dados[[#This Row],[Horas Disp.]]</f>
        <v>0.98082626961720232</v>
      </c>
      <c r="R206" s="12">
        <f>Dados[[#This Row],[Vol. Bruto]]/Dados[[#This Row],[Vol. Padrão]]</f>
        <v>0.92023181818181832</v>
      </c>
      <c r="S206" s="12">
        <f>Dados[[#This Row],[Disponibilidade]]*Dados[[#This Row],[Desempenho]]*Dados[[#This Row],[Qualidade]]</f>
        <v>0.8719278038823397</v>
      </c>
      <c r="T206" s="14">
        <f>YEAR(Dados[[#This Row],[Período]])</f>
        <v>2019</v>
      </c>
      <c r="U206" s="14">
        <f>MONTH(Dados[[#This Row],[Período]])</f>
        <v>5</v>
      </c>
    </row>
    <row r="207" spans="1:21" x14ac:dyDescent="0.25">
      <c r="A207" s="35">
        <v>43587</v>
      </c>
      <c r="B207" s="35" t="s">
        <v>27</v>
      </c>
      <c r="C207" s="36" t="s">
        <v>17</v>
      </c>
      <c r="D207" s="37">
        <v>8</v>
      </c>
      <c r="E207" s="37">
        <f t="shared" ref="E207:E270" si="57">D207-F207</f>
        <v>7.5775576984671664</v>
      </c>
      <c r="F207" s="37">
        <v>0.42244230153283324</v>
      </c>
      <c r="G207" s="38">
        <v>440</v>
      </c>
      <c r="H207" s="38">
        <v>310.17399999999998</v>
      </c>
      <c r="I207" s="38">
        <v>17.911999999999999</v>
      </c>
      <c r="J207" s="38">
        <f t="shared" ref="J207:J270" si="58">SUM(H207:I207)</f>
        <v>328.08599999999996</v>
      </c>
      <c r="K207" s="12">
        <f t="shared" si="53"/>
        <v>0.70494090909090901</v>
      </c>
      <c r="L207" s="12">
        <f t="shared" si="54"/>
        <v>0.74424075634133002</v>
      </c>
      <c r="M207" s="12">
        <f t="shared" si="55"/>
        <v>0.94540455856086525</v>
      </c>
      <c r="N207" s="12">
        <f t="shared" si="56"/>
        <v>5.4595441439134862E-2</v>
      </c>
      <c r="O207" s="14">
        <f>Dados[[#This Row],[Vol. Padrão]]/Dados[[#This Row],[Horas Disp.]]</f>
        <v>55</v>
      </c>
      <c r="P207" s="32" cm="1">
        <f t="array" ref="P207">SUM(Dados[[#This Row],[Vol. Líquido]:[V. Refugo]]/Dados[[#This Row],[H. Ativas]])</f>
        <v>43.2970639163021</v>
      </c>
      <c r="Q207" s="12">
        <f>Dados[[#This Row],[H. Ativas]]/Dados[[#This Row],[Horas Disp.]]</f>
        <v>0.9471947123083958</v>
      </c>
      <c r="R207" s="12">
        <f>Dados[[#This Row],[Vol. Bruto]]/Dados[[#This Row],[Vol. Padrão]]</f>
        <v>0.74564999999999992</v>
      </c>
      <c r="S207" s="12">
        <f>Dados[[#This Row],[Disponibilidade]]*Dados[[#This Row],[Desempenho]]*Dados[[#This Row],[Qualidade]]</f>
        <v>0.66771630158078266</v>
      </c>
      <c r="T207" s="14">
        <f>YEAR(Dados[[#This Row],[Período]])</f>
        <v>2019</v>
      </c>
      <c r="U207" s="14">
        <f>MONTH(Dados[[#This Row],[Período]])</f>
        <v>5</v>
      </c>
    </row>
    <row r="208" spans="1:21" x14ac:dyDescent="0.25">
      <c r="A208" s="35">
        <v>43588</v>
      </c>
      <c r="B208" s="35" t="s">
        <v>28</v>
      </c>
      <c r="C208" s="36" t="s">
        <v>15</v>
      </c>
      <c r="D208" s="37">
        <v>8</v>
      </c>
      <c r="E208" s="37">
        <f t="shared" si="57"/>
        <v>7.572996724364101</v>
      </c>
      <c r="F208" s="37">
        <v>0.42700327563589924</v>
      </c>
      <c r="G208" s="38">
        <v>440</v>
      </c>
      <c r="H208" s="38">
        <v>295.654</v>
      </c>
      <c r="I208" s="38">
        <v>21.375</v>
      </c>
      <c r="J208" s="38">
        <f t="shared" si="58"/>
        <v>317.029</v>
      </c>
      <c r="K208" s="12">
        <f t="shared" si="53"/>
        <v>0.67194090909090909</v>
      </c>
      <c r="L208" s="12">
        <f t="shared" si="54"/>
        <v>0.70982828441387602</v>
      </c>
      <c r="M208" s="12">
        <f t="shared" si="55"/>
        <v>0.9325771459393305</v>
      </c>
      <c r="N208" s="12">
        <f t="shared" si="56"/>
        <v>6.7422854060669529E-2</v>
      </c>
      <c r="O208" s="14">
        <f>Dados[[#This Row],[Vol. Padrão]]/Dados[[#This Row],[Horas Disp.]]</f>
        <v>55</v>
      </c>
      <c r="P208" s="32" cm="1">
        <f t="array" ref="P208">SUM(Dados[[#This Row],[Vol. Líquido]:[V. Refugo]]/Dados[[#This Row],[H. Ativas]])</f>
        <v>41.863084263597209</v>
      </c>
      <c r="Q208" s="12">
        <f>Dados[[#This Row],[H. Ativas]]/Dados[[#This Row],[Horas Disp.]]</f>
        <v>0.94662459054551262</v>
      </c>
      <c r="R208" s="12">
        <f>Dados[[#This Row],[Vol. Bruto]]/Dados[[#This Row],[Vol. Padrão]]</f>
        <v>0.72052045454545455</v>
      </c>
      <c r="S208" s="12">
        <f>Dados[[#This Row],[Disponibilidade]]*Dados[[#This Row],[Desempenho]]*Dados[[#This Row],[Qualidade]]</f>
        <v>0.63607578793896136</v>
      </c>
      <c r="T208" s="14">
        <f>YEAR(Dados[[#This Row],[Período]])</f>
        <v>2019</v>
      </c>
      <c r="U208" s="14">
        <f>MONTH(Dados[[#This Row],[Período]])</f>
        <v>5</v>
      </c>
    </row>
    <row r="209" spans="1:21" x14ac:dyDescent="0.25">
      <c r="A209" s="35">
        <v>43589</v>
      </c>
      <c r="B209" s="35" t="s">
        <v>29</v>
      </c>
      <c r="C209" s="36" t="s">
        <v>19</v>
      </c>
      <c r="D209" s="37">
        <v>8</v>
      </c>
      <c r="E209" s="37">
        <f t="shared" si="57"/>
        <v>7.205534896838957</v>
      </c>
      <c r="F209" s="37">
        <v>0.7944651031610428</v>
      </c>
      <c r="G209" s="38">
        <v>440</v>
      </c>
      <c r="H209" s="38">
        <v>404.15800000000002</v>
      </c>
      <c r="I209" s="38">
        <v>25.518999999999998</v>
      </c>
      <c r="J209" s="38">
        <f t="shared" si="58"/>
        <v>429.67700000000002</v>
      </c>
      <c r="K209" s="12">
        <f t="shared" si="53"/>
        <v>0.91854090909090913</v>
      </c>
      <c r="L209" s="12">
        <f t="shared" si="54"/>
        <v>1.0198170403630906</v>
      </c>
      <c r="M209" s="12">
        <f t="shared" si="55"/>
        <v>0.94060887596962373</v>
      </c>
      <c r="N209" s="12">
        <f t="shared" si="56"/>
        <v>5.9391124030376302E-2</v>
      </c>
      <c r="O209" s="14">
        <f>Dados[[#This Row],[Vol. Padrão]]/Dados[[#This Row],[Horas Disp.]]</f>
        <v>55</v>
      </c>
      <c r="P209" s="32" cm="1">
        <f t="array" ref="P209">SUM(Dados[[#This Row],[Vol. Líquido]:[V. Refugo]]/Dados[[#This Row],[H. Ativas]])</f>
        <v>59.631520234326786</v>
      </c>
      <c r="Q209" s="12">
        <f>Dados[[#This Row],[H. Ativas]]/Dados[[#This Row],[Horas Disp.]]</f>
        <v>0.90069186210486962</v>
      </c>
      <c r="R209" s="12">
        <f>Dados[[#This Row],[Vol. Bruto]]/Dados[[#This Row],[Vol. Padrão]]</f>
        <v>0.97653863636363636</v>
      </c>
      <c r="S209" s="12">
        <f>Dados[[#This Row],[Disponibilidade]]*Dados[[#This Row],[Desempenho]]*Dados[[#This Row],[Qualidade]]</f>
        <v>0.82732232182859067</v>
      </c>
      <c r="T209" s="14">
        <f>YEAR(Dados[[#This Row],[Período]])</f>
        <v>2019</v>
      </c>
      <c r="U209" s="14">
        <f>MONTH(Dados[[#This Row],[Período]])</f>
        <v>5</v>
      </c>
    </row>
    <row r="210" spans="1:21" x14ac:dyDescent="0.25">
      <c r="A210" s="35">
        <v>43590</v>
      </c>
      <c r="B210" s="35" t="s">
        <v>30</v>
      </c>
      <c r="C210" s="36" t="s">
        <v>18</v>
      </c>
      <c r="D210" s="37">
        <v>8</v>
      </c>
      <c r="E210" s="37">
        <f t="shared" si="57"/>
        <v>7.3427474117830469</v>
      </c>
      <c r="F210" s="37">
        <v>0.65725258821695309</v>
      </c>
      <c r="G210" s="38">
        <v>440</v>
      </c>
      <c r="H210" s="38">
        <v>333</v>
      </c>
      <c r="I210" s="38">
        <v>11.598000000000001</v>
      </c>
      <c r="J210" s="38">
        <f t="shared" si="58"/>
        <v>344.59800000000001</v>
      </c>
      <c r="K210" s="12">
        <f t="shared" si="53"/>
        <v>0.75681818181818183</v>
      </c>
      <c r="L210" s="12">
        <f t="shared" si="54"/>
        <v>0.82456131404297117</v>
      </c>
      <c r="M210" s="12">
        <f t="shared" si="55"/>
        <v>0.96634339143001402</v>
      </c>
      <c r="N210" s="12">
        <f t="shared" si="56"/>
        <v>3.3656608569985896E-2</v>
      </c>
      <c r="O210" s="14">
        <f>Dados[[#This Row],[Vol. Padrão]]/Dados[[#This Row],[Horas Disp.]]</f>
        <v>55</v>
      </c>
      <c r="P210" s="32" cm="1">
        <f t="array" ref="P210">SUM(Dados[[#This Row],[Vol. Líquido]:[V. Refugo]]/Dados[[#This Row],[H. Ativas]])</f>
        <v>46.930390039975634</v>
      </c>
      <c r="Q210" s="12">
        <f>Dados[[#This Row],[H. Ativas]]/Dados[[#This Row],[Horas Disp.]]</f>
        <v>0.91784342647288086</v>
      </c>
      <c r="R210" s="12">
        <f>Dados[[#This Row],[Vol. Bruto]]/Dados[[#This Row],[Vol. Padrão]]</f>
        <v>0.78317727272727278</v>
      </c>
      <c r="S210" s="12">
        <f>Dados[[#This Row],[Disponibilidade]]*Dados[[#This Row],[Desempenho]]*Dados[[#This Row],[Qualidade]]</f>
        <v>0.6946405932169758</v>
      </c>
      <c r="T210" s="14">
        <f>YEAR(Dados[[#This Row],[Período]])</f>
        <v>2019</v>
      </c>
      <c r="U210" s="14">
        <f>MONTH(Dados[[#This Row],[Período]])</f>
        <v>5</v>
      </c>
    </row>
    <row r="211" spans="1:21" x14ac:dyDescent="0.25">
      <c r="A211" s="35">
        <v>43591</v>
      </c>
      <c r="B211" s="35" t="s">
        <v>28</v>
      </c>
      <c r="C211" s="36" t="s">
        <v>13</v>
      </c>
      <c r="D211" s="37">
        <v>8</v>
      </c>
      <c r="E211" s="37">
        <f t="shared" si="57"/>
        <v>7.1615405933471745</v>
      </c>
      <c r="F211" s="37">
        <v>0.8384594066528257</v>
      </c>
      <c r="G211" s="38">
        <v>440</v>
      </c>
      <c r="H211" s="38">
        <v>366</v>
      </c>
      <c r="I211" s="38">
        <v>48.180999999999997</v>
      </c>
      <c r="J211" s="38">
        <f t="shared" si="58"/>
        <v>414.18099999999998</v>
      </c>
      <c r="K211" s="12">
        <f t="shared" si="53"/>
        <v>0.83181818181818179</v>
      </c>
      <c r="L211" s="12">
        <f t="shared" si="54"/>
        <v>0.92920585561258973</v>
      </c>
      <c r="M211" s="12">
        <f t="shared" si="55"/>
        <v>0.88367163148478567</v>
      </c>
      <c r="N211" s="12">
        <f t="shared" si="56"/>
        <v>0.11632836851521436</v>
      </c>
      <c r="O211" s="14">
        <f>Dados[[#This Row],[Vol. Padrão]]/Dados[[#This Row],[Horas Disp.]]</f>
        <v>55</v>
      </c>
      <c r="P211" s="32" cm="1">
        <f t="array" ref="P211">SUM(Dados[[#This Row],[Vol. Líquido]:[V. Refugo]]/Dados[[#This Row],[H. Ativas]])</f>
        <v>57.834064416916092</v>
      </c>
      <c r="Q211" s="12">
        <f>Dados[[#This Row],[H. Ativas]]/Dados[[#This Row],[Horas Disp.]]</f>
        <v>0.89519257416839682</v>
      </c>
      <c r="R211" s="12">
        <f>Dados[[#This Row],[Vol. Bruto]]/Dados[[#This Row],[Vol. Padrão]]</f>
        <v>0.94132045454545454</v>
      </c>
      <c r="S211" s="12">
        <f>Dados[[#This Row],[Disponibilidade]]*Dados[[#This Row],[Desempenho]]*Dados[[#This Row],[Qualidade]]</f>
        <v>0.74463745942189374</v>
      </c>
      <c r="T211" s="14">
        <f>YEAR(Dados[[#This Row],[Período]])</f>
        <v>2019</v>
      </c>
      <c r="U211" s="14">
        <f>MONTH(Dados[[#This Row],[Período]])</f>
        <v>5</v>
      </c>
    </row>
    <row r="212" spans="1:21" x14ac:dyDescent="0.25">
      <c r="A212" s="35">
        <v>43592</v>
      </c>
      <c r="B212" s="35" t="s">
        <v>27</v>
      </c>
      <c r="C212" s="36" t="s">
        <v>20</v>
      </c>
      <c r="D212" s="37">
        <v>8</v>
      </c>
      <c r="E212" s="37">
        <f t="shared" si="57"/>
        <v>7.727529042262713</v>
      </c>
      <c r="F212" s="37">
        <v>0.27247095773728658</v>
      </c>
      <c r="G212" s="38">
        <v>440</v>
      </c>
      <c r="H212" s="38">
        <v>358</v>
      </c>
      <c r="I212" s="38">
        <v>15.323</v>
      </c>
      <c r="J212" s="38">
        <f t="shared" si="58"/>
        <v>373.32299999999998</v>
      </c>
      <c r="K212" s="12">
        <f t="shared" si="53"/>
        <v>0.8136363636363636</v>
      </c>
      <c r="L212" s="12">
        <f t="shared" si="54"/>
        <v>0.84232500110862984</v>
      </c>
      <c r="M212" s="12">
        <f t="shared" si="55"/>
        <v>0.95895511393618937</v>
      </c>
      <c r="N212" s="12">
        <f t="shared" si="56"/>
        <v>4.1044886063810695E-2</v>
      </c>
      <c r="O212" s="14">
        <f>Dados[[#This Row],[Vol. Padrão]]/Dados[[#This Row],[Horas Disp.]]</f>
        <v>55</v>
      </c>
      <c r="P212" s="32" cm="1">
        <f t="array" ref="P212">SUM(Dados[[#This Row],[Vol. Líquido]:[V. Refugo]]/Dados[[#This Row],[H. Ativas]])</f>
        <v>48.310785758067695</v>
      </c>
      <c r="Q212" s="12">
        <f>Dados[[#This Row],[H. Ativas]]/Dados[[#This Row],[Horas Disp.]]</f>
        <v>0.96594113028283912</v>
      </c>
      <c r="R212" s="12">
        <f>Dados[[#This Row],[Vol. Bruto]]/Dados[[#This Row],[Vol. Padrão]]</f>
        <v>0.8484613636363636</v>
      </c>
      <c r="S212" s="12">
        <f>Dados[[#This Row],[Disponibilidade]]*Dados[[#This Row],[Desempenho]]*Dados[[#This Row],[Qualidade]]</f>
        <v>0.78592482873012826</v>
      </c>
      <c r="T212" s="14">
        <f>YEAR(Dados[[#This Row],[Período]])</f>
        <v>2019</v>
      </c>
      <c r="U212" s="14">
        <f>MONTH(Dados[[#This Row],[Período]])</f>
        <v>5</v>
      </c>
    </row>
    <row r="213" spans="1:21" x14ac:dyDescent="0.25">
      <c r="A213" s="35">
        <v>43593</v>
      </c>
      <c r="B213" s="35" t="s">
        <v>26</v>
      </c>
      <c r="C213" s="36" t="s">
        <v>22</v>
      </c>
      <c r="D213" s="37">
        <v>8</v>
      </c>
      <c r="E213" s="37">
        <f t="shared" si="57"/>
        <v>7.0855670982582533</v>
      </c>
      <c r="F213" s="37">
        <v>0.91443290174174663</v>
      </c>
      <c r="G213" s="38">
        <v>440</v>
      </c>
      <c r="H213" s="38">
        <v>407</v>
      </c>
      <c r="I213" s="38">
        <v>21.545000000000002</v>
      </c>
      <c r="J213" s="38">
        <f t="shared" si="58"/>
        <v>428.54500000000002</v>
      </c>
      <c r="K213" s="12">
        <f t="shared" si="53"/>
        <v>0.92500000000000004</v>
      </c>
      <c r="L213" s="12">
        <f t="shared" si="54"/>
        <v>1.0443765329410315</v>
      </c>
      <c r="M213" s="12">
        <f t="shared" si="55"/>
        <v>0.9497252330560384</v>
      </c>
      <c r="N213" s="12">
        <f t="shared" si="56"/>
        <v>5.0274766943961546E-2</v>
      </c>
      <c r="O213" s="14">
        <f>Dados[[#This Row],[Vol. Padrão]]/Dados[[#This Row],[Horas Disp.]]</f>
        <v>55</v>
      </c>
      <c r="P213" s="32" cm="1">
        <f t="array" ref="P213">SUM(Dados[[#This Row],[Vol. Líquido]:[V. Refugo]]/Dados[[#This Row],[H. Ativas]])</f>
        <v>60.481397474218156</v>
      </c>
      <c r="Q213" s="12">
        <f>Dados[[#This Row],[H. Ativas]]/Dados[[#This Row],[Horas Disp.]]</f>
        <v>0.88569588728228166</v>
      </c>
      <c r="R213" s="12">
        <f>Dados[[#This Row],[Vol. Bruto]]/Dados[[#This Row],[Vol. Padrão]]</f>
        <v>0.97396590909090908</v>
      </c>
      <c r="S213" s="12">
        <f>Dados[[#This Row],[Disponibilidade]]*Dados[[#This Row],[Desempenho]]*Dados[[#This Row],[Qualidade]]</f>
        <v>0.8192686957361105</v>
      </c>
      <c r="T213" s="14">
        <f>YEAR(Dados[[#This Row],[Período]])</f>
        <v>2019</v>
      </c>
      <c r="U213" s="14">
        <f>MONTH(Dados[[#This Row],[Período]])</f>
        <v>5</v>
      </c>
    </row>
    <row r="214" spans="1:21" x14ac:dyDescent="0.25">
      <c r="A214" s="35">
        <v>43594</v>
      </c>
      <c r="B214" s="35" t="s">
        <v>29</v>
      </c>
      <c r="C214" s="36" t="s">
        <v>14</v>
      </c>
      <c r="D214" s="37">
        <v>8</v>
      </c>
      <c r="E214" s="37">
        <f t="shared" si="57"/>
        <v>7.5749195669309826</v>
      </c>
      <c r="F214" s="37">
        <v>0.42508043306901755</v>
      </c>
      <c r="G214" s="38">
        <v>440</v>
      </c>
      <c r="H214" s="38">
        <v>412</v>
      </c>
      <c r="I214" s="38">
        <v>24.734999999999999</v>
      </c>
      <c r="J214" s="38">
        <f t="shared" si="58"/>
        <v>436.73500000000001</v>
      </c>
      <c r="K214" s="12">
        <f t="shared" si="53"/>
        <v>0.9363636363636364</v>
      </c>
      <c r="L214" s="12">
        <f t="shared" si="54"/>
        <v>0.98890939035331182</v>
      </c>
      <c r="M214" s="12">
        <f t="shared" si="55"/>
        <v>0.94336382474498259</v>
      </c>
      <c r="N214" s="12">
        <f t="shared" si="56"/>
        <v>5.6636175255017344E-2</v>
      </c>
      <c r="O214" s="14">
        <f>Dados[[#This Row],[Vol. Padrão]]/Dados[[#This Row],[Horas Disp.]]</f>
        <v>55</v>
      </c>
      <c r="P214" s="32" cm="1">
        <f t="array" ref="P214">SUM(Dados[[#This Row],[Vol. Líquido]:[V. Refugo]]/Dados[[#This Row],[H. Ativas]])</f>
        <v>57.655397676644299</v>
      </c>
      <c r="Q214" s="12">
        <f>Dados[[#This Row],[H. Ativas]]/Dados[[#This Row],[Horas Disp.]]</f>
        <v>0.94686494586637282</v>
      </c>
      <c r="R214" s="12">
        <f>Dados[[#This Row],[Vol. Bruto]]/Dados[[#This Row],[Vol. Padrão]]</f>
        <v>0.99257954545454552</v>
      </c>
      <c r="S214" s="12">
        <f>Dados[[#This Row],[Disponibilidade]]*Dados[[#This Row],[Desempenho]]*Dados[[#This Row],[Qualidade]]</f>
        <v>0.88660990385669458</v>
      </c>
      <c r="T214" s="14">
        <f>YEAR(Dados[[#This Row],[Período]])</f>
        <v>2019</v>
      </c>
      <c r="U214" s="14">
        <f>MONTH(Dados[[#This Row],[Período]])</f>
        <v>5</v>
      </c>
    </row>
    <row r="215" spans="1:21" x14ac:dyDescent="0.25">
      <c r="A215" s="35">
        <v>43595</v>
      </c>
      <c r="B215" s="35" t="s">
        <v>30</v>
      </c>
      <c r="C215" s="36" t="s">
        <v>16</v>
      </c>
      <c r="D215" s="37">
        <v>8</v>
      </c>
      <c r="E215" s="37">
        <f t="shared" si="57"/>
        <v>7.2066872409929559</v>
      </c>
      <c r="F215" s="37">
        <v>0.79331275900704457</v>
      </c>
      <c r="G215" s="38">
        <v>440</v>
      </c>
      <c r="H215" s="38">
        <v>406</v>
      </c>
      <c r="I215" s="38">
        <v>30.087</v>
      </c>
      <c r="J215" s="38">
        <f t="shared" si="58"/>
        <v>436.08699999999999</v>
      </c>
      <c r="K215" s="12">
        <f t="shared" si="53"/>
        <v>0.92272727272727273</v>
      </c>
      <c r="L215" s="12">
        <f t="shared" si="54"/>
        <v>1.0243011712550878</v>
      </c>
      <c r="M215" s="12">
        <f t="shared" si="55"/>
        <v>0.93100688624058958</v>
      </c>
      <c r="N215" s="12">
        <f t="shared" si="56"/>
        <v>6.899311375941039E-2</v>
      </c>
      <c r="O215" s="14">
        <f>Dados[[#This Row],[Vol. Padrão]]/Dados[[#This Row],[Horas Disp.]]</f>
        <v>55</v>
      </c>
      <c r="P215" s="32" cm="1">
        <f t="array" ref="P215">SUM(Dados[[#This Row],[Vol. Líquido]:[V. Refugo]]/Dados[[#This Row],[H. Ativas]])</f>
        <v>60.51143686650606</v>
      </c>
      <c r="Q215" s="12">
        <f>Dados[[#This Row],[H. Ativas]]/Dados[[#This Row],[Horas Disp.]]</f>
        <v>0.90083590512411948</v>
      </c>
      <c r="R215" s="12">
        <f>Dados[[#This Row],[Vol. Bruto]]/Dados[[#This Row],[Vol. Padrão]]</f>
        <v>0.99110681818181812</v>
      </c>
      <c r="S215" s="12">
        <f>Dados[[#This Row],[Disponibilidade]]*Dados[[#This Row],[Desempenho]]*Dados[[#This Row],[Qualidade]]</f>
        <v>0.83122585790998293</v>
      </c>
      <c r="T215" s="14">
        <f>YEAR(Dados[[#This Row],[Período]])</f>
        <v>2019</v>
      </c>
      <c r="U215" s="14">
        <f>MONTH(Dados[[#This Row],[Período]])</f>
        <v>5</v>
      </c>
    </row>
    <row r="216" spans="1:21" x14ac:dyDescent="0.25">
      <c r="A216" s="35">
        <v>43617</v>
      </c>
      <c r="B216" s="35" t="s">
        <v>28</v>
      </c>
      <c r="C216" s="36" t="s">
        <v>13</v>
      </c>
      <c r="D216" s="37">
        <v>8</v>
      </c>
      <c r="E216" s="37">
        <f t="shared" si="57"/>
        <v>7.6655681725947717</v>
      </c>
      <c r="F216" s="37">
        <v>0.33443182740522848</v>
      </c>
      <c r="G216" s="38">
        <v>440</v>
      </c>
      <c r="H216" s="38">
        <v>315.98700000000002</v>
      </c>
      <c r="I216" s="38">
        <v>18.32</v>
      </c>
      <c r="J216" s="38">
        <f t="shared" si="58"/>
        <v>334.30700000000002</v>
      </c>
      <c r="K216" s="12">
        <f t="shared" si="53"/>
        <v>0.71815227272727278</v>
      </c>
      <c r="L216" s="12">
        <f t="shared" si="54"/>
        <v>0.74948367198115251</v>
      </c>
      <c r="M216" s="12">
        <f t="shared" si="55"/>
        <v>0.94520007059379552</v>
      </c>
      <c r="N216" s="12">
        <f t="shared" si="56"/>
        <v>5.4799929406204477E-2</v>
      </c>
      <c r="O216" s="14">
        <f>Dados[[#This Row],[Vol. Padrão]]/Dados[[#This Row],[Horas Disp.]]</f>
        <v>55</v>
      </c>
      <c r="P216" s="32" cm="1">
        <f t="array" ref="P216">SUM(Dados[[#This Row],[Vol. Líquido]:[V. Refugo]]/Dados[[#This Row],[H. Ativas]])</f>
        <v>43.611509606709049</v>
      </c>
      <c r="Q216" s="12">
        <f>Dados[[#This Row],[H. Ativas]]/Dados[[#This Row],[Horas Disp.]]</f>
        <v>0.95819602157434647</v>
      </c>
      <c r="R216" s="12">
        <f>Dados[[#This Row],[Vol. Bruto]]/Dados[[#This Row],[Vol. Padrão]]</f>
        <v>0.75978863636363636</v>
      </c>
      <c r="S216" s="12">
        <f>Dados[[#This Row],[Disponibilidade]]*Dados[[#This Row],[Desempenho]]*Dados[[#This Row],[Qualidade]]</f>
        <v>0.68813065061184775</v>
      </c>
      <c r="T216" s="14">
        <f>YEAR(Dados[[#This Row],[Período]])</f>
        <v>2019</v>
      </c>
      <c r="U216" s="14">
        <f>MONTH(Dados[[#This Row],[Período]])</f>
        <v>6</v>
      </c>
    </row>
    <row r="217" spans="1:21" x14ac:dyDescent="0.25">
      <c r="A217" s="35">
        <v>43618</v>
      </c>
      <c r="B217" s="35" t="s">
        <v>30</v>
      </c>
      <c r="C217" s="36" t="s">
        <v>18</v>
      </c>
      <c r="D217" s="37">
        <v>8</v>
      </c>
      <c r="E217" s="37">
        <f t="shared" si="57"/>
        <v>7.0714830566470761</v>
      </c>
      <c r="F217" s="37">
        <v>0.92851694335292423</v>
      </c>
      <c r="G217" s="38">
        <v>440</v>
      </c>
      <c r="H217" s="38">
        <v>313.45600000000002</v>
      </c>
      <c r="I217" s="38">
        <v>5.5670000000000002</v>
      </c>
      <c r="J217" s="38">
        <f t="shared" si="58"/>
        <v>319.02300000000002</v>
      </c>
      <c r="K217" s="12">
        <f t="shared" si="53"/>
        <v>0.71240000000000003</v>
      </c>
      <c r="L217" s="12">
        <f t="shared" si="54"/>
        <v>0.80594126498582885</v>
      </c>
      <c r="M217" s="12">
        <f t="shared" si="55"/>
        <v>0.9825498475031581</v>
      </c>
      <c r="N217" s="12">
        <f t="shared" si="56"/>
        <v>1.7450152496841918E-2</v>
      </c>
      <c r="O217" s="14">
        <f>Dados[[#This Row],[Vol. Padrão]]/Dados[[#This Row],[Horas Disp.]]</f>
        <v>55</v>
      </c>
      <c r="P217" s="32" cm="1">
        <f t="array" ref="P217">SUM(Dados[[#This Row],[Vol. Líquido]:[V. Refugo]]/Dados[[#This Row],[H. Ativas]])</f>
        <v>45.114016033754581</v>
      </c>
      <c r="Q217" s="12">
        <f>Dados[[#This Row],[H. Ativas]]/Dados[[#This Row],[Horas Disp.]]</f>
        <v>0.88393538208088451</v>
      </c>
      <c r="R217" s="12">
        <f>Dados[[#This Row],[Vol. Bruto]]/Dados[[#This Row],[Vol. Padrão]]</f>
        <v>0.7250522727272728</v>
      </c>
      <c r="S217" s="12">
        <f>Dados[[#This Row],[Disponibilidade]]*Dados[[#This Row],[Desempenho]]*Dados[[#This Row],[Qualidade]]</f>
        <v>0.62971556619442215</v>
      </c>
      <c r="T217" s="14">
        <f>YEAR(Dados[[#This Row],[Período]])</f>
        <v>2019</v>
      </c>
      <c r="U217" s="14">
        <f>MONTH(Dados[[#This Row],[Período]])</f>
        <v>6</v>
      </c>
    </row>
    <row r="218" spans="1:21" x14ac:dyDescent="0.25">
      <c r="A218" s="35">
        <v>43619</v>
      </c>
      <c r="B218" s="35" t="s">
        <v>26</v>
      </c>
      <c r="C218" s="36" t="s">
        <v>22</v>
      </c>
      <c r="D218" s="37">
        <v>8</v>
      </c>
      <c r="E218" s="37">
        <f t="shared" si="57"/>
        <v>7.0505108981853954</v>
      </c>
      <c r="F218" s="37">
        <v>0.949489101814605</v>
      </c>
      <c r="G218" s="38">
        <v>440</v>
      </c>
      <c r="H218" s="38">
        <v>269.45100000000002</v>
      </c>
      <c r="I218" s="38">
        <v>23.4</v>
      </c>
      <c r="J218" s="38">
        <f t="shared" si="58"/>
        <v>292.851</v>
      </c>
      <c r="K218" s="12">
        <f t="shared" si="53"/>
        <v>0.61238863636363638</v>
      </c>
      <c r="L218" s="12">
        <f t="shared" si="54"/>
        <v>0.69485873600592329</v>
      </c>
      <c r="M218" s="12">
        <f t="shared" si="55"/>
        <v>0.92009588493807437</v>
      </c>
      <c r="N218" s="12">
        <f t="shared" si="56"/>
        <v>7.9904115061925685E-2</v>
      </c>
      <c r="O218" s="14">
        <f>Dados[[#This Row],[Vol. Padrão]]/Dados[[#This Row],[Horas Disp.]]</f>
        <v>55</v>
      </c>
      <c r="P218" s="32" cm="1">
        <f t="array" ref="P218">SUM(Dados[[#This Row],[Vol. Líquido]:[V. Refugo]]/Dados[[#This Row],[H. Ativas]])</f>
        <v>41.536138902412262</v>
      </c>
      <c r="Q218" s="12">
        <f>Dados[[#This Row],[H. Ativas]]/Dados[[#This Row],[Horas Disp.]]</f>
        <v>0.88131386227317443</v>
      </c>
      <c r="R218" s="12">
        <f>Dados[[#This Row],[Vol. Bruto]]/Dados[[#This Row],[Vol. Padrão]]</f>
        <v>0.66557045454545449</v>
      </c>
      <c r="S218" s="12">
        <f>Dados[[#This Row],[Disponibilidade]]*Dados[[#This Row],[Desempenho]]*Dados[[#This Row],[Qualidade]]</f>
        <v>0.5397065943258389</v>
      </c>
      <c r="T218" s="14">
        <f>YEAR(Dados[[#This Row],[Período]])</f>
        <v>2019</v>
      </c>
      <c r="U218" s="14">
        <f>MONTH(Dados[[#This Row],[Período]])</f>
        <v>6</v>
      </c>
    </row>
    <row r="219" spans="1:21" x14ac:dyDescent="0.25">
      <c r="A219" s="35">
        <v>43620</v>
      </c>
      <c r="B219" s="35" t="s">
        <v>29</v>
      </c>
      <c r="C219" s="36" t="s">
        <v>14</v>
      </c>
      <c r="D219" s="37">
        <v>8</v>
      </c>
      <c r="E219" s="37">
        <f t="shared" si="57"/>
        <v>7.4171346473699247</v>
      </c>
      <c r="F219" s="37">
        <v>0.58286535263007522</v>
      </c>
      <c r="G219" s="38">
        <v>440</v>
      </c>
      <c r="H219" s="38">
        <v>412.19200000000001</v>
      </c>
      <c r="I219" s="38">
        <v>2.3450000000000002</v>
      </c>
      <c r="J219" s="38">
        <f t="shared" si="58"/>
        <v>414.53700000000003</v>
      </c>
      <c r="K219" s="12">
        <f t="shared" si="53"/>
        <v>0.93679999999999997</v>
      </c>
      <c r="L219" s="12">
        <f t="shared" si="54"/>
        <v>1.0104171430482893</v>
      </c>
      <c r="M219" s="12">
        <f t="shared" si="55"/>
        <v>0.9943430863831213</v>
      </c>
      <c r="N219" s="12">
        <f t="shared" si="56"/>
        <v>5.6569136168785903E-3</v>
      </c>
      <c r="O219" s="14">
        <f>Dados[[#This Row],[Vol. Padrão]]/Dados[[#This Row],[Horas Disp.]]</f>
        <v>55</v>
      </c>
      <c r="P219" s="32" cm="1">
        <f t="array" ref="P219">SUM(Dados[[#This Row],[Vol. Líquido]:[V. Refugo]]/Dados[[#This Row],[H. Ativas]])</f>
        <v>55.889102693719138</v>
      </c>
      <c r="Q219" s="12">
        <f>Dados[[#This Row],[H. Ativas]]/Dados[[#This Row],[Horas Disp.]]</f>
        <v>0.92714183092124058</v>
      </c>
      <c r="R219" s="12">
        <f>Dados[[#This Row],[Vol. Bruto]]/Dados[[#This Row],[Vol. Padrão]]</f>
        <v>0.94212954545454553</v>
      </c>
      <c r="S219" s="12">
        <f>Dados[[#This Row],[Disponibilidade]]*Dados[[#This Row],[Desempenho]]*Dados[[#This Row],[Qualidade]]</f>
        <v>0.86854646720701811</v>
      </c>
      <c r="T219" s="14">
        <f>YEAR(Dados[[#This Row],[Período]])</f>
        <v>2019</v>
      </c>
      <c r="U219" s="14">
        <f>MONTH(Dados[[#This Row],[Período]])</f>
        <v>6</v>
      </c>
    </row>
    <row r="220" spans="1:21" x14ac:dyDescent="0.25">
      <c r="A220" s="35">
        <v>43621</v>
      </c>
      <c r="B220" s="35" t="s">
        <v>27</v>
      </c>
      <c r="C220" s="36" t="s">
        <v>17</v>
      </c>
      <c r="D220" s="37">
        <v>8</v>
      </c>
      <c r="E220" s="37">
        <f t="shared" si="57"/>
        <v>7.8943338957226556</v>
      </c>
      <c r="F220" s="37">
        <v>0.10566610427734469</v>
      </c>
      <c r="G220" s="38">
        <v>440</v>
      </c>
      <c r="H220" s="38">
        <v>322.87400000000002</v>
      </c>
      <c r="I220" s="38">
        <v>8.7889999999999997</v>
      </c>
      <c r="J220" s="38">
        <f t="shared" si="58"/>
        <v>331.66300000000001</v>
      </c>
      <c r="K220" s="12">
        <f t="shared" si="53"/>
        <v>0.73380454545454554</v>
      </c>
      <c r="L220" s="12">
        <f t="shared" si="54"/>
        <v>0.74362656066740618</v>
      </c>
      <c r="M220" s="12">
        <f t="shared" si="55"/>
        <v>0.97350020955005534</v>
      </c>
      <c r="N220" s="12">
        <f t="shared" si="56"/>
        <v>2.6499790449944671E-2</v>
      </c>
      <c r="O220" s="14">
        <f>Dados[[#This Row],[Vol. Padrão]]/Dados[[#This Row],[Horas Disp.]]</f>
        <v>55</v>
      </c>
      <c r="P220" s="32" cm="1">
        <f t="array" ref="P220">SUM(Dados[[#This Row],[Vol. Líquido]:[V. Refugo]]/Dados[[#This Row],[H. Ativas]])</f>
        <v>42.012790994272898</v>
      </c>
      <c r="Q220" s="12">
        <f>Dados[[#This Row],[H. Ativas]]/Dados[[#This Row],[Horas Disp.]]</f>
        <v>0.98679173696533196</v>
      </c>
      <c r="R220" s="12">
        <f>Dados[[#This Row],[Vol. Bruto]]/Dados[[#This Row],[Vol. Padrão]]</f>
        <v>0.75377954545454551</v>
      </c>
      <c r="S220" s="12">
        <f>Dados[[#This Row],[Disponibilidade]]*Dados[[#This Row],[Desempenho]]*Dados[[#This Row],[Qualidade]]</f>
        <v>0.72411226200214684</v>
      </c>
      <c r="T220" s="14">
        <f>YEAR(Dados[[#This Row],[Período]])</f>
        <v>2019</v>
      </c>
      <c r="U220" s="14">
        <f>MONTH(Dados[[#This Row],[Período]])</f>
        <v>6</v>
      </c>
    </row>
    <row r="221" spans="1:21" x14ac:dyDescent="0.25">
      <c r="A221" s="35">
        <v>43622</v>
      </c>
      <c r="B221" s="35" t="s">
        <v>26</v>
      </c>
      <c r="C221" s="36" t="s">
        <v>21</v>
      </c>
      <c r="D221" s="37">
        <v>8</v>
      </c>
      <c r="E221" s="37">
        <f t="shared" si="57"/>
        <v>7.3176723301253048</v>
      </c>
      <c r="F221" s="37">
        <v>0.68232766987469484</v>
      </c>
      <c r="G221" s="38">
        <v>440</v>
      </c>
      <c r="H221" s="38">
        <v>346.548</v>
      </c>
      <c r="I221" s="38">
        <v>12.432</v>
      </c>
      <c r="J221" s="38">
        <f t="shared" si="58"/>
        <v>358.98</v>
      </c>
      <c r="K221" s="12">
        <f t="shared" si="53"/>
        <v>0.78760909090909093</v>
      </c>
      <c r="L221" s="12">
        <f t="shared" si="54"/>
        <v>0.86104876564824739</v>
      </c>
      <c r="M221" s="12">
        <f t="shared" si="55"/>
        <v>0.96536854420859097</v>
      </c>
      <c r="N221" s="12">
        <f t="shared" si="56"/>
        <v>3.4631455791408992E-2</v>
      </c>
      <c r="O221" s="14">
        <f>Dados[[#This Row],[Vol. Padrão]]/Dados[[#This Row],[Horas Disp.]]</f>
        <v>55</v>
      </c>
      <c r="P221" s="32" cm="1">
        <f t="array" ref="P221">SUM(Dados[[#This Row],[Vol. Líquido]:[V. Refugo]]/Dados[[#This Row],[H. Ativas]])</f>
        <v>49.056582995955623</v>
      </c>
      <c r="Q221" s="12">
        <f>Dados[[#This Row],[H. Ativas]]/Dados[[#This Row],[Horas Disp.]]</f>
        <v>0.9147090412656631</v>
      </c>
      <c r="R221" s="12">
        <f>Dados[[#This Row],[Vol. Bruto]]/Dados[[#This Row],[Vol. Padrão]]</f>
        <v>0.81586363636363646</v>
      </c>
      <c r="S221" s="12">
        <f>Dados[[#This Row],[Disponibilidade]]*Dados[[#This Row],[Desempenho]]*Dados[[#This Row],[Qualidade]]</f>
        <v>0.72043315643757511</v>
      </c>
      <c r="T221" s="14">
        <f>YEAR(Dados[[#This Row],[Período]])</f>
        <v>2019</v>
      </c>
      <c r="U221" s="14">
        <f>MONTH(Dados[[#This Row],[Período]])</f>
        <v>6</v>
      </c>
    </row>
    <row r="222" spans="1:21" x14ac:dyDescent="0.25">
      <c r="A222" s="35">
        <v>43623</v>
      </c>
      <c r="B222" s="35" t="s">
        <v>28</v>
      </c>
      <c r="C222" s="36" t="s">
        <v>15</v>
      </c>
      <c r="D222" s="37">
        <v>8</v>
      </c>
      <c r="E222" s="37">
        <f t="shared" si="57"/>
        <v>7.9846783601239402</v>
      </c>
      <c r="F222" s="37">
        <v>1.532163987605939E-2</v>
      </c>
      <c r="G222" s="38">
        <v>440</v>
      </c>
      <c r="H222" s="38">
        <v>346</v>
      </c>
      <c r="I222" s="38">
        <v>43.95</v>
      </c>
      <c r="J222" s="38">
        <f t="shared" si="58"/>
        <v>389.95</v>
      </c>
      <c r="K222" s="12">
        <f t="shared" si="53"/>
        <v>0.78636363636363638</v>
      </c>
      <c r="L222" s="12">
        <f t="shared" si="54"/>
        <v>0.78787257384421949</v>
      </c>
      <c r="M222" s="12">
        <f t="shared" si="55"/>
        <v>0.88729324272342613</v>
      </c>
      <c r="N222" s="12">
        <f t="shared" si="56"/>
        <v>0.11270675727657394</v>
      </c>
      <c r="O222" s="14">
        <f>Dados[[#This Row],[Vol. Padrão]]/Dados[[#This Row],[Horas Disp.]]</f>
        <v>55</v>
      </c>
      <c r="P222" s="32" cm="1">
        <f t="array" ref="P222">SUM(Dados[[#This Row],[Vol. Líquido]:[V. Refugo]]/Dados[[#This Row],[H. Ativas]])</f>
        <v>48.837283408613985</v>
      </c>
      <c r="Q222" s="12">
        <f>Dados[[#This Row],[H. Ativas]]/Dados[[#This Row],[Horas Disp.]]</f>
        <v>0.99808479501549252</v>
      </c>
      <c r="R222" s="12">
        <f>Dados[[#This Row],[Vol. Bruto]]/Dados[[#This Row],[Vol. Padrão]]</f>
        <v>0.88624999999999998</v>
      </c>
      <c r="S222" s="12">
        <f>Dados[[#This Row],[Disponibilidade]]*Dados[[#This Row],[Desempenho]]*Dados[[#This Row],[Qualidade]]</f>
        <v>0.78485758880763734</v>
      </c>
      <c r="T222" s="14">
        <f>YEAR(Dados[[#This Row],[Período]])</f>
        <v>2019</v>
      </c>
      <c r="U222" s="14">
        <f>MONTH(Dados[[#This Row],[Período]])</f>
        <v>6</v>
      </c>
    </row>
    <row r="223" spans="1:21" x14ac:dyDescent="0.25">
      <c r="A223" s="35">
        <v>43624</v>
      </c>
      <c r="B223" s="35" t="s">
        <v>27</v>
      </c>
      <c r="C223" s="36" t="s">
        <v>20</v>
      </c>
      <c r="D223" s="37">
        <v>8</v>
      </c>
      <c r="E223" s="37">
        <f t="shared" si="57"/>
        <v>7.8235294782321443</v>
      </c>
      <c r="F223" s="37">
        <v>0.17647052176785594</v>
      </c>
      <c r="G223" s="38">
        <v>440</v>
      </c>
      <c r="H223" s="38">
        <v>265</v>
      </c>
      <c r="I223" s="38">
        <v>9.0850000000000009</v>
      </c>
      <c r="J223" s="38">
        <f t="shared" si="58"/>
        <v>274.08499999999998</v>
      </c>
      <c r="K223" s="12">
        <f t="shared" si="53"/>
        <v>0.60227272727272729</v>
      </c>
      <c r="L223" s="12">
        <f t="shared" si="54"/>
        <v>0.6158578211519139</v>
      </c>
      <c r="M223" s="12">
        <f t="shared" si="55"/>
        <v>0.96685334841381332</v>
      </c>
      <c r="N223" s="12">
        <f t="shared" si="56"/>
        <v>3.3146651586186772E-2</v>
      </c>
      <c r="O223" s="14">
        <f>Dados[[#This Row],[Vol. Padrão]]/Dados[[#This Row],[Horas Disp.]]</f>
        <v>55</v>
      </c>
      <c r="P223" s="32" cm="1">
        <f t="array" ref="P223">SUM(Dados[[#This Row],[Vol. Líquido]:[V. Refugo]]/Dados[[#This Row],[H. Ativas]])</f>
        <v>35.033420754993315</v>
      </c>
      <c r="Q223" s="12">
        <f>Dados[[#This Row],[H. Ativas]]/Dados[[#This Row],[Horas Disp.]]</f>
        <v>0.97794118477901804</v>
      </c>
      <c r="R223" s="12">
        <f>Dados[[#This Row],[Vol. Bruto]]/Dados[[#This Row],[Vol. Padrão]]</f>
        <v>0.62292045454545453</v>
      </c>
      <c r="S223" s="12">
        <f>Dados[[#This Row],[Disponibilidade]]*Dados[[#This Row],[Desempenho]]*Dados[[#This Row],[Qualidade]]</f>
        <v>0.58898730446918135</v>
      </c>
      <c r="T223" s="14">
        <f>YEAR(Dados[[#This Row],[Período]])</f>
        <v>2019</v>
      </c>
      <c r="U223" s="14">
        <f>MONTH(Dados[[#This Row],[Período]])</f>
        <v>6</v>
      </c>
    </row>
    <row r="224" spans="1:21" x14ac:dyDescent="0.25">
      <c r="A224" s="35">
        <v>43625</v>
      </c>
      <c r="B224" s="35" t="s">
        <v>29</v>
      </c>
      <c r="C224" s="36" t="s">
        <v>19</v>
      </c>
      <c r="D224" s="37">
        <v>8</v>
      </c>
      <c r="E224" s="37">
        <f t="shared" si="57"/>
        <v>7.3993296825299231</v>
      </c>
      <c r="F224" s="37">
        <v>0.60067031747007671</v>
      </c>
      <c r="G224" s="38">
        <v>440</v>
      </c>
      <c r="H224" s="38">
        <v>337</v>
      </c>
      <c r="I224" s="38">
        <v>1.2450000000000001</v>
      </c>
      <c r="J224" s="38">
        <f t="shared" si="58"/>
        <v>338.245</v>
      </c>
      <c r="K224" s="12">
        <f t="shared" si="53"/>
        <v>0.76590909090909087</v>
      </c>
      <c r="L224" s="12">
        <f t="shared" si="54"/>
        <v>0.82808483878471228</v>
      </c>
      <c r="M224" s="12">
        <f t="shared" si="55"/>
        <v>0.99631923605670447</v>
      </c>
      <c r="N224" s="12">
        <f t="shared" si="56"/>
        <v>3.6807639432955403E-3</v>
      </c>
      <c r="O224" s="14">
        <f>Dados[[#This Row],[Vol. Padrão]]/Dados[[#This Row],[Horas Disp.]]</f>
        <v>55</v>
      </c>
      <c r="P224" s="32" cm="1">
        <f t="array" ref="P224">SUM(Dados[[#This Row],[Vol. Líquido]:[V. Refugo]]/Dados[[#This Row],[H. Ativas]])</f>
        <v>45.712924617835093</v>
      </c>
      <c r="Q224" s="12">
        <f>Dados[[#This Row],[H. Ativas]]/Dados[[#This Row],[Horas Disp.]]</f>
        <v>0.92491621031624038</v>
      </c>
      <c r="R224" s="12">
        <f>Dados[[#This Row],[Vol. Bruto]]/Dados[[#This Row],[Vol. Padrão]]</f>
        <v>0.76873863636363637</v>
      </c>
      <c r="S224" s="12">
        <f>Dados[[#This Row],[Disponibilidade]]*Dados[[#This Row],[Desempenho]]*Dados[[#This Row],[Qualidade]]</f>
        <v>0.70840173381039317</v>
      </c>
      <c r="T224" s="14">
        <f>YEAR(Dados[[#This Row],[Período]])</f>
        <v>2019</v>
      </c>
      <c r="U224" s="14">
        <f>MONTH(Dados[[#This Row],[Período]])</f>
        <v>6</v>
      </c>
    </row>
    <row r="225" spans="1:21" x14ac:dyDescent="0.25">
      <c r="A225" s="35">
        <v>43626</v>
      </c>
      <c r="B225" s="35" t="s">
        <v>30</v>
      </c>
      <c r="C225" s="36" t="s">
        <v>16</v>
      </c>
      <c r="D225" s="37">
        <v>8</v>
      </c>
      <c r="E225" s="37">
        <f t="shared" si="57"/>
        <v>7.5933548446067238</v>
      </c>
      <c r="F225" s="37">
        <v>0.40664515539327606</v>
      </c>
      <c r="G225" s="38">
        <v>440</v>
      </c>
      <c r="H225" s="38">
        <v>403</v>
      </c>
      <c r="I225" s="38">
        <v>4.5</v>
      </c>
      <c r="J225" s="38">
        <f t="shared" si="58"/>
        <v>407.5</v>
      </c>
      <c r="K225" s="12">
        <f t="shared" si="53"/>
        <v>0.91590909090909089</v>
      </c>
      <c r="L225" s="12">
        <f t="shared" si="54"/>
        <v>0.96495855616138038</v>
      </c>
      <c r="M225" s="12">
        <f t="shared" si="55"/>
        <v>0.98895705521472388</v>
      </c>
      <c r="N225" s="12">
        <f t="shared" si="56"/>
        <v>1.1042944785276074E-2</v>
      </c>
      <c r="O225" s="14">
        <f>Dados[[#This Row],[Vol. Padrão]]/Dados[[#This Row],[Horas Disp.]]</f>
        <v>55</v>
      </c>
      <c r="P225" s="32" cm="1">
        <f t="array" ref="P225">SUM(Dados[[#This Row],[Vol. Líquido]:[V. Refugo]]/Dados[[#This Row],[H. Ativas]])</f>
        <v>53.66534401976908</v>
      </c>
      <c r="Q225" s="12">
        <f>Dados[[#This Row],[H. Ativas]]/Dados[[#This Row],[Horas Disp.]]</f>
        <v>0.94916935557584048</v>
      </c>
      <c r="R225" s="12">
        <f>Dados[[#This Row],[Vol. Bruto]]/Dados[[#This Row],[Vol. Padrão]]</f>
        <v>0.92613636363636365</v>
      </c>
      <c r="S225" s="12">
        <f>Dados[[#This Row],[Disponibilidade]]*Dados[[#This Row],[Desempenho]]*Dados[[#This Row],[Qualidade]]</f>
        <v>0.86935284158423565</v>
      </c>
      <c r="T225" s="14">
        <f>YEAR(Dados[[#This Row],[Período]])</f>
        <v>2019</v>
      </c>
      <c r="U225" s="14">
        <f>MONTH(Dados[[#This Row],[Período]])</f>
        <v>6</v>
      </c>
    </row>
    <row r="226" spans="1:21" x14ac:dyDescent="0.25">
      <c r="A226" s="35">
        <v>43647</v>
      </c>
      <c r="B226" s="35" t="s">
        <v>27</v>
      </c>
      <c r="C226" s="36" t="s">
        <v>17</v>
      </c>
      <c r="D226" s="37">
        <v>8</v>
      </c>
      <c r="E226" s="37">
        <f t="shared" si="57"/>
        <v>7.8392978608553054</v>
      </c>
      <c r="F226" s="37">
        <v>0.16070213914469478</v>
      </c>
      <c r="G226" s="38">
        <v>440</v>
      </c>
      <c r="H226" s="38">
        <v>303.54000000000002</v>
      </c>
      <c r="I226" s="38">
        <v>23.4</v>
      </c>
      <c r="J226" s="38">
        <f t="shared" si="58"/>
        <v>326.94</v>
      </c>
      <c r="K226" s="12">
        <f t="shared" si="53"/>
        <v>0.68986363636363646</v>
      </c>
      <c r="L226" s="12">
        <f t="shared" si="54"/>
        <v>0.70400553581044201</v>
      </c>
      <c r="M226" s="12">
        <f t="shared" si="55"/>
        <v>0.92842723435492758</v>
      </c>
      <c r="N226" s="12">
        <f t="shared" si="56"/>
        <v>7.1572765645072492E-2</v>
      </c>
      <c r="O226" s="14">
        <f>Dados[[#This Row],[Vol. Padrão]]/Dados[[#This Row],[Horas Disp.]]</f>
        <v>55</v>
      </c>
      <c r="P226" s="32" cm="1">
        <f t="array" ref="P226">SUM(Dados[[#This Row],[Vol. Líquido]:[V. Refugo]]/Dados[[#This Row],[H. Ativas]])</f>
        <v>41.705265675965684</v>
      </c>
      <c r="Q226" s="12">
        <f>Dados[[#This Row],[H. Ativas]]/Dados[[#This Row],[Horas Disp.]]</f>
        <v>0.97991223260691318</v>
      </c>
      <c r="R226" s="12">
        <f>Dados[[#This Row],[Vol. Bruto]]/Dados[[#This Row],[Vol. Padrão]]</f>
        <v>0.74304545454545456</v>
      </c>
      <c r="S226" s="12">
        <f>Dados[[#This Row],[Disponibilidade]]*Dados[[#This Row],[Desempenho]]*Dados[[#This Row],[Qualidade]]</f>
        <v>0.6760058161034147</v>
      </c>
      <c r="T226" s="14">
        <f>YEAR(Dados[[#This Row],[Período]])</f>
        <v>2019</v>
      </c>
      <c r="U226" s="14">
        <f>MONTH(Dados[[#This Row],[Período]])</f>
        <v>7</v>
      </c>
    </row>
    <row r="227" spans="1:21" x14ac:dyDescent="0.25">
      <c r="A227" s="35">
        <v>43648</v>
      </c>
      <c r="B227" s="35" t="s">
        <v>28</v>
      </c>
      <c r="C227" s="36" t="s">
        <v>13</v>
      </c>
      <c r="D227" s="37">
        <v>8</v>
      </c>
      <c r="E227" s="37">
        <f t="shared" si="57"/>
        <v>7.4956643232638624</v>
      </c>
      <c r="F227" s="37">
        <v>0.50433567673613733</v>
      </c>
      <c r="G227" s="38">
        <v>440</v>
      </c>
      <c r="H227" s="38">
        <v>339.18799999999999</v>
      </c>
      <c r="I227" s="38">
        <v>2.3450000000000002</v>
      </c>
      <c r="J227" s="38">
        <f t="shared" si="58"/>
        <v>341.53300000000002</v>
      </c>
      <c r="K227" s="12">
        <f t="shared" si="53"/>
        <v>0.77088181818181811</v>
      </c>
      <c r="L227" s="12">
        <f t="shared" si="54"/>
        <v>0.82274956287919843</v>
      </c>
      <c r="M227" s="12">
        <f t="shared" si="55"/>
        <v>0.99313389921325312</v>
      </c>
      <c r="N227" s="12">
        <f t="shared" si="56"/>
        <v>6.8661007867468152E-3</v>
      </c>
      <c r="O227" s="14">
        <f>Dados[[#This Row],[Vol. Padrão]]/Dados[[#This Row],[Horas Disp.]]</f>
        <v>55</v>
      </c>
      <c r="P227" s="32" cm="1">
        <f t="array" ref="P227">SUM(Dados[[#This Row],[Vol. Líquido]:[V. Refugo]]/Dados[[#This Row],[H. Ativas]])</f>
        <v>45.564073479118271</v>
      </c>
      <c r="Q227" s="12">
        <f>Dados[[#This Row],[H. Ativas]]/Dados[[#This Row],[Horas Disp.]]</f>
        <v>0.93695804040798281</v>
      </c>
      <c r="R227" s="12">
        <f>Dados[[#This Row],[Vol. Bruto]]/Dados[[#This Row],[Vol. Padrão]]</f>
        <v>0.77621136363636367</v>
      </c>
      <c r="S227" s="12">
        <f>Dados[[#This Row],[Disponibilidade]]*Dados[[#This Row],[Desempenho]]*Dados[[#This Row],[Qualidade]]</f>
        <v>0.72228391774977918</v>
      </c>
      <c r="T227" s="14">
        <f>YEAR(Dados[[#This Row],[Período]])</f>
        <v>2019</v>
      </c>
      <c r="U227" s="14">
        <f>MONTH(Dados[[#This Row],[Período]])</f>
        <v>7</v>
      </c>
    </row>
    <row r="228" spans="1:21" x14ac:dyDescent="0.25">
      <c r="A228" s="35">
        <v>43649</v>
      </c>
      <c r="B228" s="35" t="s">
        <v>29</v>
      </c>
      <c r="C228" s="36" t="s">
        <v>14</v>
      </c>
      <c r="D228" s="37">
        <v>8</v>
      </c>
      <c r="E228" s="37">
        <f t="shared" si="57"/>
        <v>7.9432080241594551</v>
      </c>
      <c r="F228" s="37">
        <v>5.6791975840545184E-2</v>
      </c>
      <c r="G228" s="38">
        <v>440</v>
      </c>
      <c r="H228" s="38">
        <v>331.65699999999998</v>
      </c>
      <c r="I228" s="38">
        <v>8.7889999999999997</v>
      </c>
      <c r="J228" s="38">
        <f t="shared" si="58"/>
        <v>340.44599999999997</v>
      </c>
      <c r="K228" s="12">
        <f t="shared" si="53"/>
        <v>0.75376590909090901</v>
      </c>
      <c r="L228" s="12">
        <f t="shared" si="54"/>
        <v>0.75915514920250071</v>
      </c>
      <c r="M228" s="12">
        <f t="shared" si="55"/>
        <v>0.97418386469513529</v>
      </c>
      <c r="N228" s="12">
        <f t="shared" si="56"/>
        <v>2.5816135304864797E-2</v>
      </c>
      <c r="O228" s="14">
        <f>Dados[[#This Row],[Vol. Padrão]]/Dados[[#This Row],[Horas Disp.]]</f>
        <v>55</v>
      </c>
      <c r="P228" s="32" cm="1">
        <f t="array" ref="P228">SUM(Dados[[#This Row],[Vol. Líquido]:[V. Refugo]]/Dados[[#This Row],[H. Ativas]])</f>
        <v>42.860013103588045</v>
      </c>
      <c r="Q228" s="12">
        <f>Dados[[#This Row],[H. Ativas]]/Dados[[#This Row],[Horas Disp.]]</f>
        <v>0.99290100301993189</v>
      </c>
      <c r="R228" s="12">
        <f>Dados[[#This Row],[Vol. Bruto]]/Dados[[#This Row],[Vol. Padrão]]</f>
        <v>0.77374090909090898</v>
      </c>
      <c r="S228" s="12">
        <f>Dados[[#This Row],[Disponibilidade]]*Dados[[#This Row],[Desempenho]]*Dados[[#This Row],[Qualidade]]</f>
        <v>0.74841492717859437</v>
      </c>
      <c r="T228" s="14">
        <f>YEAR(Dados[[#This Row],[Período]])</f>
        <v>2019</v>
      </c>
      <c r="U228" s="14">
        <f>MONTH(Dados[[#This Row],[Período]])</f>
        <v>7</v>
      </c>
    </row>
    <row r="229" spans="1:21" x14ac:dyDescent="0.25">
      <c r="A229" s="35">
        <v>43650</v>
      </c>
      <c r="B229" s="35" t="s">
        <v>30</v>
      </c>
      <c r="C229" s="36" t="s">
        <v>16</v>
      </c>
      <c r="D229" s="37">
        <v>8</v>
      </c>
      <c r="E229" s="37">
        <f t="shared" si="57"/>
        <v>7.7811519542679388</v>
      </c>
      <c r="F229" s="37">
        <v>0.21884804573206074</v>
      </c>
      <c r="G229" s="38">
        <v>440</v>
      </c>
      <c r="H229" s="38">
        <v>279.88900000000001</v>
      </c>
      <c r="I229" s="38">
        <v>12.432</v>
      </c>
      <c r="J229" s="38">
        <f t="shared" si="58"/>
        <v>292.32100000000003</v>
      </c>
      <c r="K229" s="12">
        <f t="shared" si="53"/>
        <v>0.63611136363636367</v>
      </c>
      <c r="L229" s="12">
        <f t="shared" si="54"/>
        <v>0.65400225300826664</v>
      </c>
      <c r="M229" s="12">
        <f t="shared" si="55"/>
        <v>0.95747140985423551</v>
      </c>
      <c r="N229" s="12">
        <f t="shared" si="56"/>
        <v>4.2528590145764412E-2</v>
      </c>
      <c r="O229" s="14">
        <f>Dados[[#This Row],[Vol. Padrão]]/Dados[[#This Row],[Horas Disp.]]</f>
        <v>55</v>
      </c>
      <c r="P229" s="32" cm="1">
        <f t="array" ref="P229">SUM(Dados[[#This Row],[Vol. Líquido]:[V. Refugo]]/Dados[[#This Row],[H. Ativas]])</f>
        <v>37.567830793956254</v>
      </c>
      <c r="Q229" s="12">
        <f>Dados[[#This Row],[H. Ativas]]/Dados[[#This Row],[Horas Disp.]]</f>
        <v>0.97264399428349235</v>
      </c>
      <c r="R229" s="12">
        <f>Dados[[#This Row],[Vol. Bruto]]/Dados[[#This Row],[Vol. Padrão]]</f>
        <v>0.6643659090909092</v>
      </c>
      <c r="S229" s="12">
        <f>Dados[[#This Row],[Disponibilidade]]*Dados[[#This Row],[Desempenho]]*Dados[[#This Row],[Qualidade]]</f>
        <v>0.61870989753639183</v>
      </c>
      <c r="T229" s="14">
        <f>YEAR(Dados[[#This Row],[Período]])</f>
        <v>2019</v>
      </c>
      <c r="U229" s="14">
        <f>MONTH(Dados[[#This Row],[Período]])</f>
        <v>7</v>
      </c>
    </row>
    <row r="230" spans="1:21" x14ac:dyDescent="0.25">
      <c r="A230" s="35">
        <v>43651</v>
      </c>
      <c r="B230" s="35" t="s">
        <v>26</v>
      </c>
      <c r="C230" s="36" t="s">
        <v>21</v>
      </c>
      <c r="D230" s="37">
        <v>8</v>
      </c>
      <c r="E230" s="37">
        <f t="shared" si="57"/>
        <v>7.4603636472953125</v>
      </c>
      <c r="F230" s="37">
        <v>0.53963635270468746</v>
      </c>
      <c r="G230" s="38">
        <v>440</v>
      </c>
      <c r="H230" s="38">
        <v>302</v>
      </c>
      <c r="I230" s="38">
        <v>13.95</v>
      </c>
      <c r="J230" s="38">
        <f t="shared" si="58"/>
        <v>315.95</v>
      </c>
      <c r="K230" s="12">
        <f t="shared" si="53"/>
        <v>0.6863636363636364</v>
      </c>
      <c r="L230" s="12">
        <f t="shared" si="54"/>
        <v>0.73601091722918499</v>
      </c>
      <c r="M230" s="12">
        <f t="shared" si="55"/>
        <v>0.95584744421585699</v>
      </c>
      <c r="N230" s="12">
        <f t="shared" si="56"/>
        <v>4.4152555784143059E-2</v>
      </c>
      <c r="O230" s="14">
        <f>Dados[[#This Row],[Vol. Padrão]]/Dados[[#This Row],[Horas Disp.]]</f>
        <v>55</v>
      </c>
      <c r="P230" s="32" cm="1">
        <f t="array" ref="P230">SUM(Dados[[#This Row],[Vol. Líquido]:[V. Refugo]]/Dados[[#This Row],[H. Ativas]])</f>
        <v>42.350482488148529</v>
      </c>
      <c r="Q230" s="12">
        <f>Dados[[#This Row],[H. Ativas]]/Dados[[#This Row],[Horas Disp.]]</f>
        <v>0.93254545591191407</v>
      </c>
      <c r="R230" s="12">
        <f>Dados[[#This Row],[Vol. Bruto]]/Dados[[#This Row],[Vol. Padrão]]</f>
        <v>0.71806818181818177</v>
      </c>
      <c r="S230" s="12">
        <f>Dados[[#This Row],[Disponibilidade]]*Dados[[#This Row],[Desempenho]]*Dados[[#This Row],[Qualidade]]</f>
        <v>0.64006529019408642</v>
      </c>
      <c r="T230" s="14">
        <f>YEAR(Dados[[#This Row],[Período]])</f>
        <v>2019</v>
      </c>
      <c r="U230" s="14">
        <f>MONTH(Dados[[#This Row],[Período]])</f>
        <v>7</v>
      </c>
    </row>
    <row r="231" spans="1:21" x14ac:dyDescent="0.25">
      <c r="A231" s="35">
        <v>43652</v>
      </c>
      <c r="B231" s="35" t="s">
        <v>27</v>
      </c>
      <c r="C231" s="36" t="s">
        <v>20</v>
      </c>
      <c r="D231" s="37">
        <v>8</v>
      </c>
      <c r="E231" s="37">
        <f t="shared" si="57"/>
        <v>7.9871174220602272</v>
      </c>
      <c r="F231" s="37">
        <v>1.2882577939772877E-2</v>
      </c>
      <c r="G231" s="38">
        <v>440</v>
      </c>
      <c r="H231" s="38">
        <v>410</v>
      </c>
      <c r="I231" s="38">
        <v>9.0850000000000009</v>
      </c>
      <c r="J231" s="38">
        <f t="shared" si="58"/>
        <v>419.08499999999998</v>
      </c>
      <c r="K231" s="12">
        <f t="shared" si="53"/>
        <v>0.93181818181818177</v>
      </c>
      <c r="L231" s="12">
        <f t="shared" si="54"/>
        <v>0.93332112959253333</v>
      </c>
      <c r="M231" s="12">
        <f t="shared" si="55"/>
        <v>0.9783218201558157</v>
      </c>
      <c r="N231" s="12">
        <f t="shared" si="56"/>
        <v>2.1678179844184357E-2</v>
      </c>
      <c r="O231" s="14">
        <f>Dados[[#This Row],[Vol. Padrão]]/Dados[[#This Row],[Horas Disp.]]</f>
        <v>55</v>
      </c>
      <c r="P231" s="32" cm="1">
        <f t="array" ref="P231">SUM(Dados[[#This Row],[Vol. Líquido]:[V. Refugo]]/Dados[[#This Row],[H. Ativas]])</f>
        <v>52.470118799367754</v>
      </c>
      <c r="Q231" s="12">
        <f>Dados[[#This Row],[H. Ativas]]/Dados[[#This Row],[Horas Disp.]]</f>
        <v>0.9983896777575284</v>
      </c>
      <c r="R231" s="12">
        <f>Dados[[#This Row],[Vol. Bruto]]/Dados[[#This Row],[Vol. Padrão]]</f>
        <v>0.952465909090909</v>
      </c>
      <c r="S231" s="12">
        <f>Dados[[#This Row],[Disponibilidade]]*Dados[[#This Row],[Desempenho]]*Dados[[#This Row],[Qualidade]]</f>
        <v>0.93031765427406055</v>
      </c>
      <c r="T231" s="14">
        <f>YEAR(Dados[[#This Row],[Período]])</f>
        <v>2019</v>
      </c>
      <c r="U231" s="14">
        <f>MONTH(Dados[[#This Row],[Período]])</f>
        <v>7</v>
      </c>
    </row>
    <row r="232" spans="1:21" x14ac:dyDescent="0.25">
      <c r="A232" s="35">
        <v>43653</v>
      </c>
      <c r="B232" s="35" t="s">
        <v>28</v>
      </c>
      <c r="C232" s="36" t="s">
        <v>15</v>
      </c>
      <c r="D232" s="37">
        <v>8</v>
      </c>
      <c r="E232" s="37">
        <f t="shared" si="57"/>
        <v>7.5381135292439376</v>
      </c>
      <c r="F232" s="37">
        <v>0.46188647075606271</v>
      </c>
      <c r="G232" s="38">
        <v>440</v>
      </c>
      <c r="H232" s="38">
        <v>298</v>
      </c>
      <c r="I232" s="38">
        <v>3.3</v>
      </c>
      <c r="J232" s="38">
        <f t="shared" si="58"/>
        <v>301.3</v>
      </c>
      <c r="K232" s="12">
        <f t="shared" si="53"/>
        <v>0.67727272727272725</v>
      </c>
      <c r="L232" s="12">
        <f t="shared" si="54"/>
        <v>0.71877158617499015</v>
      </c>
      <c r="M232" s="12">
        <f t="shared" si="55"/>
        <v>0.98904746100232321</v>
      </c>
      <c r="N232" s="12">
        <f t="shared" si="56"/>
        <v>1.0952538997676732E-2</v>
      </c>
      <c r="O232" s="14">
        <f>Dados[[#This Row],[Vol. Padrão]]/Dados[[#This Row],[Horas Disp.]]</f>
        <v>55</v>
      </c>
      <c r="P232" s="32" cm="1">
        <f t="array" ref="P232">SUM(Dados[[#This Row],[Vol. Líquido]:[V. Refugo]]/Dados[[#This Row],[H. Ativas]])</f>
        <v>39.97021255133842</v>
      </c>
      <c r="Q232" s="12">
        <f>Dados[[#This Row],[H. Ativas]]/Dados[[#This Row],[Horas Disp.]]</f>
        <v>0.9422641911554922</v>
      </c>
      <c r="R232" s="12">
        <f>Dados[[#This Row],[Vol. Bruto]]/Dados[[#This Row],[Vol. Padrão]]</f>
        <v>0.68477272727272731</v>
      </c>
      <c r="S232" s="12">
        <f>Dados[[#This Row],[Disponibilidade]]*Dados[[#This Row],[Desempenho]]*Dados[[#This Row],[Qualidade]]</f>
        <v>0.63816983855531062</v>
      </c>
      <c r="T232" s="14">
        <f>YEAR(Dados[[#This Row],[Período]])</f>
        <v>2019</v>
      </c>
      <c r="U232" s="14">
        <f>MONTH(Dados[[#This Row],[Período]])</f>
        <v>7</v>
      </c>
    </row>
    <row r="233" spans="1:21" x14ac:dyDescent="0.25">
      <c r="A233" s="35">
        <v>43654</v>
      </c>
      <c r="B233" s="35" t="s">
        <v>29</v>
      </c>
      <c r="C233" s="36" t="s">
        <v>19</v>
      </c>
      <c r="D233" s="37">
        <v>8</v>
      </c>
      <c r="E233" s="37">
        <f t="shared" si="57"/>
        <v>7.6429443327236353</v>
      </c>
      <c r="F233" s="37">
        <v>0.35705566727636506</v>
      </c>
      <c r="G233" s="38">
        <v>440</v>
      </c>
      <c r="H233" s="38">
        <v>362</v>
      </c>
      <c r="I233" s="38">
        <v>4.8899999999999997</v>
      </c>
      <c r="J233" s="38">
        <f t="shared" si="58"/>
        <v>366.89</v>
      </c>
      <c r="K233" s="12">
        <f t="shared" si="53"/>
        <v>0.82272727272727275</v>
      </c>
      <c r="L233" s="12">
        <f t="shared" si="54"/>
        <v>0.86116264822678479</v>
      </c>
      <c r="M233" s="12">
        <f t="shared" si="55"/>
        <v>0.98667175447681865</v>
      </c>
      <c r="N233" s="12">
        <f t="shared" si="56"/>
        <v>1.3328245523181334E-2</v>
      </c>
      <c r="O233" s="14">
        <f>Dados[[#This Row],[Vol. Padrão]]/Dados[[#This Row],[Horas Disp.]]</f>
        <v>55</v>
      </c>
      <c r="P233" s="32" cm="1">
        <f t="array" ref="P233">SUM(Dados[[#This Row],[Vol. Líquido]:[V. Refugo]]/Dados[[#This Row],[H. Ativas]])</f>
        <v>48.003751437668171</v>
      </c>
      <c r="Q233" s="12">
        <f>Dados[[#This Row],[H. Ativas]]/Dados[[#This Row],[Horas Disp.]]</f>
        <v>0.95536804159045441</v>
      </c>
      <c r="R233" s="12">
        <f>Dados[[#This Row],[Vol. Bruto]]/Dados[[#This Row],[Vol. Padrão]]</f>
        <v>0.83384090909090902</v>
      </c>
      <c r="S233" s="12">
        <f>Dados[[#This Row],[Disponibilidade]]*Dados[[#This Row],[Desempenho]]*Dados[[#This Row],[Qualidade]]</f>
        <v>0.78600734330851019</v>
      </c>
      <c r="T233" s="14">
        <f>YEAR(Dados[[#This Row],[Período]])</f>
        <v>2019</v>
      </c>
      <c r="U233" s="14">
        <f>MONTH(Dados[[#This Row],[Período]])</f>
        <v>7</v>
      </c>
    </row>
    <row r="234" spans="1:21" x14ac:dyDescent="0.25">
      <c r="A234" s="35">
        <v>43655</v>
      </c>
      <c r="B234" s="35" t="s">
        <v>30</v>
      </c>
      <c r="C234" s="36" t="s">
        <v>18</v>
      </c>
      <c r="D234" s="37">
        <v>8</v>
      </c>
      <c r="E234" s="37">
        <f t="shared" si="57"/>
        <v>7.4075764252458098</v>
      </c>
      <c r="F234" s="37">
        <v>0.59242357475419039</v>
      </c>
      <c r="G234" s="38">
        <v>440</v>
      </c>
      <c r="H234" s="38">
        <v>316</v>
      </c>
      <c r="I234" s="38">
        <v>5.6</v>
      </c>
      <c r="J234" s="38">
        <f t="shared" si="58"/>
        <v>321.60000000000002</v>
      </c>
      <c r="K234" s="12">
        <f t="shared" si="53"/>
        <v>0.71818181818181814</v>
      </c>
      <c r="L234" s="12">
        <f t="shared" si="54"/>
        <v>0.77561866602866547</v>
      </c>
      <c r="M234" s="12">
        <f t="shared" si="55"/>
        <v>0.98258706467661683</v>
      </c>
      <c r="N234" s="12">
        <f t="shared" si="56"/>
        <v>1.7412935323383082E-2</v>
      </c>
      <c r="O234" s="14">
        <f>Dados[[#This Row],[Vol. Padrão]]/Dados[[#This Row],[Horas Disp.]]</f>
        <v>55</v>
      </c>
      <c r="P234" s="32" cm="1">
        <f t="array" ref="P234">SUM(Dados[[#This Row],[Vol. Líquido]:[V. Refugo]]/Dados[[#This Row],[H. Ativas]])</f>
        <v>43.415009382009607</v>
      </c>
      <c r="Q234" s="12">
        <f>Dados[[#This Row],[H. Ativas]]/Dados[[#This Row],[Horas Disp.]]</f>
        <v>0.92594705315572623</v>
      </c>
      <c r="R234" s="12">
        <f>Dados[[#This Row],[Vol. Bruto]]/Dados[[#This Row],[Vol. Padrão]]</f>
        <v>0.73090909090909095</v>
      </c>
      <c r="S234" s="12">
        <f>Dados[[#This Row],[Disponibilidade]]*Dados[[#This Row],[Desempenho]]*Dados[[#This Row],[Qualidade]]</f>
        <v>0.66499833817547616</v>
      </c>
      <c r="T234" s="14">
        <f>YEAR(Dados[[#This Row],[Período]])</f>
        <v>2019</v>
      </c>
      <c r="U234" s="14">
        <f>MONTH(Dados[[#This Row],[Período]])</f>
        <v>7</v>
      </c>
    </row>
    <row r="235" spans="1:21" x14ac:dyDescent="0.25">
      <c r="A235" s="35">
        <v>43656</v>
      </c>
      <c r="B235" s="35" t="s">
        <v>26</v>
      </c>
      <c r="C235" s="36" t="s">
        <v>22</v>
      </c>
      <c r="D235" s="37">
        <v>8</v>
      </c>
      <c r="E235" s="37">
        <f t="shared" si="57"/>
        <v>7.7059331200656684</v>
      </c>
      <c r="F235" s="37">
        <v>0.29406687993433123</v>
      </c>
      <c r="G235" s="38">
        <v>440</v>
      </c>
      <c r="H235" s="38">
        <v>335</v>
      </c>
      <c r="I235" s="38">
        <v>6.7</v>
      </c>
      <c r="J235" s="38">
        <f t="shared" si="58"/>
        <v>341.7</v>
      </c>
      <c r="K235" s="12">
        <f t="shared" si="53"/>
        <v>0.76136363636363635</v>
      </c>
      <c r="L235" s="12">
        <f t="shared" si="54"/>
        <v>0.7904181097872266</v>
      </c>
      <c r="M235" s="12">
        <f t="shared" si="55"/>
        <v>0.98039215686274517</v>
      </c>
      <c r="N235" s="12">
        <f t="shared" si="56"/>
        <v>1.9607843137254902E-2</v>
      </c>
      <c r="O235" s="14">
        <f>Dados[[#This Row],[Vol. Padrão]]/Dados[[#This Row],[Horas Disp.]]</f>
        <v>55</v>
      </c>
      <c r="P235" s="32" cm="1">
        <f t="array" ref="P235">SUM(Dados[[#This Row],[Vol. Líquido]:[V. Refugo]]/Dados[[#This Row],[H. Ativas]])</f>
        <v>44.342455959063408</v>
      </c>
      <c r="Q235" s="12">
        <f>Dados[[#This Row],[H. Ativas]]/Dados[[#This Row],[Horas Disp.]]</f>
        <v>0.96324164000820856</v>
      </c>
      <c r="R235" s="12">
        <f>Dados[[#This Row],[Vol. Bruto]]/Dados[[#This Row],[Vol. Padrão]]</f>
        <v>0.77659090909090911</v>
      </c>
      <c r="S235" s="12">
        <f>Dados[[#This Row],[Disponibilidade]]*Dados[[#This Row],[Desempenho]]*Dados[[#This Row],[Qualidade]]</f>
        <v>0.73337715773352241</v>
      </c>
      <c r="T235" s="14">
        <f>YEAR(Dados[[#This Row],[Período]])</f>
        <v>2019</v>
      </c>
      <c r="U235" s="14">
        <f>MONTH(Dados[[#This Row],[Período]])</f>
        <v>7</v>
      </c>
    </row>
    <row r="236" spans="1:21" x14ac:dyDescent="0.25">
      <c r="A236" s="35">
        <v>43657</v>
      </c>
      <c r="B236" s="35" t="s">
        <v>29</v>
      </c>
      <c r="C236" s="36" t="s">
        <v>14</v>
      </c>
      <c r="D236" s="37">
        <v>8</v>
      </c>
      <c r="E236" s="37">
        <f t="shared" si="57"/>
        <v>7.3767672572247944</v>
      </c>
      <c r="F236" s="37">
        <v>0.62323274277520591</v>
      </c>
      <c r="G236" s="38">
        <v>440</v>
      </c>
      <c r="H236" s="38">
        <v>325</v>
      </c>
      <c r="I236" s="38">
        <v>9.1999999999999993</v>
      </c>
      <c r="J236" s="38">
        <f t="shared" si="58"/>
        <v>334.2</v>
      </c>
      <c r="K236" s="12">
        <f t="shared" si="53"/>
        <v>0.73863636363636365</v>
      </c>
      <c r="L236" s="12">
        <f t="shared" si="54"/>
        <v>0.80104071377656039</v>
      </c>
      <c r="M236" s="12">
        <f t="shared" si="55"/>
        <v>0.97247157390783967</v>
      </c>
      <c r="N236" s="12">
        <f t="shared" si="56"/>
        <v>2.7528426092160382E-2</v>
      </c>
      <c r="O236" s="14">
        <f>Dados[[#This Row],[Vol. Padrão]]/Dados[[#This Row],[Horas Disp.]]</f>
        <v>55</v>
      </c>
      <c r="P236" s="32" cm="1">
        <f t="array" ref="P236">SUM(Dados[[#This Row],[Vol. Líquido]:[V. Refugo]]/Dados[[#This Row],[H. Ativas]])</f>
        <v>45.304398030544476</v>
      </c>
      <c r="Q236" s="12">
        <f>Dados[[#This Row],[H. Ativas]]/Dados[[#This Row],[Horas Disp.]]</f>
        <v>0.9220959071530993</v>
      </c>
      <c r="R236" s="12">
        <f>Dados[[#This Row],[Vol. Bruto]]/Dados[[#This Row],[Vol. Padrão]]</f>
        <v>0.75954545454545452</v>
      </c>
      <c r="S236" s="12">
        <f>Dados[[#This Row],[Disponibilidade]]*Dados[[#This Row],[Desempenho]]*Dados[[#This Row],[Qualidade]]</f>
        <v>0.68109356778353924</v>
      </c>
      <c r="T236" s="14">
        <f>YEAR(Dados[[#This Row],[Período]])</f>
        <v>2019</v>
      </c>
      <c r="U236" s="14">
        <f>MONTH(Dados[[#This Row],[Período]])</f>
        <v>7</v>
      </c>
    </row>
    <row r="237" spans="1:21" x14ac:dyDescent="0.25">
      <c r="A237" s="35">
        <v>43658</v>
      </c>
      <c r="B237" s="35" t="s">
        <v>27</v>
      </c>
      <c r="C237" s="36" t="s">
        <v>20</v>
      </c>
      <c r="D237" s="37">
        <v>8</v>
      </c>
      <c r="E237" s="37">
        <f t="shared" si="57"/>
        <v>7.8497572939543936</v>
      </c>
      <c r="F237" s="37">
        <v>0.15024270604560641</v>
      </c>
      <c r="G237" s="38">
        <v>440</v>
      </c>
      <c r="H237" s="38">
        <v>262</v>
      </c>
      <c r="I237" s="38">
        <v>4.3209999999999997</v>
      </c>
      <c r="J237" s="38">
        <f t="shared" si="58"/>
        <v>266.32100000000003</v>
      </c>
      <c r="K237" s="12">
        <f t="shared" si="53"/>
        <v>0.59545454545454546</v>
      </c>
      <c r="L237" s="12">
        <f t="shared" si="54"/>
        <v>0.60685142040062168</v>
      </c>
      <c r="M237" s="12">
        <f t="shared" si="55"/>
        <v>0.98377521862714534</v>
      </c>
      <c r="N237" s="12">
        <f t="shared" si="56"/>
        <v>1.622478137285456E-2</v>
      </c>
      <c r="O237" s="14">
        <f>Dados[[#This Row],[Vol. Padrão]]/Dados[[#This Row],[Horas Disp.]]</f>
        <v>55</v>
      </c>
      <c r="P237" s="32" cm="1">
        <f t="array" ref="P237">SUM(Dados[[#This Row],[Vol. Líquido]:[V. Refugo]]/Dados[[#This Row],[H. Ativas]])</f>
        <v>33.927291001100258</v>
      </c>
      <c r="Q237" s="12">
        <f>Dados[[#This Row],[H. Ativas]]/Dados[[#This Row],[Horas Disp.]]</f>
        <v>0.9812196617442992</v>
      </c>
      <c r="R237" s="12">
        <f>Dados[[#This Row],[Vol. Bruto]]/Dados[[#This Row],[Vol. Padrão]]</f>
        <v>0.60527500000000001</v>
      </c>
      <c r="S237" s="12">
        <f>Dados[[#This Row],[Disponibilidade]]*Dados[[#This Row],[Desempenho]]*Dados[[#This Row],[Qualidade]]</f>
        <v>0.58427170767501446</v>
      </c>
      <c r="T237" s="14">
        <f>YEAR(Dados[[#This Row],[Período]])</f>
        <v>2019</v>
      </c>
      <c r="U237" s="14">
        <f>MONTH(Dados[[#This Row],[Período]])</f>
        <v>7</v>
      </c>
    </row>
    <row r="238" spans="1:21" x14ac:dyDescent="0.25">
      <c r="A238" s="35">
        <v>43659</v>
      </c>
      <c r="B238" s="35" t="s">
        <v>28</v>
      </c>
      <c r="C238" s="36" t="s">
        <v>13</v>
      </c>
      <c r="D238" s="37">
        <v>8</v>
      </c>
      <c r="E238" s="37">
        <f t="shared" si="57"/>
        <v>7.0743862883664832</v>
      </c>
      <c r="F238" s="37">
        <v>0.92561371163351669</v>
      </c>
      <c r="G238" s="38">
        <v>440</v>
      </c>
      <c r="H238" s="38">
        <v>251</v>
      </c>
      <c r="I238" s="38">
        <v>2.4</v>
      </c>
      <c r="J238" s="38">
        <f t="shared" si="58"/>
        <v>253.4</v>
      </c>
      <c r="K238" s="12">
        <f t="shared" ref="K238:K269" si="59">(H238/G238)</f>
        <v>0.57045454545454544</v>
      </c>
      <c r="L238" s="12">
        <f t="shared" ref="L238:L269" si="60">H238/(E238*55)</f>
        <v>0.64509289959767435</v>
      </c>
      <c r="M238" s="12">
        <f t="shared" ref="M238:M269" si="61">(H238/J238)</f>
        <v>0.9905288082083662</v>
      </c>
      <c r="N238" s="12">
        <f t="shared" ref="N238:N269" si="62">I238/(H238+I238)</f>
        <v>9.4711917916337797E-3</v>
      </c>
      <c r="O238" s="14">
        <f>Dados[[#This Row],[Vol. Padrão]]/Dados[[#This Row],[Horas Disp.]]</f>
        <v>55</v>
      </c>
      <c r="P238" s="32" cm="1">
        <f t="array" ref="P238">SUM(Dados[[#This Row],[Vol. Líquido]:[V. Refugo]]/Dados[[#This Row],[H. Ativas]])</f>
        <v>35.819361520688396</v>
      </c>
      <c r="Q238" s="12">
        <f>Dados[[#This Row],[H. Ativas]]/Dados[[#This Row],[Horas Disp.]]</f>
        <v>0.8842982860458104</v>
      </c>
      <c r="R238" s="12">
        <f>Dados[[#This Row],[Vol. Bruto]]/Dados[[#This Row],[Vol. Padrão]]</f>
        <v>0.57590909090909093</v>
      </c>
      <c r="S238" s="12">
        <f>Dados[[#This Row],[Disponibilidade]]*Dados[[#This Row],[Desempenho]]*Dados[[#This Row],[Qualidade]]</f>
        <v>0.50445197681249643</v>
      </c>
      <c r="T238" s="14">
        <f>YEAR(Dados[[#This Row],[Período]])</f>
        <v>2019</v>
      </c>
      <c r="U238" s="14">
        <f>MONTH(Dados[[#This Row],[Período]])</f>
        <v>7</v>
      </c>
    </row>
    <row r="239" spans="1:21" x14ac:dyDescent="0.25">
      <c r="A239" s="35">
        <v>43678</v>
      </c>
      <c r="B239" s="35" t="s">
        <v>26</v>
      </c>
      <c r="C239" s="36" t="s">
        <v>21</v>
      </c>
      <c r="D239" s="37">
        <v>8</v>
      </c>
      <c r="E239" s="37">
        <f t="shared" si="57"/>
        <v>7.8531824177428664</v>
      </c>
      <c r="F239" s="37">
        <v>0.14681758225713382</v>
      </c>
      <c r="G239" s="38">
        <v>440</v>
      </c>
      <c r="H239" s="38">
        <v>396</v>
      </c>
      <c r="I239" s="38">
        <v>10.89</v>
      </c>
      <c r="J239" s="38">
        <f t="shared" si="58"/>
        <v>406.89</v>
      </c>
      <c r="K239" s="12">
        <f t="shared" si="59"/>
        <v>0.9</v>
      </c>
      <c r="L239" s="12">
        <f t="shared" si="60"/>
        <v>0.91682576782284875</v>
      </c>
      <c r="M239" s="12">
        <f t="shared" si="61"/>
        <v>0.97323600973236013</v>
      </c>
      <c r="N239" s="12">
        <f t="shared" si="62"/>
        <v>2.6763990267639905E-2</v>
      </c>
      <c r="O239" s="14">
        <f>Dados[[#This Row],[Vol. Padrão]]/Dados[[#This Row],[Horas Disp.]]</f>
        <v>55</v>
      </c>
      <c r="P239" s="32" cm="1">
        <f t="array" ref="P239">SUM(Dados[[#This Row],[Vol. Líquido]:[V. Refugo]]/Dados[[#This Row],[H. Ativas]])</f>
        <v>51.812116204088746</v>
      </c>
      <c r="Q239" s="12">
        <f>Dados[[#This Row],[H. Ativas]]/Dados[[#This Row],[Horas Disp.]]</f>
        <v>0.9816478022178583</v>
      </c>
      <c r="R239" s="12">
        <f>Dados[[#This Row],[Vol. Bruto]]/Dados[[#This Row],[Vol. Padrão]]</f>
        <v>0.92474999999999996</v>
      </c>
      <c r="S239" s="12">
        <f>Dados[[#This Row],[Disponibilidade]]*Dados[[#This Row],[Desempenho]]*Dados[[#This Row],[Qualidade]]</f>
        <v>0.88348302199607243</v>
      </c>
      <c r="T239" s="14">
        <f>YEAR(Dados[[#This Row],[Período]])</f>
        <v>2019</v>
      </c>
      <c r="U239" s="14">
        <f>MONTH(Dados[[#This Row],[Período]])</f>
        <v>8</v>
      </c>
    </row>
    <row r="240" spans="1:21" x14ac:dyDescent="0.25">
      <c r="A240" s="35">
        <v>43679</v>
      </c>
      <c r="B240" s="35" t="s">
        <v>27</v>
      </c>
      <c r="C240" s="36" t="s">
        <v>17</v>
      </c>
      <c r="D240" s="37">
        <v>8</v>
      </c>
      <c r="E240" s="37">
        <f t="shared" si="57"/>
        <v>7.8524795254717485</v>
      </c>
      <c r="F240" s="37">
        <v>0.14752047452825146</v>
      </c>
      <c r="G240" s="38">
        <v>440</v>
      </c>
      <c r="H240" s="38">
        <v>297.774</v>
      </c>
      <c r="I240" s="38">
        <v>23.09</v>
      </c>
      <c r="J240" s="38">
        <f t="shared" si="58"/>
        <v>320.86399999999998</v>
      </c>
      <c r="K240" s="12">
        <f t="shared" si="59"/>
        <v>0.67675909090909092</v>
      </c>
      <c r="L240" s="12">
        <f t="shared" si="60"/>
        <v>0.68947301418751161</v>
      </c>
      <c r="M240" s="12">
        <f t="shared" si="61"/>
        <v>0.92803804727236472</v>
      </c>
      <c r="N240" s="12">
        <f t="shared" si="62"/>
        <v>7.1961952727635392E-2</v>
      </c>
      <c r="O240" s="14">
        <f>Dados[[#This Row],[Vol. Padrão]]/Dados[[#This Row],[Horas Disp.]]</f>
        <v>55</v>
      </c>
      <c r="P240" s="32" cm="1">
        <f t="array" ref="P240">SUM(Dados[[#This Row],[Vol. Líquido]:[V. Refugo]]/Dados[[#This Row],[H. Ativas]])</f>
        <v>40.861488267392033</v>
      </c>
      <c r="Q240" s="12">
        <f>Dados[[#This Row],[H. Ativas]]/Dados[[#This Row],[Horas Disp.]]</f>
        <v>0.98155994068396857</v>
      </c>
      <c r="R240" s="12">
        <f>Dados[[#This Row],[Vol. Bruto]]/Dados[[#This Row],[Vol. Padrão]]</f>
        <v>0.72923636363636357</v>
      </c>
      <c r="S240" s="12">
        <f>Dados[[#This Row],[Disponibilidade]]*Dados[[#This Row],[Desempenho]]*Dados[[#This Row],[Qualidade]]</f>
        <v>0.66427961313006378</v>
      </c>
      <c r="T240" s="14">
        <f>YEAR(Dados[[#This Row],[Período]])</f>
        <v>2019</v>
      </c>
      <c r="U240" s="14">
        <f>MONTH(Dados[[#This Row],[Período]])</f>
        <v>8</v>
      </c>
    </row>
    <row r="241" spans="1:21" x14ac:dyDescent="0.25">
      <c r="A241" s="35">
        <v>43680</v>
      </c>
      <c r="B241" s="35" t="s">
        <v>28</v>
      </c>
      <c r="C241" s="36" t="s">
        <v>15</v>
      </c>
      <c r="D241" s="37">
        <v>8</v>
      </c>
      <c r="E241" s="37">
        <f t="shared" si="57"/>
        <v>7.5325032845520692</v>
      </c>
      <c r="F241" s="37">
        <v>0.46749671544793103</v>
      </c>
      <c r="G241" s="38">
        <v>440</v>
      </c>
      <c r="H241" s="38">
        <v>344.33199999999999</v>
      </c>
      <c r="I241" s="38">
        <v>3.2</v>
      </c>
      <c r="J241" s="38">
        <f t="shared" si="58"/>
        <v>347.53199999999998</v>
      </c>
      <c r="K241" s="12">
        <f t="shared" si="59"/>
        <v>0.78257272727272731</v>
      </c>
      <c r="L241" s="12">
        <f t="shared" si="60"/>
        <v>0.83114226196505558</v>
      </c>
      <c r="M241" s="12">
        <f t="shared" si="61"/>
        <v>0.99079221481762836</v>
      </c>
      <c r="N241" s="12">
        <f t="shared" si="62"/>
        <v>9.2077851823716955E-3</v>
      </c>
      <c r="O241" s="14">
        <f>Dados[[#This Row],[Vol. Padrão]]/Dados[[#This Row],[Horas Disp.]]</f>
        <v>55</v>
      </c>
      <c r="P241" s="32" cm="1">
        <f t="array" ref="P241">SUM(Dados[[#This Row],[Vol. Líquido]:[V. Refugo]]/Dados[[#This Row],[H. Ativas]])</f>
        <v>46.137649977893965</v>
      </c>
      <c r="Q241" s="12">
        <f>Dados[[#This Row],[H. Ativas]]/Dados[[#This Row],[Horas Disp.]]</f>
        <v>0.94156291056900865</v>
      </c>
      <c r="R241" s="12">
        <f>Dados[[#This Row],[Vol. Bruto]]/Dados[[#This Row],[Vol. Padrão]]</f>
        <v>0.78984545454545452</v>
      </c>
      <c r="S241" s="12">
        <f>Dados[[#This Row],[Disponibilidade]]*Dados[[#This Row],[Desempenho]]*Dados[[#This Row],[Qualidade]]</f>
        <v>0.73684145482283614</v>
      </c>
      <c r="T241" s="14">
        <f>YEAR(Dados[[#This Row],[Período]])</f>
        <v>2019</v>
      </c>
      <c r="U241" s="14">
        <f>MONTH(Dados[[#This Row],[Período]])</f>
        <v>8</v>
      </c>
    </row>
    <row r="242" spans="1:21" x14ac:dyDescent="0.25">
      <c r="A242" s="35">
        <v>43681</v>
      </c>
      <c r="B242" s="35" t="s">
        <v>29</v>
      </c>
      <c r="C242" s="36" t="s">
        <v>19</v>
      </c>
      <c r="D242" s="37">
        <v>8</v>
      </c>
      <c r="E242" s="37">
        <f t="shared" si="57"/>
        <v>7.2614198012176967</v>
      </c>
      <c r="F242" s="37">
        <v>0.73858019878230341</v>
      </c>
      <c r="G242" s="38">
        <v>440</v>
      </c>
      <c r="H242" s="38">
        <v>294.78899999999999</v>
      </c>
      <c r="I242" s="38">
        <v>7.87</v>
      </c>
      <c r="J242" s="38">
        <f t="shared" si="58"/>
        <v>302.65899999999999</v>
      </c>
      <c r="K242" s="12">
        <f t="shared" si="59"/>
        <v>0.66997499999999999</v>
      </c>
      <c r="L242" s="12">
        <f t="shared" si="60"/>
        <v>0.73812011241950137</v>
      </c>
      <c r="M242" s="12">
        <f t="shared" si="61"/>
        <v>0.97399713869404181</v>
      </c>
      <c r="N242" s="12">
        <f t="shared" si="62"/>
        <v>2.6002861305958191E-2</v>
      </c>
      <c r="O242" s="14">
        <f>Dados[[#This Row],[Vol. Padrão]]/Dados[[#This Row],[Horas Disp.]]</f>
        <v>55</v>
      </c>
      <c r="P242" s="32" cm="1">
        <f t="array" ref="P242">SUM(Dados[[#This Row],[Vol. Líquido]:[V. Refugo]]/Dados[[#This Row],[H. Ativas]])</f>
        <v>41.680416266422974</v>
      </c>
      <c r="Q242" s="12">
        <f>Dados[[#This Row],[H. Ativas]]/Dados[[#This Row],[Horas Disp.]]</f>
        <v>0.90767747515221209</v>
      </c>
      <c r="R242" s="12">
        <f>Dados[[#This Row],[Vol. Bruto]]/Dados[[#This Row],[Vol. Padrão]]</f>
        <v>0.68786136363636363</v>
      </c>
      <c r="S242" s="12">
        <f>Dados[[#This Row],[Disponibilidade]]*Dados[[#This Row],[Desempenho]]*Dados[[#This Row],[Qualidade]]</f>
        <v>0.60812121641510331</v>
      </c>
      <c r="T242" s="14">
        <f>YEAR(Dados[[#This Row],[Período]])</f>
        <v>2019</v>
      </c>
      <c r="U242" s="14">
        <f>MONTH(Dados[[#This Row],[Período]])</f>
        <v>8</v>
      </c>
    </row>
    <row r="243" spans="1:21" x14ac:dyDescent="0.25">
      <c r="A243" s="35">
        <v>43682</v>
      </c>
      <c r="B243" s="35" t="s">
        <v>30</v>
      </c>
      <c r="C243" s="36" t="s">
        <v>18</v>
      </c>
      <c r="D243" s="37">
        <v>8</v>
      </c>
      <c r="E243" s="37">
        <f t="shared" si="57"/>
        <v>7.0799596650268066</v>
      </c>
      <c r="F243" s="37">
        <v>0.92004033497319315</v>
      </c>
      <c r="G243" s="38">
        <v>440</v>
      </c>
      <c r="H243" s="38">
        <v>403</v>
      </c>
      <c r="I243" s="38">
        <v>5.3</v>
      </c>
      <c r="J243" s="38">
        <f t="shared" si="58"/>
        <v>408.3</v>
      </c>
      <c r="K243" s="12">
        <f t="shared" si="59"/>
        <v>0.91590909090909089</v>
      </c>
      <c r="L243" s="12">
        <f t="shared" si="60"/>
        <v>1.0349314224864281</v>
      </c>
      <c r="M243" s="12">
        <f t="shared" si="61"/>
        <v>0.98701934851824635</v>
      </c>
      <c r="N243" s="12">
        <f t="shared" si="62"/>
        <v>1.2980651481753612E-2</v>
      </c>
      <c r="O243" s="14">
        <f>Dados[[#This Row],[Vol. Padrão]]/Dados[[#This Row],[Horas Disp.]]</f>
        <v>55</v>
      </c>
      <c r="P243" s="32" cm="1">
        <f t="array" ref="P243">SUM(Dados[[#This Row],[Vol. Líquido]:[V. Refugo]]/Dados[[#This Row],[H. Ativas]])</f>
        <v>57.669820072125241</v>
      </c>
      <c r="Q243" s="12">
        <f>Dados[[#This Row],[H. Ativas]]/Dados[[#This Row],[Horas Disp.]]</f>
        <v>0.88499495812835083</v>
      </c>
      <c r="R243" s="12">
        <f>Dados[[#This Row],[Vol. Bruto]]/Dados[[#This Row],[Vol. Padrão]]</f>
        <v>0.92795454545454548</v>
      </c>
      <c r="S243" s="12">
        <f>Dados[[#This Row],[Disponibilidade]]*Dados[[#This Row],[Desempenho]]*Dados[[#This Row],[Qualidade]]</f>
        <v>0.81057492755846683</v>
      </c>
      <c r="T243" s="14">
        <f>YEAR(Dados[[#This Row],[Período]])</f>
        <v>2019</v>
      </c>
      <c r="U243" s="14">
        <f>MONTH(Dados[[#This Row],[Período]])</f>
        <v>8</v>
      </c>
    </row>
    <row r="244" spans="1:21" x14ac:dyDescent="0.25">
      <c r="A244" s="35">
        <v>43683</v>
      </c>
      <c r="B244" s="35" t="s">
        <v>26</v>
      </c>
      <c r="C244" s="36" t="s">
        <v>22</v>
      </c>
      <c r="D244" s="37">
        <v>8</v>
      </c>
      <c r="E244" s="37">
        <f t="shared" si="57"/>
        <v>7.9956801716454873</v>
      </c>
      <c r="F244" s="37">
        <v>4.3198283545123894E-3</v>
      </c>
      <c r="G244" s="38">
        <v>440</v>
      </c>
      <c r="H244" s="38">
        <v>322</v>
      </c>
      <c r="I244" s="38">
        <v>1.8</v>
      </c>
      <c r="J244" s="38">
        <f t="shared" si="58"/>
        <v>323.8</v>
      </c>
      <c r="K244" s="12">
        <f t="shared" si="59"/>
        <v>0.73181818181818181</v>
      </c>
      <c r="L244" s="12">
        <f t="shared" si="60"/>
        <v>0.73221356143121041</v>
      </c>
      <c r="M244" s="12">
        <f t="shared" si="61"/>
        <v>0.99444101297096965</v>
      </c>
      <c r="N244" s="12">
        <f t="shared" si="62"/>
        <v>5.5589870290302656E-3</v>
      </c>
      <c r="O244" s="14">
        <f>Dados[[#This Row],[Vol. Padrão]]/Dados[[#This Row],[Horas Disp.]]</f>
        <v>55</v>
      </c>
      <c r="P244" s="32" cm="1">
        <f t="array" ref="P244">SUM(Dados[[#This Row],[Vol. Líquido]:[V. Refugo]]/Dados[[#This Row],[H. Ativas]])</f>
        <v>40.496867439529282</v>
      </c>
      <c r="Q244" s="12">
        <f>Dados[[#This Row],[H. Ativas]]/Dados[[#This Row],[Horas Disp.]]</f>
        <v>0.99946002145568591</v>
      </c>
      <c r="R244" s="12">
        <f>Dados[[#This Row],[Vol. Bruto]]/Dados[[#This Row],[Vol. Padrão]]</f>
        <v>0.73590909090909096</v>
      </c>
      <c r="S244" s="12">
        <f>Dados[[#This Row],[Disponibilidade]]*Dados[[#This Row],[Desempenho]]*Dados[[#This Row],[Qualidade]]</f>
        <v>0.73142301570166102</v>
      </c>
      <c r="T244" s="14">
        <f>YEAR(Dados[[#This Row],[Período]])</f>
        <v>2019</v>
      </c>
      <c r="U244" s="14">
        <f>MONTH(Dados[[#This Row],[Período]])</f>
        <v>8</v>
      </c>
    </row>
    <row r="245" spans="1:21" x14ac:dyDescent="0.25">
      <c r="A245" s="35">
        <v>43684</v>
      </c>
      <c r="B245" s="35" t="s">
        <v>27</v>
      </c>
      <c r="C245" s="36" t="s">
        <v>20</v>
      </c>
      <c r="D245" s="37">
        <v>8</v>
      </c>
      <c r="E245" s="37">
        <f t="shared" si="57"/>
        <v>7.3440159727226364</v>
      </c>
      <c r="F245" s="37">
        <v>0.65598402727736327</v>
      </c>
      <c r="G245" s="38">
        <v>440</v>
      </c>
      <c r="H245" s="38">
        <v>302</v>
      </c>
      <c r="I245" s="38">
        <v>23.4</v>
      </c>
      <c r="J245" s="38">
        <f t="shared" si="58"/>
        <v>325.39999999999998</v>
      </c>
      <c r="K245" s="12">
        <f t="shared" si="59"/>
        <v>0.6863636363636364</v>
      </c>
      <c r="L245" s="12">
        <f t="shared" si="60"/>
        <v>0.74767118036011759</v>
      </c>
      <c r="M245" s="12">
        <f t="shared" si="61"/>
        <v>0.92808850645359564</v>
      </c>
      <c r="N245" s="12">
        <f t="shared" si="62"/>
        <v>7.1911493546404429E-2</v>
      </c>
      <c r="O245" s="14">
        <f>Dados[[#This Row],[Vol. Padrão]]/Dados[[#This Row],[Horas Disp.]]</f>
        <v>55</v>
      </c>
      <c r="P245" s="32" cm="1">
        <f t="array" ref="P245">SUM(Dados[[#This Row],[Vol. Líquido]:[V. Refugo]]/Dados[[#This Row],[H. Ativas]])</f>
        <v>44.308182499685515</v>
      </c>
      <c r="Q245" s="12">
        <f>Dados[[#This Row],[H. Ativas]]/Dados[[#This Row],[Horas Disp.]]</f>
        <v>0.91800199659032955</v>
      </c>
      <c r="R245" s="12">
        <f>Dados[[#This Row],[Vol. Bruto]]/Dados[[#This Row],[Vol. Padrão]]</f>
        <v>0.73954545454545451</v>
      </c>
      <c r="S245" s="12">
        <f>Dados[[#This Row],[Disponibilidade]]*Dados[[#This Row],[Desempenho]]*Dados[[#This Row],[Qualidade]]</f>
        <v>0.63008318856881718</v>
      </c>
      <c r="T245" s="14">
        <f>YEAR(Dados[[#This Row],[Período]])</f>
        <v>2019</v>
      </c>
      <c r="U245" s="14">
        <f>MONTH(Dados[[#This Row],[Período]])</f>
        <v>8</v>
      </c>
    </row>
    <row r="246" spans="1:21" x14ac:dyDescent="0.25">
      <c r="A246" s="35">
        <v>43685</v>
      </c>
      <c r="B246" s="35" t="s">
        <v>28</v>
      </c>
      <c r="C246" s="36" t="s">
        <v>13</v>
      </c>
      <c r="D246" s="37">
        <v>8</v>
      </c>
      <c r="E246" s="37">
        <f t="shared" si="57"/>
        <v>7.1347049794347388</v>
      </c>
      <c r="F246" s="37">
        <v>0.86529502056526097</v>
      </c>
      <c r="G246" s="38">
        <v>440</v>
      </c>
      <c r="H246" s="38">
        <v>294</v>
      </c>
      <c r="I246" s="38">
        <v>2.3450000000000002</v>
      </c>
      <c r="J246" s="38">
        <f t="shared" si="58"/>
        <v>296.34500000000003</v>
      </c>
      <c r="K246" s="12">
        <f t="shared" si="59"/>
        <v>0.66818181818181821</v>
      </c>
      <c r="L246" s="12">
        <f t="shared" si="60"/>
        <v>0.74921872184798444</v>
      </c>
      <c r="M246" s="12">
        <f t="shared" si="61"/>
        <v>0.99208692571158608</v>
      </c>
      <c r="N246" s="12">
        <f t="shared" si="62"/>
        <v>7.9130742884138423E-3</v>
      </c>
      <c r="O246" s="14">
        <f>Dados[[#This Row],[Vol. Padrão]]/Dados[[#This Row],[Horas Disp.]]</f>
        <v>55</v>
      </c>
      <c r="P246" s="32" cm="1">
        <f t="array" ref="P246">SUM(Dados[[#This Row],[Vol. Líquido]:[V. Refugo]]/Dados[[#This Row],[H. Ativas]])</f>
        <v>41.535704819497454</v>
      </c>
      <c r="Q246" s="12">
        <f>Dados[[#This Row],[H. Ativas]]/Dados[[#This Row],[Horas Disp.]]</f>
        <v>0.89183812242934235</v>
      </c>
      <c r="R246" s="12">
        <f>Dados[[#This Row],[Vol. Bruto]]/Dados[[#This Row],[Vol. Padrão]]</f>
        <v>0.67351136363636366</v>
      </c>
      <c r="S246" s="12">
        <f>Dados[[#This Row],[Disponibilidade]]*Dados[[#This Row],[Desempenho]]*Dados[[#This Row],[Qualidade]]</f>
        <v>0.59591001816869693</v>
      </c>
      <c r="T246" s="14">
        <f>YEAR(Dados[[#This Row],[Período]])</f>
        <v>2019</v>
      </c>
      <c r="U246" s="14">
        <f>MONTH(Dados[[#This Row],[Período]])</f>
        <v>8</v>
      </c>
    </row>
    <row r="247" spans="1:21" x14ac:dyDescent="0.25">
      <c r="A247" s="35">
        <v>43686</v>
      </c>
      <c r="B247" s="35" t="s">
        <v>29</v>
      </c>
      <c r="C247" s="36" t="s">
        <v>14</v>
      </c>
      <c r="D247" s="37">
        <v>8</v>
      </c>
      <c r="E247" s="37">
        <f t="shared" si="57"/>
        <v>7.9146814837215143</v>
      </c>
      <c r="F247" s="37">
        <v>8.5318516278485967E-2</v>
      </c>
      <c r="G247" s="38">
        <v>440</v>
      </c>
      <c r="H247" s="38">
        <v>296</v>
      </c>
      <c r="I247" s="38">
        <v>8.7889999999999997</v>
      </c>
      <c r="J247" s="38">
        <f t="shared" si="58"/>
        <v>304.78899999999999</v>
      </c>
      <c r="K247" s="12">
        <f t="shared" si="59"/>
        <v>0.67272727272727273</v>
      </c>
      <c r="L247" s="12">
        <f t="shared" si="60"/>
        <v>0.67997912397197691</v>
      </c>
      <c r="M247" s="12">
        <f t="shared" si="61"/>
        <v>0.97116365748107714</v>
      </c>
      <c r="N247" s="12">
        <f t="shared" si="62"/>
        <v>2.8836342518922926E-2</v>
      </c>
      <c r="O247" s="14">
        <f>Dados[[#This Row],[Vol. Padrão]]/Dados[[#This Row],[Horas Disp.]]</f>
        <v>55</v>
      </c>
      <c r="P247" s="32" cm="1">
        <f t="array" ref="P247">SUM(Dados[[#This Row],[Vol. Líquido]:[V. Refugo]]/Dados[[#This Row],[H. Ativas]])</f>
        <v>38.509319753027761</v>
      </c>
      <c r="Q247" s="12">
        <f>Dados[[#This Row],[H. Ativas]]/Dados[[#This Row],[Horas Disp.]]</f>
        <v>0.98933518546518928</v>
      </c>
      <c r="R247" s="12">
        <f>Dados[[#This Row],[Vol. Bruto]]/Dados[[#This Row],[Vol. Padrão]]</f>
        <v>0.69270227272727269</v>
      </c>
      <c r="S247" s="12">
        <f>Dados[[#This Row],[Disponibilidade]]*Dados[[#This Row],[Desempenho]]*Dados[[#This Row],[Qualidade]]</f>
        <v>0.66555276113112738</v>
      </c>
      <c r="T247" s="14">
        <f>YEAR(Dados[[#This Row],[Período]])</f>
        <v>2019</v>
      </c>
      <c r="U247" s="14">
        <f>MONTH(Dados[[#This Row],[Período]])</f>
        <v>8</v>
      </c>
    </row>
    <row r="248" spans="1:21" x14ac:dyDescent="0.25">
      <c r="A248" s="35">
        <v>43687</v>
      </c>
      <c r="B248" s="35" t="s">
        <v>30</v>
      </c>
      <c r="C248" s="36" t="s">
        <v>16</v>
      </c>
      <c r="D248" s="37">
        <v>8</v>
      </c>
      <c r="E248" s="37">
        <f t="shared" si="57"/>
        <v>7.6221345365749489</v>
      </c>
      <c r="F248" s="37">
        <v>0.37786546342505156</v>
      </c>
      <c r="G248" s="38">
        <v>440</v>
      </c>
      <c r="H248" s="38">
        <v>304</v>
      </c>
      <c r="I248" s="38">
        <v>12.432</v>
      </c>
      <c r="J248" s="38">
        <f t="shared" si="58"/>
        <v>316.43200000000002</v>
      </c>
      <c r="K248" s="12">
        <f t="shared" si="59"/>
        <v>0.69090909090909092</v>
      </c>
      <c r="L248" s="12">
        <f t="shared" si="60"/>
        <v>0.72516074083316295</v>
      </c>
      <c r="M248" s="12">
        <f t="shared" si="61"/>
        <v>0.96071193810992561</v>
      </c>
      <c r="N248" s="12">
        <f t="shared" si="62"/>
        <v>3.9288061890074326E-2</v>
      </c>
      <c r="O248" s="14">
        <f>Dados[[#This Row],[Vol. Padrão]]/Dados[[#This Row],[Horas Disp.]]</f>
        <v>55</v>
      </c>
      <c r="P248" s="32" cm="1">
        <f t="array" ref="P248">SUM(Dados[[#This Row],[Vol. Líquido]:[V. Refugo]]/Dados[[#This Row],[H. Ativas]])</f>
        <v>41.514879917376867</v>
      </c>
      <c r="Q248" s="12">
        <f>Dados[[#This Row],[H. Ativas]]/Dados[[#This Row],[Horas Disp.]]</f>
        <v>0.95276681707186861</v>
      </c>
      <c r="R248" s="12">
        <f>Dados[[#This Row],[Vol. Bruto]]/Dados[[#This Row],[Vol. Padrão]]</f>
        <v>0.71916363636363645</v>
      </c>
      <c r="S248" s="12">
        <f>Dados[[#This Row],[Disponibilidade]]*Dados[[#This Row],[Desempenho]]*Dados[[#This Row],[Qualidade]]</f>
        <v>0.65827525543147292</v>
      </c>
      <c r="T248" s="14">
        <f>YEAR(Dados[[#This Row],[Período]])</f>
        <v>2019</v>
      </c>
      <c r="U248" s="14">
        <f>MONTH(Dados[[#This Row],[Período]])</f>
        <v>8</v>
      </c>
    </row>
    <row r="249" spans="1:21" x14ac:dyDescent="0.25">
      <c r="A249" s="35">
        <v>43688</v>
      </c>
      <c r="B249" s="35" t="s">
        <v>27</v>
      </c>
      <c r="C249" s="36" t="s">
        <v>17</v>
      </c>
      <c r="D249" s="37">
        <v>8</v>
      </c>
      <c r="E249" s="37">
        <f t="shared" si="57"/>
        <v>7.0354401707684993</v>
      </c>
      <c r="F249" s="37">
        <v>0.9645598292315003</v>
      </c>
      <c r="G249" s="38">
        <v>440</v>
      </c>
      <c r="H249" s="38">
        <v>356</v>
      </c>
      <c r="I249" s="38">
        <v>11.23</v>
      </c>
      <c r="J249" s="38">
        <f t="shared" si="58"/>
        <v>367.23</v>
      </c>
      <c r="K249" s="12">
        <f t="shared" si="59"/>
        <v>0.80909090909090908</v>
      </c>
      <c r="L249" s="12">
        <f t="shared" si="60"/>
        <v>0.92001738563860747</v>
      </c>
      <c r="M249" s="12">
        <f t="shared" si="61"/>
        <v>0.96941970971870484</v>
      </c>
      <c r="N249" s="12">
        <f t="shared" si="62"/>
        <v>3.0580290281295101E-2</v>
      </c>
      <c r="O249" s="14">
        <f>Dados[[#This Row],[Vol. Padrão]]/Dados[[#This Row],[Horas Disp.]]</f>
        <v>55</v>
      </c>
      <c r="P249" s="32" cm="1">
        <f t="array" ref="P249">SUM(Dados[[#This Row],[Vol. Líquido]:[V. Refugo]]/Dados[[#This Row],[H. Ativas]])</f>
        <v>52.19716053102141</v>
      </c>
      <c r="Q249" s="12">
        <f>Dados[[#This Row],[H. Ativas]]/Dados[[#This Row],[Horas Disp.]]</f>
        <v>0.87943002134606241</v>
      </c>
      <c r="R249" s="12">
        <f>Dados[[#This Row],[Vol. Bruto]]/Dados[[#This Row],[Vol. Padrão]]</f>
        <v>0.83461363636363639</v>
      </c>
      <c r="S249" s="12">
        <f>Dados[[#This Row],[Disponibilidade]]*Dados[[#This Row],[Desempenho]]*Dados[[#This Row],[Qualidade]]</f>
        <v>0.71153883545272323</v>
      </c>
      <c r="T249" s="14">
        <f>YEAR(Dados[[#This Row],[Período]])</f>
        <v>2019</v>
      </c>
      <c r="U249" s="14">
        <f>MONTH(Dados[[#This Row],[Período]])</f>
        <v>8</v>
      </c>
    </row>
    <row r="250" spans="1:21" x14ac:dyDescent="0.25">
      <c r="A250" s="35">
        <v>43689</v>
      </c>
      <c r="B250" s="35" t="s">
        <v>29</v>
      </c>
      <c r="C250" s="36" t="s">
        <v>14</v>
      </c>
      <c r="D250" s="37">
        <v>8</v>
      </c>
      <c r="E250" s="37">
        <f t="shared" si="57"/>
        <v>7.0252587138236384</v>
      </c>
      <c r="F250" s="37">
        <v>0.97474128617636158</v>
      </c>
      <c r="G250" s="38">
        <v>440</v>
      </c>
      <c r="H250" s="38">
        <v>343</v>
      </c>
      <c r="I250" s="38">
        <v>9.0850000000000009</v>
      </c>
      <c r="J250" s="38">
        <f t="shared" si="58"/>
        <v>352.08499999999998</v>
      </c>
      <c r="K250" s="12">
        <f t="shared" si="59"/>
        <v>0.77954545454545454</v>
      </c>
      <c r="L250" s="12">
        <f t="shared" si="60"/>
        <v>0.88770590385409021</v>
      </c>
      <c r="M250" s="12">
        <f t="shared" si="61"/>
        <v>0.97419657185054753</v>
      </c>
      <c r="N250" s="12">
        <f t="shared" si="62"/>
        <v>2.5803428149452551E-2</v>
      </c>
      <c r="O250" s="14">
        <f>Dados[[#This Row],[Vol. Padrão]]/Dados[[#This Row],[Horas Disp.]]</f>
        <v>55</v>
      </c>
      <c r="P250" s="32" cm="1">
        <f t="array" ref="P250">SUM(Dados[[#This Row],[Vol. Líquido]:[V. Refugo]]/Dados[[#This Row],[H. Ativas]])</f>
        <v>50.11701552103704</v>
      </c>
      <c r="Q250" s="12">
        <f>Dados[[#This Row],[H. Ativas]]/Dados[[#This Row],[Horas Disp.]]</f>
        <v>0.8781573392279548</v>
      </c>
      <c r="R250" s="12">
        <f>Dados[[#This Row],[Vol. Bruto]]/Dados[[#This Row],[Vol. Padrão]]</f>
        <v>0.80019318181818178</v>
      </c>
      <c r="S250" s="12">
        <f>Dados[[#This Row],[Disponibilidade]]*Dados[[#This Row],[Desempenho]]*Dados[[#This Row],[Qualidade]]</f>
        <v>0.68456356217088299</v>
      </c>
      <c r="T250" s="14">
        <f>YEAR(Dados[[#This Row],[Período]])</f>
        <v>2019</v>
      </c>
      <c r="U250" s="14">
        <f>MONTH(Dados[[#This Row],[Período]])</f>
        <v>8</v>
      </c>
    </row>
    <row r="251" spans="1:21" x14ac:dyDescent="0.25">
      <c r="A251" s="35">
        <v>43709</v>
      </c>
      <c r="B251" s="35" t="s">
        <v>27</v>
      </c>
      <c r="C251" s="36" t="s">
        <v>17</v>
      </c>
      <c r="D251" s="37">
        <v>8</v>
      </c>
      <c r="E251" s="37">
        <f t="shared" si="57"/>
        <v>7.1949355301415494</v>
      </c>
      <c r="F251" s="37">
        <v>0.8050644698584507</v>
      </c>
      <c r="G251" s="38">
        <v>440</v>
      </c>
      <c r="H251" s="38">
        <v>352</v>
      </c>
      <c r="I251" s="38">
        <v>23.4</v>
      </c>
      <c r="J251" s="38">
        <f t="shared" si="58"/>
        <v>375.4</v>
      </c>
      <c r="K251" s="12">
        <f t="shared" si="59"/>
        <v>0.8</v>
      </c>
      <c r="L251" s="12">
        <f t="shared" si="60"/>
        <v>0.88951457218604013</v>
      </c>
      <c r="M251" s="12">
        <f t="shared" si="61"/>
        <v>0.93766648907831651</v>
      </c>
      <c r="N251" s="12">
        <f t="shared" si="62"/>
        <v>6.2333510921683537E-2</v>
      </c>
      <c r="O251" s="14">
        <f>Dados[[#This Row],[Vol. Padrão]]/Dados[[#This Row],[Horas Disp.]]</f>
        <v>55</v>
      </c>
      <c r="P251" s="32" cm="1">
        <f t="array" ref="P251">SUM(Dados[[#This Row],[Vol. Líquido]:[V. Refugo]]/Dados[[#This Row],[H. Ativas]])</f>
        <v>52.175589124787415</v>
      </c>
      <c r="Q251" s="12">
        <f>Dados[[#This Row],[H. Ativas]]/Dados[[#This Row],[Horas Disp.]]</f>
        <v>0.89936694126769368</v>
      </c>
      <c r="R251" s="12">
        <f>Dados[[#This Row],[Vol. Bruto]]/Dados[[#This Row],[Vol. Padrão]]</f>
        <v>0.85318181818181815</v>
      </c>
      <c r="S251" s="12">
        <f>Dados[[#This Row],[Disponibilidade]]*Dados[[#This Row],[Desempenho]]*Dados[[#This Row],[Qualidade]]</f>
        <v>0.71949355301415496</v>
      </c>
      <c r="T251" s="14">
        <f>YEAR(Dados[[#This Row],[Período]])</f>
        <v>2019</v>
      </c>
      <c r="U251" s="14">
        <f>MONTH(Dados[[#This Row],[Período]])</f>
        <v>9</v>
      </c>
    </row>
    <row r="252" spans="1:21" x14ac:dyDescent="0.25">
      <c r="A252" s="35">
        <v>43710</v>
      </c>
      <c r="B252" s="35" t="s">
        <v>28</v>
      </c>
      <c r="C252" s="36" t="s">
        <v>13</v>
      </c>
      <c r="D252" s="37">
        <v>8</v>
      </c>
      <c r="E252" s="37">
        <f t="shared" si="57"/>
        <v>7.8587086676359199</v>
      </c>
      <c r="F252" s="37">
        <v>0.14129133236407998</v>
      </c>
      <c r="G252" s="38">
        <v>440</v>
      </c>
      <c r="H252" s="38">
        <v>387.89299999999997</v>
      </c>
      <c r="I252" s="38">
        <v>2.3450000000000002</v>
      </c>
      <c r="J252" s="38">
        <f t="shared" si="58"/>
        <v>390.238</v>
      </c>
      <c r="K252" s="12">
        <f t="shared" si="59"/>
        <v>0.88157499999999989</v>
      </c>
      <c r="L252" s="12">
        <f t="shared" si="60"/>
        <v>0.89742479308901313</v>
      </c>
      <c r="M252" s="12">
        <f t="shared" si="61"/>
        <v>0.9939908466115549</v>
      </c>
      <c r="N252" s="12">
        <f t="shared" si="62"/>
        <v>6.0091533884450007E-3</v>
      </c>
      <c r="O252" s="14">
        <f>Dados[[#This Row],[Vol. Padrão]]/Dados[[#This Row],[Horas Disp.]]</f>
        <v>55</v>
      </c>
      <c r="P252" s="32" cm="1">
        <f t="array" ref="P252">SUM(Dados[[#This Row],[Vol. Líquido]:[V. Refugo]]/Dados[[#This Row],[H. Ativas]])</f>
        <v>49.656758699695189</v>
      </c>
      <c r="Q252" s="12">
        <f>Dados[[#This Row],[H. Ativas]]/Dados[[#This Row],[Horas Disp.]]</f>
        <v>0.98233858345448999</v>
      </c>
      <c r="R252" s="12">
        <f>Dados[[#This Row],[Vol. Bruto]]/Dados[[#This Row],[Vol. Padrão]]</f>
        <v>0.88690454545454545</v>
      </c>
      <c r="S252" s="12">
        <f>Dados[[#This Row],[Disponibilidade]]*Dados[[#This Row],[Desempenho]]*Dados[[#This Row],[Qualidade]]</f>
        <v>0.8660051367088919</v>
      </c>
      <c r="T252" s="14">
        <f>YEAR(Dados[[#This Row],[Período]])</f>
        <v>2019</v>
      </c>
      <c r="U252" s="14">
        <f>MONTH(Dados[[#This Row],[Período]])</f>
        <v>9</v>
      </c>
    </row>
    <row r="253" spans="1:21" x14ac:dyDescent="0.25">
      <c r="A253" s="35">
        <v>43711</v>
      </c>
      <c r="B253" s="35" t="s">
        <v>29</v>
      </c>
      <c r="C253" s="36" t="s">
        <v>14</v>
      </c>
      <c r="D253" s="37">
        <v>8</v>
      </c>
      <c r="E253" s="37">
        <f t="shared" si="57"/>
        <v>7.8988734377948679</v>
      </c>
      <c r="F253" s="37">
        <v>0.10112656220513172</v>
      </c>
      <c r="G253" s="38">
        <v>440</v>
      </c>
      <c r="H253" s="38">
        <v>384.41199999999998</v>
      </c>
      <c r="I253" s="38">
        <v>8.7889999999999997</v>
      </c>
      <c r="J253" s="38">
        <f t="shared" si="58"/>
        <v>393.20099999999996</v>
      </c>
      <c r="K253" s="12">
        <f t="shared" si="59"/>
        <v>0.87366363636363631</v>
      </c>
      <c r="L253" s="12">
        <f t="shared" si="60"/>
        <v>0.88484885166868799</v>
      </c>
      <c r="M253" s="12">
        <f t="shared" si="61"/>
        <v>0.97764756447720125</v>
      </c>
      <c r="N253" s="12">
        <f t="shared" si="62"/>
        <v>2.2352435522798773E-2</v>
      </c>
      <c r="O253" s="14">
        <f>Dados[[#This Row],[Vol. Padrão]]/Dados[[#This Row],[Horas Disp.]]</f>
        <v>55</v>
      </c>
      <c r="P253" s="32" cm="1">
        <f t="array" ref="P253">SUM(Dados[[#This Row],[Vol. Líquido]:[V. Refugo]]/Dados[[#This Row],[H. Ativas]])</f>
        <v>49.779377160114379</v>
      </c>
      <c r="Q253" s="12">
        <f>Dados[[#This Row],[H. Ativas]]/Dados[[#This Row],[Horas Disp.]]</f>
        <v>0.98735917972435849</v>
      </c>
      <c r="R253" s="12">
        <f>Dados[[#This Row],[Vol. Bruto]]/Dados[[#This Row],[Vol. Padrão]]</f>
        <v>0.89363863636363627</v>
      </c>
      <c r="S253" s="12">
        <f>Dados[[#This Row],[Disponibilidade]]*Dados[[#This Row],[Desempenho]]*Dados[[#This Row],[Qualidade]]</f>
        <v>0.8626198113550001</v>
      </c>
      <c r="T253" s="14">
        <f>YEAR(Dados[[#This Row],[Período]])</f>
        <v>2019</v>
      </c>
      <c r="U253" s="14">
        <f>MONTH(Dados[[#This Row],[Período]])</f>
        <v>9</v>
      </c>
    </row>
    <row r="254" spans="1:21" x14ac:dyDescent="0.25">
      <c r="A254" s="35">
        <v>43712</v>
      </c>
      <c r="B254" s="35" t="s">
        <v>30</v>
      </c>
      <c r="C254" s="36" t="s">
        <v>16</v>
      </c>
      <c r="D254" s="37">
        <v>8</v>
      </c>
      <c r="E254" s="37">
        <f t="shared" si="57"/>
        <v>7.5381002840215645</v>
      </c>
      <c r="F254" s="37">
        <v>0.46189971597843549</v>
      </c>
      <c r="G254" s="38">
        <v>440</v>
      </c>
      <c r="H254" s="38">
        <v>283.62099999999998</v>
      </c>
      <c r="I254" s="38">
        <v>12.432</v>
      </c>
      <c r="J254" s="38">
        <f t="shared" si="58"/>
        <v>296.053</v>
      </c>
      <c r="K254" s="12">
        <f t="shared" si="59"/>
        <v>0.64459318181818182</v>
      </c>
      <c r="L254" s="12">
        <f t="shared" si="60"/>
        <v>0.68409085316577123</v>
      </c>
      <c r="M254" s="12">
        <f t="shared" si="61"/>
        <v>0.9580075189239764</v>
      </c>
      <c r="N254" s="12">
        <f t="shared" si="62"/>
        <v>4.1992481076023554E-2</v>
      </c>
      <c r="O254" s="14">
        <f>Dados[[#This Row],[Vol. Padrão]]/Dados[[#This Row],[Horas Disp.]]</f>
        <v>55</v>
      </c>
      <c r="P254" s="32" cm="1">
        <f t="array" ref="P254">SUM(Dados[[#This Row],[Vol. Líquido]:[V. Refugo]]/Dados[[#This Row],[H. Ativas]])</f>
        <v>39.274218814459203</v>
      </c>
      <c r="Q254" s="12">
        <f>Dados[[#This Row],[H. Ativas]]/Dados[[#This Row],[Horas Disp.]]</f>
        <v>0.94226253550269556</v>
      </c>
      <c r="R254" s="12">
        <f>Dados[[#This Row],[Vol. Bruto]]/Dados[[#This Row],[Vol. Padrão]]</f>
        <v>0.67284772727272724</v>
      </c>
      <c r="S254" s="12">
        <f>Dados[[#This Row],[Disponibilidade]]*Dados[[#This Row],[Desempenho]]*Dados[[#This Row],[Qualidade]]</f>
        <v>0.60737600586774998</v>
      </c>
      <c r="T254" s="14">
        <f>YEAR(Dados[[#This Row],[Período]])</f>
        <v>2019</v>
      </c>
      <c r="U254" s="14">
        <f>MONTH(Dados[[#This Row],[Período]])</f>
        <v>9</v>
      </c>
    </row>
    <row r="255" spans="1:21" x14ac:dyDescent="0.25">
      <c r="A255" s="35">
        <v>43713</v>
      </c>
      <c r="B255" s="35" t="s">
        <v>26</v>
      </c>
      <c r="C255" s="36" t="s">
        <v>21</v>
      </c>
      <c r="D255" s="37">
        <v>8</v>
      </c>
      <c r="E255" s="37">
        <f t="shared" si="57"/>
        <v>7.6780351292330149</v>
      </c>
      <c r="F255" s="37">
        <v>0.32196487076698466</v>
      </c>
      <c r="G255" s="38">
        <v>440</v>
      </c>
      <c r="H255" s="38">
        <v>366.44600000000003</v>
      </c>
      <c r="I255" s="38">
        <v>13.95</v>
      </c>
      <c r="J255" s="38">
        <f t="shared" si="58"/>
        <v>380.39600000000002</v>
      </c>
      <c r="K255" s="12">
        <f t="shared" si="59"/>
        <v>0.83283181818181828</v>
      </c>
      <c r="L255" s="12">
        <f t="shared" si="60"/>
        <v>0.86775515262849567</v>
      </c>
      <c r="M255" s="12">
        <f t="shared" si="61"/>
        <v>0.96332769009137853</v>
      </c>
      <c r="N255" s="12">
        <f t="shared" si="62"/>
        <v>3.6672309908621539E-2</v>
      </c>
      <c r="O255" s="14">
        <f>Dados[[#This Row],[Vol. Padrão]]/Dados[[#This Row],[Horas Disp.]]</f>
        <v>55</v>
      </c>
      <c r="P255" s="32" cm="1">
        <f t="array" ref="P255">SUM(Dados[[#This Row],[Vol. Líquido]:[V. Refugo]]/Dados[[#This Row],[H. Ativas]])</f>
        <v>49.543404477494114</v>
      </c>
      <c r="Q255" s="12">
        <f>Dados[[#This Row],[H. Ativas]]/Dados[[#This Row],[Horas Disp.]]</f>
        <v>0.95975439115412686</v>
      </c>
      <c r="R255" s="12">
        <f>Dados[[#This Row],[Vol. Bruto]]/Dados[[#This Row],[Vol. Padrão]]</f>
        <v>0.86453636363636366</v>
      </c>
      <c r="S255" s="12">
        <f>Dados[[#This Row],[Disponibilidade]]*Dados[[#This Row],[Desempenho]]*Dados[[#This Row],[Qualidade]]</f>
        <v>0.79931399459287544</v>
      </c>
      <c r="T255" s="14">
        <f>YEAR(Dados[[#This Row],[Período]])</f>
        <v>2019</v>
      </c>
      <c r="U255" s="14">
        <f>MONTH(Dados[[#This Row],[Período]])</f>
        <v>9</v>
      </c>
    </row>
    <row r="256" spans="1:21" x14ac:dyDescent="0.25">
      <c r="A256" s="35">
        <v>43714</v>
      </c>
      <c r="B256" s="35" t="s">
        <v>27</v>
      </c>
      <c r="C256" s="36" t="s">
        <v>20</v>
      </c>
      <c r="D256" s="37">
        <v>8</v>
      </c>
      <c r="E256" s="37">
        <f t="shared" si="57"/>
        <v>7.3590321763229714</v>
      </c>
      <c r="F256" s="37">
        <v>0.64096782367702876</v>
      </c>
      <c r="G256" s="38">
        <v>440</v>
      </c>
      <c r="H256" s="38">
        <v>370</v>
      </c>
      <c r="I256" s="38">
        <v>9.0850000000000009</v>
      </c>
      <c r="J256" s="38">
        <f t="shared" si="58"/>
        <v>379.08499999999998</v>
      </c>
      <c r="K256" s="12">
        <f t="shared" si="59"/>
        <v>0.84090909090909094</v>
      </c>
      <c r="L256" s="12">
        <f t="shared" si="60"/>
        <v>0.91415182949153651</v>
      </c>
      <c r="M256" s="12">
        <f t="shared" si="61"/>
        <v>0.97603439861772434</v>
      </c>
      <c r="N256" s="12">
        <f t="shared" si="62"/>
        <v>2.3965601382275745E-2</v>
      </c>
      <c r="O256" s="14">
        <f>Dados[[#This Row],[Vol. Padrão]]/Dados[[#This Row],[Horas Disp.]]</f>
        <v>55</v>
      </c>
      <c r="P256" s="32" cm="1">
        <f t="array" ref="P256">SUM(Dados[[#This Row],[Vol. Líquido]:[V. Refugo]]/Dados[[#This Row],[H. Ativas]])</f>
        <v>51.512887960956618</v>
      </c>
      <c r="Q256" s="12">
        <f>Dados[[#This Row],[H. Ativas]]/Dados[[#This Row],[Horas Disp.]]</f>
        <v>0.91987902204037142</v>
      </c>
      <c r="R256" s="12">
        <f>Dados[[#This Row],[Vol. Bruto]]/Dados[[#This Row],[Vol. Padrão]]</f>
        <v>0.86155681818181817</v>
      </c>
      <c r="S256" s="12">
        <f>Dados[[#This Row],[Disponibilidade]]*Dados[[#This Row],[Desempenho]]*Dados[[#This Row],[Qualidade]]</f>
        <v>0.77353463217031238</v>
      </c>
      <c r="T256" s="14">
        <f>YEAR(Dados[[#This Row],[Período]])</f>
        <v>2019</v>
      </c>
      <c r="U256" s="14">
        <f>MONTH(Dados[[#This Row],[Período]])</f>
        <v>9</v>
      </c>
    </row>
    <row r="257" spans="1:21" x14ac:dyDescent="0.25">
      <c r="A257" s="35">
        <v>43715</v>
      </c>
      <c r="B257" s="35" t="s">
        <v>28</v>
      </c>
      <c r="C257" s="36" t="s">
        <v>15</v>
      </c>
      <c r="D257" s="37">
        <v>8</v>
      </c>
      <c r="E257" s="37">
        <f t="shared" si="57"/>
        <v>7.4177001520867218</v>
      </c>
      <c r="F257" s="37">
        <v>0.58229984791327838</v>
      </c>
      <c r="G257" s="38">
        <v>440</v>
      </c>
      <c r="H257" s="38">
        <v>374</v>
      </c>
      <c r="I257" s="38">
        <v>3.3</v>
      </c>
      <c r="J257" s="38">
        <f t="shared" si="58"/>
        <v>377.3</v>
      </c>
      <c r="K257" s="12">
        <f t="shared" si="59"/>
        <v>0.85</v>
      </c>
      <c r="L257" s="12">
        <f t="shared" si="60"/>
        <v>0.91672619013685086</v>
      </c>
      <c r="M257" s="12">
        <f t="shared" si="61"/>
        <v>0.99125364431486873</v>
      </c>
      <c r="N257" s="12">
        <f t="shared" si="62"/>
        <v>8.7463556851311939E-3</v>
      </c>
      <c r="O257" s="14">
        <f>Dados[[#This Row],[Vol. Padrão]]/Dados[[#This Row],[Horas Disp.]]</f>
        <v>55</v>
      </c>
      <c r="P257" s="32" cm="1">
        <f t="array" ref="P257">SUM(Dados[[#This Row],[Vol. Líquido]:[V. Refugo]]/Dados[[#This Row],[H. Ativas]])</f>
        <v>50.864822285093211</v>
      </c>
      <c r="Q257" s="12">
        <f>Dados[[#This Row],[H. Ativas]]/Dados[[#This Row],[Horas Disp.]]</f>
        <v>0.92721251901084023</v>
      </c>
      <c r="R257" s="12">
        <f>Dados[[#This Row],[Vol. Bruto]]/Dados[[#This Row],[Vol. Padrão]]</f>
        <v>0.85750000000000004</v>
      </c>
      <c r="S257" s="12">
        <f>Dados[[#This Row],[Disponibilidade]]*Dados[[#This Row],[Desempenho]]*Dados[[#This Row],[Qualidade]]</f>
        <v>0.78813064115921416</v>
      </c>
      <c r="T257" s="14">
        <f>YEAR(Dados[[#This Row],[Período]])</f>
        <v>2019</v>
      </c>
      <c r="U257" s="14">
        <f>MONTH(Dados[[#This Row],[Período]])</f>
        <v>9</v>
      </c>
    </row>
    <row r="258" spans="1:21" x14ac:dyDescent="0.25">
      <c r="A258" s="35">
        <v>43716</v>
      </c>
      <c r="B258" s="35" t="s">
        <v>29</v>
      </c>
      <c r="C258" s="36" t="s">
        <v>19</v>
      </c>
      <c r="D258" s="37">
        <v>8</v>
      </c>
      <c r="E258" s="37">
        <f t="shared" si="57"/>
        <v>7.7354213085121311</v>
      </c>
      <c r="F258" s="37">
        <v>0.26457869148786906</v>
      </c>
      <c r="G258" s="38">
        <v>440</v>
      </c>
      <c r="H258" s="38">
        <v>379</v>
      </c>
      <c r="I258" s="38">
        <v>4.8899999999999997</v>
      </c>
      <c r="J258" s="38">
        <f t="shared" si="58"/>
        <v>383.89</v>
      </c>
      <c r="K258" s="12">
        <f t="shared" si="59"/>
        <v>0.86136363636363633</v>
      </c>
      <c r="L258" s="12">
        <f t="shared" si="60"/>
        <v>0.89082531074632854</v>
      </c>
      <c r="M258" s="12">
        <f t="shared" si="61"/>
        <v>0.98726197608689992</v>
      </c>
      <c r="N258" s="12">
        <f t="shared" si="62"/>
        <v>1.2738023913100107E-2</v>
      </c>
      <c r="O258" s="14">
        <f>Dados[[#This Row],[Vol. Padrão]]/Dados[[#This Row],[Horas Disp.]]</f>
        <v>55</v>
      </c>
      <c r="P258" s="32" cm="1">
        <f t="array" ref="P258">SUM(Dados[[#This Row],[Vol. Líquido]:[V. Refugo]]/Dados[[#This Row],[H. Ativas]])</f>
        <v>49.62754899691938</v>
      </c>
      <c r="Q258" s="12">
        <f>Dados[[#This Row],[H. Ativas]]/Dados[[#This Row],[Horas Disp.]]</f>
        <v>0.96692766356401638</v>
      </c>
      <c r="R258" s="12">
        <f>Dados[[#This Row],[Vol. Bruto]]/Dados[[#This Row],[Vol. Padrão]]</f>
        <v>0.87247727272727271</v>
      </c>
      <c r="S258" s="12">
        <f>Dados[[#This Row],[Disponibilidade]]*Dados[[#This Row],[Desempenho]]*Dados[[#This Row],[Qualidade]]</f>
        <v>0.832876328388096</v>
      </c>
      <c r="T258" s="14">
        <f>YEAR(Dados[[#This Row],[Período]])</f>
        <v>2019</v>
      </c>
      <c r="U258" s="14">
        <f>MONTH(Dados[[#This Row],[Período]])</f>
        <v>9</v>
      </c>
    </row>
    <row r="259" spans="1:21" x14ac:dyDescent="0.25">
      <c r="A259" s="35">
        <v>43717</v>
      </c>
      <c r="B259" s="35" t="s">
        <v>30</v>
      </c>
      <c r="C259" s="36" t="s">
        <v>18</v>
      </c>
      <c r="D259" s="37">
        <v>8</v>
      </c>
      <c r="E259" s="37">
        <f t="shared" si="57"/>
        <v>7.8477400684711753</v>
      </c>
      <c r="F259" s="37">
        <v>0.15225993152882422</v>
      </c>
      <c r="G259" s="38">
        <v>440</v>
      </c>
      <c r="H259" s="38">
        <v>380</v>
      </c>
      <c r="I259" s="38">
        <v>5.6</v>
      </c>
      <c r="J259" s="38">
        <f t="shared" si="58"/>
        <v>385.6</v>
      </c>
      <c r="K259" s="12">
        <f t="shared" si="59"/>
        <v>0.86363636363636365</v>
      </c>
      <c r="L259" s="12">
        <f t="shared" si="60"/>
        <v>0.88039242492862979</v>
      </c>
      <c r="M259" s="12">
        <f t="shared" si="61"/>
        <v>0.98547717842323646</v>
      </c>
      <c r="N259" s="12">
        <f t="shared" si="62"/>
        <v>1.4522821576763484E-2</v>
      </c>
      <c r="O259" s="14">
        <f>Dados[[#This Row],[Vol. Padrão]]/Dados[[#This Row],[Horas Disp.]]</f>
        <v>55</v>
      </c>
      <c r="P259" s="32" cm="1">
        <f t="array" ref="P259">SUM(Dados[[#This Row],[Vol. Líquido]:[V. Refugo]]/Dados[[#This Row],[H. Ativas]])</f>
        <v>49.135164599701</v>
      </c>
      <c r="Q259" s="12">
        <f>Dados[[#This Row],[H. Ativas]]/Dados[[#This Row],[Horas Disp.]]</f>
        <v>0.98096750855889692</v>
      </c>
      <c r="R259" s="12">
        <f>Dados[[#This Row],[Vol. Bruto]]/Dados[[#This Row],[Vol. Padrão]]</f>
        <v>0.87636363636363646</v>
      </c>
      <c r="S259" s="12">
        <f>Dados[[#This Row],[Disponibilidade]]*Dados[[#This Row],[Desempenho]]*Dados[[#This Row],[Qualidade]]</f>
        <v>0.84719921193722914</v>
      </c>
      <c r="T259" s="14">
        <f>YEAR(Dados[[#This Row],[Período]])</f>
        <v>2019</v>
      </c>
      <c r="U259" s="14">
        <f>MONTH(Dados[[#This Row],[Período]])</f>
        <v>9</v>
      </c>
    </row>
    <row r="260" spans="1:21" x14ac:dyDescent="0.25">
      <c r="A260" s="35">
        <v>43718</v>
      </c>
      <c r="B260" s="35" t="s">
        <v>26</v>
      </c>
      <c r="C260" s="36" t="s">
        <v>22</v>
      </c>
      <c r="D260" s="37">
        <v>8</v>
      </c>
      <c r="E260" s="37">
        <f t="shared" si="57"/>
        <v>7.8383777304365116</v>
      </c>
      <c r="F260" s="37">
        <v>0.16162226956348813</v>
      </c>
      <c r="G260" s="38">
        <v>440</v>
      </c>
      <c r="H260" s="38">
        <v>363</v>
      </c>
      <c r="I260" s="38">
        <v>6.7</v>
      </c>
      <c r="J260" s="38">
        <f t="shared" si="58"/>
        <v>369.7</v>
      </c>
      <c r="K260" s="12">
        <f t="shared" si="59"/>
        <v>0.82499999999999996</v>
      </c>
      <c r="L260" s="12">
        <f t="shared" si="60"/>
        <v>0.84201096540322662</v>
      </c>
      <c r="M260" s="12">
        <f t="shared" si="61"/>
        <v>0.98187719772788751</v>
      </c>
      <c r="N260" s="12">
        <f t="shared" si="62"/>
        <v>1.8122802272112524E-2</v>
      </c>
      <c r="O260" s="14">
        <f>Dados[[#This Row],[Vol. Padrão]]/Dados[[#This Row],[Horas Disp.]]</f>
        <v>55</v>
      </c>
      <c r="P260" s="32" cm="1">
        <f t="array" ref="P260">SUM(Dados[[#This Row],[Vol. Líquido]:[V. Refugo]]/Dados[[#This Row],[H. Ativas]])</f>
        <v>47.165371804480749</v>
      </c>
      <c r="Q260" s="12">
        <f>Dados[[#This Row],[H. Ativas]]/Dados[[#This Row],[Horas Disp.]]</f>
        <v>0.97979721630456396</v>
      </c>
      <c r="R260" s="12">
        <f>Dados[[#This Row],[Vol. Bruto]]/Dados[[#This Row],[Vol. Padrão]]</f>
        <v>0.84022727272727271</v>
      </c>
      <c r="S260" s="12">
        <f>Dados[[#This Row],[Disponibilidade]]*Dados[[#This Row],[Desempenho]]*Dados[[#This Row],[Qualidade]]</f>
        <v>0.80833270345126529</v>
      </c>
      <c r="T260" s="14">
        <f>YEAR(Dados[[#This Row],[Período]])</f>
        <v>2019</v>
      </c>
      <c r="U260" s="14">
        <f>MONTH(Dados[[#This Row],[Período]])</f>
        <v>9</v>
      </c>
    </row>
    <row r="261" spans="1:21" x14ac:dyDescent="0.25">
      <c r="A261" s="35">
        <v>43719</v>
      </c>
      <c r="B261" s="35" t="s">
        <v>29</v>
      </c>
      <c r="C261" s="36" t="s">
        <v>14</v>
      </c>
      <c r="D261" s="37">
        <v>8</v>
      </c>
      <c r="E261" s="37">
        <f t="shared" si="57"/>
        <v>7.2446296669542249</v>
      </c>
      <c r="F261" s="37">
        <v>0.7553703330457755</v>
      </c>
      <c r="G261" s="38">
        <v>440</v>
      </c>
      <c r="H261" s="38">
        <v>287</v>
      </c>
      <c r="I261" s="38">
        <v>9.1999999999999993</v>
      </c>
      <c r="J261" s="38">
        <f t="shared" si="58"/>
        <v>296.2</v>
      </c>
      <c r="K261" s="12">
        <f t="shared" si="59"/>
        <v>0.65227272727272723</v>
      </c>
      <c r="L261" s="12">
        <f t="shared" si="60"/>
        <v>0.72028275537452524</v>
      </c>
      <c r="M261" s="12">
        <f t="shared" si="61"/>
        <v>0.96893990546927755</v>
      </c>
      <c r="N261" s="12">
        <f t="shared" si="62"/>
        <v>3.1060094530722483E-2</v>
      </c>
      <c r="O261" s="14">
        <f>Dados[[#This Row],[Vol. Padrão]]/Dados[[#This Row],[Horas Disp.]]</f>
        <v>55</v>
      </c>
      <c r="P261" s="32" cm="1">
        <f t="array" ref="P261">SUM(Dados[[#This Row],[Vol. Líquido]:[V. Refugo]]/Dados[[#This Row],[H. Ativas]])</f>
        <v>40.885457727548399</v>
      </c>
      <c r="Q261" s="12">
        <f>Dados[[#This Row],[H. Ativas]]/Dados[[#This Row],[Horas Disp.]]</f>
        <v>0.90557870836927812</v>
      </c>
      <c r="R261" s="12">
        <f>Dados[[#This Row],[Vol. Bruto]]/Dados[[#This Row],[Vol. Padrão]]</f>
        <v>0.6731818181818181</v>
      </c>
      <c r="S261" s="12">
        <f>Dados[[#This Row],[Disponibilidade]]*Dados[[#This Row],[Desempenho]]*Dados[[#This Row],[Qualidade]]</f>
        <v>0.59068429386814281</v>
      </c>
      <c r="T261" s="14">
        <f>YEAR(Dados[[#This Row],[Período]])</f>
        <v>2019</v>
      </c>
      <c r="U261" s="14">
        <f>MONTH(Dados[[#This Row],[Período]])</f>
        <v>9</v>
      </c>
    </row>
    <row r="262" spans="1:21" x14ac:dyDescent="0.25">
      <c r="A262" s="35">
        <v>43720</v>
      </c>
      <c r="B262" s="35" t="s">
        <v>27</v>
      </c>
      <c r="C262" s="36" t="s">
        <v>20</v>
      </c>
      <c r="D262" s="37">
        <v>8</v>
      </c>
      <c r="E262" s="37">
        <f t="shared" si="57"/>
        <v>7.3155509959460776</v>
      </c>
      <c r="F262" s="37">
        <v>0.68444900405392195</v>
      </c>
      <c r="G262" s="38">
        <v>440</v>
      </c>
      <c r="H262" s="38">
        <v>314</v>
      </c>
      <c r="I262" s="38">
        <v>4.3209999999999997</v>
      </c>
      <c r="J262" s="38">
        <f t="shared" si="58"/>
        <v>318.32100000000003</v>
      </c>
      <c r="K262" s="12">
        <f t="shared" si="59"/>
        <v>0.71363636363636362</v>
      </c>
      <c r="L262" s="12">
        <f t="shared" si="60"/>
        <v>0.78040477227957394</v>
      </c>
      <c r="M262" s="12">
        <f t="shared" si="61"/>
        <v>0.98642565209332711</v>
      </c>
      <c r="N262" s="12">
        <f t="shared" si="62"/>
        <v>1.3574347906672822E-2</v>
      </c>
      <c r="O262" s="14">
        <f>Dados[[#This Row],[Vol. Padrão]]/Dados[[#This Row],[Horas Disp.]]</f>
        <v>55</v>
      </c>
      <c r="P262" s="32" cm="1">
        <f t="array" ref="P262">SUM(Dados[[#This Row],[Vol. Líquido]:[V. Refugo]]/Dados[[#This Row],[H. Ativas]])</f>
        <v>43.512922017274981</v>
      </c>
      <c r="Q262" s="12">
        <f>Dados[[#This Row],[H. Ativas]]/Dados[[#This Row],[Horas Disp.]]</f>
        <v>0.9144438744932597</v>
      </c>
      <c r="R262" s="12">
        <f>Dados[[#This Row],[Vol. Bruto]]/Dados[[#This Row],[Vol. Padrão]]</f>
        <v>0.72345681818181828</v>
      </c>
      <c r="S262" s="12">
        <f>Dados[[#This Row],[Disponibilidade]]*Dados[[#This Row],[Desempenho]]*Dados[[#This Row],[Qualidade]]</f>
        <v>0.65258040134291717</v>
      </c>
      <c r="T262" s="14">
        <f>YEAR(Dados[[#This Row],[Período]])</f>
        <v>2019</v>
      </c>
      <c r="U262" s="14">
        <f>MONTH(Dados[[#This Row],[Período]])</f>
        <v>9</v>
      </c>
    </row>
    <row r="263" spans="1:21" x14ac:dyDescent="0.25">
      <c r="A263" s="35">
        <v>43721</v>
      </c>
      <c r="B263" s="35" t="s">
        <v>28</v>
      </c>
      <c r="C263" s="36" t="s">
        <v>13</v>
      </c>
      <c r="D263" s="37">
        <v>8</v>
      </c>
      <c r="E263" s="37">
        <f t="shared" si="57"/>
        <v>7.4361892100889753</v>
      </c>
      <c r="F263" s="37">
        <v>0.56381078991102462</v>
      </c>
      <c r="G263" s="38">
        <v>440</v>
      </c>
      <c r="H263" s="38">
        <v>384</v>
      </c>
      <c r="I263" s="38">
        <v>2.4</v>
      </c>
      <c r="J263" s="38">
        <f t="shared" si="58"/>
        <v>386.4</v>
      </c>
      <c r="K263" s="12">
        <f t="shared" si="59"/>
        <v>0.87272727272727268</v>
      </c>
      <c r="L263" s="12">
        <f t="shared" si="60"/>
        <v>0.93889732826400785</v>
      </c>
      <c r="M263" s="12">
        <f t="shared" si="61"/>
        <v>0.9937888198757765</v>
      </c>
      <c r="N263" s="12">
        <f t="shared" si="62"/>
        <v>6.2111801242236029E-3</v>
      </c>
      <c r="O263" s="14">
        <f>Dados[[#This Row],[Vol. Padrão]]/Dados[[#This Row],[Horas Disp.]]</f>
        <v>55</v>
      </c>
      <c r="P263" s="32" cm="1">
        <f t="array" ref="P263">SUM(Dados[[#This Row],[Vol. Líquido]:[V. Refugo]]/Dados[[#This Row],[H. Ativas]])</f>
        <v>51.962099011111185</v>
      </c>
      <c r="Q263" s="12">
        <f>Dados[[#This Row],[H. Ativas]]/Dados[[#This Row],[Horas Disp.]]</f>
        <v>0.92952365126112191</v>
      </c>
      <c r="R263" s="12">
        <f>Dados[[#This Row],[Vol. Bruto]]/Dados[[#This Row],[Vol. Padrão]]</f>
        <v>0.87818181818181817</v>
      </c>
      <c r="S263" s="12">
        <f>Dados[[#This Row],[Disponibilidade]]*Dados[[#This Row],[Desempenho]]*Dados[[#This Row],[Qualidade]]</f>
        <v>0.81122064110061554</v>
      </c>
      <c r="T263" s="14">
        <f>YEAR(Dados[[#This Row],[Período]])</f>
        <v>2019</v>
      </c>
      <c r="U263" s="14">
        <f>MONTH(Dados[[#This Row],[Período]])</f>
        <v>9</v>
      </c>
    </row>
    <row r="264" spans="1:21" x14ac:dyDescent="0.25">
      <c r="A264" s="35">
        <v>43739</v>
      </c>
      <c r="B264" s="35" t="s">
        <v>26</v>
      </c>
      <c r="C264" s="36" t="s">
        <v>21</v>
      </c>
      <c r="D264" s="37">
        <v>8</v>
      </c>
      <c r="E264" s="37">
        <f t="shared" si="57"/>
        <v>7.5632301943227116</v>
      </c>
      <c r="F264" s="37">
        <v>0.43676980567728874</v>
      </c>
      <c r="G264" s="38">
        <v>440</v>
      </c>
      <c r="H264" s="38">
        <v>279</v>
      </c>
      <c r="I264" s="38">
        <v>10.89</v>
      </c>
      <c r="J264" s="38">
        <f t="shared" si="58"/>
        <v>289.89</v>
      </c>
      <c r="K264" s="12">
        <f t="shared" si="59"/>
        <v>0.63409090909090904</v>
      </c>
      <c r="L264" s="12">
        <f t="shared" si="60"/>
        <v>0.67070909418241442</v>
      </c>
      <c r="M264" s="12">
        <f t="shared" si="61"/>
        <v>0.96243402669978273</v>
      </c>
      <c r="N264" s="12">
        <f t="shared" si="62"/>
        <v>3.7565973300217326E-2</v>
      </c>
      <c r="O264" s="14">
        <f>Dados[[#This Row],[Vol. Padrão]]/Dados[[#This Row],[Horas Disp.]]</f>
        <v>55</v>
      </c>
      <c r="P264" s="32" cm="1">
        <f t="array" ref="P264">SUM(Dados[[#This Row],[Vol. Líquido]:[V. Refugo]]/Dados[[#This Row],[H. Ativas]])</f>
        <v>38.328861154801814</v>
      </c>
      <c r="Q264" s="12">
        <f>Dados[[#This Row],[H. Ativas]]/Dados[[#This Row],[Horas Disp.]]</f>
        <v>0.94540377429033895</v>
      </c>
      <c r="R264" s="12">
        <f>Dados[[#This Row],[Vol. Bruto]]/Dados[[#This Row],[Vol. Padrão]]</f>
        <v>0.65884090909090909</v>
      </c>
      <c r="S264" s="12">
        <f>Dados[[#This Row],[Disponibilidade]]*Dados[[#This Row],[Desempenho]]*Dados[[#This Row],[Qualidade]]</f>
        <v>0.59947193869773763</v>
      </c>
      <c r="T264" s="14">
        <f>YEAR(Dados[[#This Row],[Período]])</f>
        <v>2019</v>
      </c>
      <c r="U264" s="14">
        <f>MONTH(Dados[[#This Row],[Período]])</f>
        <v>10</v>
      </c>
    </row>
    <row r="265" spans="1:21" x14ac:dyDescent="0.25">
      <c r="A265" s="35">
        <v>43740</v>
      </c>
      <c r="B265" s="35" t="s">
        <v>27</v>
      </c>
      <c r="C265" s="36" t="s">
        <v>17</v>
      </c>
      <c r="D265" s="37">
        <v>8</v>
      </c>
      <c r="E265" s="37">
        <f t="shared" si="57"/>
        <v>7.7296941544340907</v>
      </c>
      <c r="F265" s="37">
        <v>0.27030584556590886</v>
      </c>
      <c r="G265" s="38">
        <v>440</v>
      </c>
      <c r="H265" s="38">
        <v>351</v>
      </c>
      <c r="I265" s="38">
        <v>23.09</v>
      </c>
      <c r="J265" s="38">
        <f t="shared" si="58"/>
        <v>374.09</v>
      </c>
      <c r="K265" s="12">
        <f t="shared" si="59"/>
        <v>0.79772727272727273</v>
      </c>
      <c r="L265" s="12">
        <f t="shared" si="60"/>
        <v>0.82562363455962762</v>
      </c>
      <c r="M265" s="12">
        <f t="shared" si="61"/>
        <v>0.93827688524151953</v>
      </c>
      <c r="N265" s="12">
        <f t="shared" si="62"/>
        <v>6.1723114758480586E-2</v>
      </c>
      <c r="O265" s="14">
        <f>Dados[[#This Row],[Vol. Padrão]]/Dados[[#This Row],[Horas Disp.]]</f>
        <v>55</v>
      </c>
      <c r="P265" s="32" cm="1">
        <f t="array" ref="P265">SUM(Dados[[#This Row],[Vol. Líquido]:[V. Refugo]]/Dados[[#This Row],[H. Ativas]])</f>
        <v>48.396481481147042</v>
      </c>
      <c r="Q265" s="12">
        <f>Dados[[#This Row],[H. Ativas]]/Dados[[#This Row],[Horas Disp.]]</f>
        <v>0.96621176930426134</v>
      </c>
      <c r="R265" s="12">
        <f>Dados[[#This Row],[Vol. Bruto]]/Dados[[#This Row],[Vol. Padrão]]</f>
        <v>0.85020454545454538</v>
      </c>
      <c r="S265" s="12">
        <f>Dados[[#This Row],[Disponibilidade]]*Dados[[#This Row],[Desempenho]]*Dados[[#This Row],[Qualidade]]</f>
        <v>0.77077347960408116</v>
      </c>
      <c r="T265" s="14">
        <f>YEAR(Dados[[#This Row],[Período]])</f>
        <v>2019</v>
      </c>
      <c r="U265" s="14">
        <f>MONTH(Dados[[#This Row],[Período]])</f>
        <v>10</v>
      </c>
    </row>
    <row r="266" spans="1:21" x14ac:dyDescent="0.25">
      <c r="A266" s="35">
        <v>43741</v>
      </c>
      <c r="B266" s="35" t="s">
        <v>28</v>
      </c>
      <c r="C266" s="36" t="s">
        <v>15</v>
      </c>
      <c r="D266" s="37">
        <v>8</v>
      </c>
      <c r="E266" s="37">
        <f t="shared" si="57"/>
        <v>7.2021869820144113</v>
      </c>
      <c r="F266" s="37">
        <v>0.79781301798558879</v>
      </c>
      <c r="G266" s="38">
        <v>440</v>
      </c>
      <c r="H266" s="38">
        <v>280</v>
      </c>
      <c r="I266" s="38">
        <v>3.2</v>
      </c>
      <c r="J266" s="38">
        <f t="shared" si="58"/>
        <v>283.2</v>
      </c>
      <c r="K266" s="12">
        <f t="shared" si="59"/>
        <v>0.63636363636363635</v>
      </c>
      <c r="L266" s="12">
        <f t="shared" si="60"/>
        <v>0.70685600132602955</v>
      </c>
      <c r="M266" s="12">
        <f t="shared" si="61"/>
        <v>0.98870056497175141</v>
      </c>
      <c r="N266" s="12">
        <f t="shared" si="62"/>
        <v>1.1299435028248589E-2</v>
      </c>
      <c r="O266" s="14">
        <f>Dados[[#This Row],[Vol. Padrão]]/Dados[[#This Row],[Horas Disp.]]</f>
        <v>55</v>
      </c>
      <c r="P266" s="32" cm="1">
        <f t="array" ref="P266">SUM(Dados[[#This Row],[Vol. Líquido]:[V. Refugo]]/Dados[[#This Row],[H. Ativas]])</f>
        <v>39.321389559479407</v>
      </c>
      <c r="Q266" s="12">
        <f>Dados[[#This Row],[H. Ativas]]/Dados[[#This Row],[Horas Disp.]]</f>
        <v>0.90027337275180142</v>
      </c>
      <c r="R266" s="12">
        <f>Dados[[#This Row],[Vol. Bruto]]/Dados[[#This Row],[Vol. Padrão]]</f>
        <v>0.64363636363636356</v>
      </c>
      <c r="S266" s="12">
        <f>Dados[[#This Row],[Disponibilidade]]*Dados[[#This Row],[Desempenho]]*Dados[[#This Row],[Qualidade]]</f>
        <v>0.57290123720569175</v>
      </c>
      <c r="T266" s="14">
        <f>YEAR(Dados[[#This Row],[Período]])</f>
        <v>2019</v>
      </c>
      <c r="U266" s="14">
        <f>MONTH(Dados[[#This Row],[Período]])</f>
        <v>10</v>
      </c>
    </row>
    <row r="267" spans="1:21" x14ac:dyDescent="0.25">
      <c r="A267" s="35">
        <v>43742</v>
      </c>
      <c r="B267" s="35" t="s">
        <v>29</v>
      </c>
      <c r="C267" s="36" t="s">
        <v>19</v>
      </c>
      <c r="D267" s="37">
        <v>8</v>
      </c>
      <c r="E267" s="37">
        <f t="shared" si="57"/>
        <v>7.3882497462940249</v>
      </c>
      <c r="F267" s="37">
        <v>0.6117502537059748</v>
      </c>
      <c r="G267" s="38">
        <v>440</v>
      </c>
      <c r="H267" s="38">
        <v>329.77600000000001</v>
      </c>
      <c r="I267" s="38">
        <v>7.87</v>
      </c>
      <c r="J267" s="38">
        <f t="shared" si="58"/>
        <v>337.64600000000002</v>
      </c>
      <c r="K267" s="12">
        <f t="shared" si="59"/>
        <v>0.7494909090909091</v>
      </c>
      <c r="L267" s="12">
        <f t="shared" si="60"/>
        <v>0.81154907841804524</v>
      </c>
      <c r="M267" s="12">
        <f t="shared" si="61"/>
        <v>0.97669156453800721</v>
      </c>
      <c r="N267" s="12">
        <f t="shared" si="62"/>
        <v>2.3308435461992738E-2</v>
      </c>
      <c r="O267" s="14">
        <f>Dados[[#This Row],[Vol. Padrão]]/Dados[[#This Row],[Horas Disp.]]</f>
        <v>55</v>
      </c>
      <c r="P267" s="32" cm="1">
        <f t="array" ref="P267">SUM(Dados[[#This Row],[Vol. Líquido]:[V. Refugo]]/Dados[[#This Row],[H. Ativas]])</f>
        <v>45.70040423570746</v>
      </c>
      <c r="Q267" s="12">
        <f>Dados[[#This Row],[H. Ativas]]/Dados[[#This Row],[Horas Disp.]]</f>
        <v>0.92353121828675311</v>
      </c>
      <c r="R267" s="12">
        <f>Dados[[#This Row],[Vol. Bruto]]/Dados[[#This Row],[Vol. Padrão]]</f>
        <v>0.76737727272727274</v>
      </c>
      <c r="S267" s="12">
        <f>Dados[[#This Row],[Disponibilidade]]*Dados[[#This Row],[Desempenho]]*Dados[[#This Row],[Qualidade]]</f>
        <v>0.69217825236757335</v>
      </c>
      <c r="T267" s="14">
        <f>YEAR(Dados[[#This Row],[Período]])</f>
        <v>2019</v>
      </c>
      <c r="U267" s="14">
        <f>MONTH(Dados[[#This Row],[Período]])</f>
        <v>10</v>
      </c>
    </row>
    <row r="268" spans="1:21" x14ac:dyDescent="0.25">
      <c r="A268" s="35">
        <v>43743</v>
      </c>
      <c r="B268" s="35" t="s">
        <v>30</v>
      </c>
      <c r="C268" s="36" t="s">
        <v>18</v>
      </c>
      <c r="D268" s="37">
        <v>8</v>
      </c>
      <c r="E268" s="37">
        <f t="shared" si="57"/>
        <v>7.4183389315003954</v>
      </c>
      <c r="F268" s="37">
        <v>0.58166106849960453</v>
      </c>
      <c r="G268" s="38">
        <v>440</v>
      </c>
      <c r="H268" s="38">
        <v>320.15899999999999</v>
      </c>
      <c r="I268" s="38">
        <v>5.3</v>
      </c>
      <c r="J268" s="38">
        <f t="shared" si="58"/>
        <v>325.459</v>
      </c>
      <c r="K268" s="12">
        <f t="shared" si="59"/>
        <v>0.72763409090909092</v>
      </c>
      <c r="L268" s="12">
        <f t="shared" si="60"/>
        <v>0.78468681210490154</v>
      </c>
      <c r="M268" s="12">
        <f t="shared" si="61"/>
        <v>0.98371530668993634</v>
      </c>
      <c r="N268" s="12">
        <f t="shared" si="62"/>
        <v>1.6284693310063634E-2</v>
      </c>
      <c r="O268" s="14">
        <f>Dados[[#This Row],[Vol. Padrão]]/Dados[[#This Row],[Horas Disp.]]</f>
        <v>55</v>
      </c>
      <c r="P268" s="32" cm="1">
        <f t="array" ref="P268">SUM(Dados[[#This Row],[Vol. Líquido]:[V. Refugo]]/Dados[[#This Row],[H. Ativas]])</f>
        <v>43.872220318487699</v>
      </c>
      <c r="Q268" s="12">
        <f>Dados[[#This Row],[H. Ativas]]/Dados[[#This Row],[Horas Disp.]]</f>
        <v>0.92729236643754942</v>
      </c>
      <c r="R268" s="12">
        <f>Dados[[#This Row],[Vol. Bruto]]/Dados[[#This Row],[Vol. Padrão]]</f>
        <v>0.73967954545454551</v>
      </c>
      <c r="S268" s="12">
        <f>Dados[[#This Row],[Disponibilidade]]*Dados[[#This Row],[Desempenho]]*Dados[[#This Row],[Qualidade]]</f>
        <v>0.67472953805972591</v>
      </c>
      <c r="T268" s="14">
        <f>YEAR(Dados[[#This Row],[Período]])</f>
        <v>2019</v>
      </c>
      <c r="U268" s="14">
        <f>MONTH(Dados[[#This Row],[Período]])</f>
        <v>10</v>
      </c>
    </row>
    <row r="269" spans="1:21" x14ac:dyDescent="0.25">
      <c r="A269" s="35">
        <v>43744</v>
      </c>
      <c r="B269" s="35" t="s">
        <v>26</v>
      </c>
      <c r="C269" s="36" t="s">
        <v>22</v>
      </c>
      <c r="D269" s="37">
        <v>8</v>
      </c>
      <c r="E269" s="37">
        <f t="shared" si="57"/>
        <v>7.2939700933111151</v>
      </c>
      <c r="F269" s="37">
        <v>0.70602990668888466</v>
      </c>
      <c r="G269" s="38">
        <v>440</v>
      </c>
      <c r="H269" s="38">
        <v>348.64800000000002</v>
      </c>
      <c r="I269" s="38">
        <v>1.8</v>
      </c>
      <c r="J269" s="38">
        <f t="shared" si="58"/>
        <v>350.44800000000004</v>
      </c>
      <c r="K269" s="12">
        <f t="shared" si="59"/>
        <v>0.79238181818181819</v>
      </c>
      <c r="L269" s="12">
        <f t="shared" si="60"/>
        <v>0.86908151039277393</v>
      </c>
      <c r="M269" s="12">
        <f t="shared" si="61"/>
        <v>0.99486371729900014</v>
      </c>
      <c r="N269" s="12">
        <f t="shared" si="62"/>
        <v>5.136282700999863E-3</v>
      </c>
      <c r="O269" s="14">
        <f>Dados[[#This Row],[Vol. Padrão]]/Dados[[#This Row],[Horas Disp.]]</f>
        <v>55</v>
      </c>
      <c r="P269" s="32" cm="1">
        <f t="array" ref="P269">SUM(Dados[[#This Row],[Vol. Líquido]:[V. Refugo]]/Dados[[#This Row],[H. Ativas]])</f>
        <v>48.046262257282351</v>
      </c>
      <c r="Q269" s="12">
        <f>Dados[[#This Row],[H. Ativas]]/Dados[[#This Row],[Horas Disp.]]</f>
        <v>0.91174626166388939</v>
      </c>
      <c r="R269" s="12">
        <f>Dados[[#This Row],[Vol. Bruto]]/Dados[[#This Row],[Vol. Padrão]]</f>
        <v>0.79647272727272733</v>
      </c>
      <c r="S269" s="12">
        <f>Dados[[#This Row],[Disponibilidade]]*Dados[[#This Row],[Desempenho]]*Dados[[#This Row],[Qualidade]]</f>
        <v>0.72245116053770841</v>
      </c>
      <c r="T269" s="14">
        <f>YEAR(Dados[[#This Row],[Período]])</f>
        <v>2019</v>
      </c>
      <c r="U269" s="14">
        <f>MONTH(Dados[[#This Row],[Período]])</f>
        <v>10</v>
      </c>
    </row>
    <row r="270" spans="1:21" x14ac:dyDescent="0.25">
      <c r="A270" s="35">
        <v>43745</v>
      </c>
      <c r="B270" s="35" t="s">
        <v>27</v>
      </c>
      <c r="C270" s="36" t="s">
        <v>20</v>
      </c>
      <c r="D270" s="37">
        <v>8</v>
      </c>
      <c r="E270" s="37">
        <f t="shared" si="57"/>
        <v>7.6422558991177594</v>
      </c>
      <c r="F270" s="37">
        <v>0.35774410088224051</v>
      </c>
      <c r="G270" s="38">
        <v>440</v>
      </c>
      <c r="H270" s="38">
        <v>354.041</v>
      </c>
      <c r="I270" s="38">
        <v>23.4</v>
      </c>
      <c r="J270" s="38">
        <f t="shared" si="58"/>
        <v>377.44099999999997</v>
      </c>
      <c r="K270" s="12">
        <f t="shared" ref="K270:K299" si="63">(H270/G270)</f>
        <v>0.80463863636363631</v>
      </c>
      <c r="L270" s="12">
        <f t="shared" ref="L270:L299" si="64">H270/(E270*55)</f>
        <v>0.8423048345779951</v>
      </c>
      <c r="M270" s="12">
        <f t="shared" ref="M270:M299" si="65">(H270/J270)</f>
        <v>0.93800355552258508</v>
      </c>
      <c r="N270" s="12">
        <f t="shared" ref="N270:N299" si="66">I270/(H270+I270)</f>
        <v>6.1996444477415015E-2</v>
      </c>
      <c r="O270" s="14">
        <f>Dados[[#This Row],[Vol. Padrão]]/Dados[[#This Row],[Horas Disp.]]</f>
        <v>55</v>
      </c>
      <c r="P270" s="32" cm="1">
        <f t="array" ref="P270">SUM(Dados[[#This Row],[Vol. Líquido]:[V. Refugo]]/Dados[[#This Row],[H. Ativas]])</f>
        <v>49.388689018326737</v>
      </c>
      <c r="Q270" s="12">
        <f>Dados[[#This Row],[H. Ativas]]/Dados[[#This Row],[Horas Disp.]]</f>
        <v>0.95528198738971992</v>
      </c>
      <c r="R270" s="12">
        <f>Dados[[#This Row],[Vol. Bruto]]/Dados[[#This Row],[Vol. Padrão]]</f>
        <v>0.85782045454545452</v>
      </c>
      <c r="S270" s="12">
        <f>Dados[[#This Row],[Disponibilidade]]*Dados[[#This Row],[Desempenho]]*Dados[[#This Row],[Qualidade]]</f>
        <v>0.76865679567600875</v>
      </c>
      <c r="T270" s="14">
        <f>YEAR(Dados[[#This Row],[Período]])</f>
        <v>2019</v>
      </c>
      <c r="U270" s="14">
        <f>MONTH(Dados[[#This Row],[Período]])</f>
        <v>10</v>
      </c>
    </row>
    <row r="271" spans="1:21" x14ac:dyDescent="0.25">
      <c r="A271" s="35">
        <v>43746</v>
      </c>
      <c r="B271" s="35" t="s">
        <v>28</v>
      </c>
      <c r="C271" s="36" t="s">
        <v>13</v>
      </c>
      <c r="D271" s="37">
        <v>8</v>
      </c>
      <c r="E271" s="37">
        <f t="shared" ref="E271:E299" si="67">D271-F271</f>
        <v>7.6085384238111065</v>
      </c>
      <c r="F271" s="37">
        <v>0.39146157618889343</v>
      </c>
      <c r="G271" s="38">
        <v>440</v>
      </c>
      <c r="H271" s="38">
        <v>387.85199999999998</v>
      </c>
      <c r="I271" s="38">
        <v>2.3450000000000002</v>
      </c>
      <c r="J271" s="38">
        <f t="shared" ref="J271:J299" si="68">SUM(H271:I271)</f>
        <v>390.197</v>
      </c>
      <c r="K271" s="12">
        <f t="shared" si="63"/>
        <v>0.88148181818181814</v>
      </c>
      <c r="L271" s="12">
        <f t="shared" si="64"/>
        <v>0.92683432121280929</v>
      </c>
      <c r="M271" s="12">
        <f t="shared" si="65"/>
        <v>0.99399021519898911</v>
      </c>
      <c r="N271" s="12">
        <f t="shared" si="66"/>
        <v>6.0097848010107723E-3</v>
      </c>
      <c r="O271" s="14">
        <f>Dados[[#This Row],[Vol. Padrão]]/Dados[[#This Row],[Horas Disp.]]</f>
        <v>55</v>
      </c>
      <c r="P271" s="32" cm="1">
        <f t="array" ref="P271">SUM(Dados[[#This Row],[Vol. Líquido]:[V. Refugo]]/Dados[[#This Row],[H. Ativas]])</f>
        <v>51.284094035573112</v>
      </c>
      <c r="Q271" s="12">
        <f>Dados[[#This Row],[H. Ativas]]/Dados[[#This Row],[Horas Disp.]]</f>
        <v>0.95106730297638831</v>
      </c>
      <c r="R271" s="12">
        <f>Dados[[#This Row],[Vol. Bruto]]/Dados[[#This Row],[Vol. Padrão]]</f>
        <v>0.88681136363636359</v>
      </c>
      <c r="S271" s="12">
        <f>Dados[[#This Row],[Disponibilidade]]*Dados[[#This Row],[Desempenho]]*Dados[[#This Row],[Qualidade]]</f>
        <v>0.83834853544090482</v>
      </c>
      <c r="T271" s="14">
        <f>YEAR(Dados[[#This Row],[Período]])</f>
        <v>2019</v>
      </c>
      <c r="U271" s="14">
        <f>MONTH(Dados[[#This Row],[Período]])</f>
        <v>10</v>
      </c>
    </row>
    <row r="272" spans="1:21" x14ac:dyDescent="0.25">
      <c r="A272" s="35">
        <v>43747</v>
      </c>
      <c r="B272" s="35" t="s">
        <v>29</v>
      </c>
      <c r="C272" s="36" t="s">
        <v>14</v>
      </c>
      <c r="D272" s="37">
        <v>8</v>
      </c>
      <c r="E272" s="37">
        <f t="shared" si="67"/>
        <v>7.9673845454535108</v>
      </c>
      <c r="F272" s="37">
        <v>3.2615454546488953E-2</v>
      </c>
      <c r="G272" s="38">
        <v>440</v>
      </c>
      <c r="H272" s="38">
        <v>279</v>
      </c>
      <c r="I272" s="38">
        <v>8.7889999999999997</v>
      </c>
      <c r="J272" s="38">
        <f t="shared" si="68"/>
        <v>287.78899999999999</v>
      </c>
      <c r="K272" s="12">
        <f t="shared" si="63"/>
        <v>0.63409090909090904</v>
      </c>
      <c r="L272" s="12">
        <f t="shared" si="64"/>
        <v>0.63668663709999562</v>
      </c>
      <c r="M272" s="12">
        <f t="shared" si="65"/>
        <v>0.96946026429085197</v>
      </c>
      <c r="N272" s="12">
        <f t="shared" si="66"/>
        <v>3.0539735709148023E-2</v>
      </c>
      <c r="O272" s="14">
        <f>Dados[[#This Row],[Vol. Padrão]]/Dados[[#This Row],[Horas Disp.]]</f>
        <v>55</v>
      </c>
      <c r="P272" s="32" cm="1">
        <f t="array" ref="P272">SUM(Dados[[#This Row],[Vol. Líquido]:[V. Refugo]]/Dados[[#This Row],[H. Ativas]])</f>
        <v>36.120887395126829</v>
      </c>
      <c r="Q272" s="12">
        <f>Dados[[#This Row],[H. Ativas]]/Dados[[#This Row],[Horas Disp.]]</f>
        <v>0.99592306818168885</v>
      </c>
      <c r="R272" s="12">
        <f>Dados[[#This Row],[Vol. Bruto]]/Dados[[#This Row],[Vol. Padrão]]</f>
        <v>0.65406590909090911</v>
      </c>
      <c r="S272" s="12">
        <f>Dados[[#This Row],[Disponibilidade]]*Dados[[#This Row],[Desempenho]]*Dados[[#This Row],[Qualidade]]</f>
        <v>0.63150576368793454</v>
      </c>
      <c r="T272" s="14">
        <f>YEAR(Dados[[#This Row],[Período]])</f>
        <v>2019</v>
      </c>
      <c r="U272" s="14">
        <f>MONTH(Dados[[#This Row],[Período]])</f>
        <v>10</v>
      </c>
    </row>
    <row r="273" spans="1:21" x14ac:dyDescent="0.25">
      <c r="A273" s="35">
        <v>43748</v>
      </c>
      <c r="B273" s="35" t="s">
        <v>30</v>
      </c>
      <c r="C273" s="36" t="s">
        <v>16</v>
      </c>
      <c r="D273" s="37">
        <v>8</v>
      </c>
      <c r="E273" s="37">
        <f t="shared" si="67"/>
        <v>7.5344433169346203</v>
      </c>
      <c r="F273" s="37">
        <v>0.46555668306537967</v>
      </c>
      <c r="G273" s="38">
        <v>440</v>
      </c>
      <c r="H273" s="38">
        <v>281</v>
      </c>
      <c r="I273" s="38">
        <v>12.432</v>
      </c>
      <c r="J273" s="38">
        <f t="shared" si="68"/>
        <v>293.43200000000002</v>
      </c>
      <c r="K273" s="12">
        <f t="shared" si="63"/>
        <v>0.63863636363636367</v>
      </c>
      <c r="L273" s="12">
        <f t="shared" si="64"/>
        <v>0.67809799532336745</v>
      </c>
      <c r="M273" s="12">
        <f t="shared" si="65"/>
        <v>0.95763243272717358</v>
      </c>
      <c r="N273" s="12">
        <f t="shared" si="66"/>
        <v>4.2367567272826409E-2</v>
      </c>
      <c r="O273" s="14">
        <f>Dados[[#This Row],[Vol. Padrão]]/Dados[[#This Row],[Horas Disp.]]</f>
        <v>55</v>
      </c>
      <c r="P273" s="32" cm="1">
        <f t="array" ref="P273">SUM(Dados[[#This Row],[Vol. Líquido]:[V. Refugo]]/Dados[[#This Row],[H. Ativas]])</f>
        <v>38.945412110337898</v>
      </c>
      <c r="Q273" s="12">
        <f>Dados[[#This Row],[H. Ativas]]/Dados[[#This Row],[Horas Disp.]]</f>
        <v>0.94180541461682754</v>
      </c>
      <c r="R273" s="12">
        <f>Dados[[#This Row],[Vol. Bruto]]/Dados[[#This Row],[Vol. Padrão]]</f>
        <v>0.66689090909090909</v>
      </c>
      <c r="S273" s="12">
        <f>Dados[[#This Row],[Disponibilidade]]*Dados[[#This Row],[Desempenho]]*Dados[[#This Row],[Qualidade]]</f>
        <v>0.6014711852439284</v>
      </c>
      <c r="T273" s="14">
        <f>YEAR(Dados[[#This Row],[Período]])</f>
        <v>2019</v>
      </c>
      <c r="U273" s="14">
        <f>MONTH(Dados[[#This Row],[Período]])</f>
        <v>10</v>
      </c>
    </row>
    <row r="274" spans="1:21" x14ac:dyDescent="0.25">
      <c r="A274" s="35">
        <v>43749</v>
      </c>
      <c r="B274" s="35" t="s">
        <v>27</v>
      </c>
      <c r="C274" s="36" t="s">
        <v>17</v>
      </c>
      <c r="D274" s="37">
        <v>8</v>
      </c>
      <c r="E274" s="37">
        <f t="shared" si="67"/>
        <v>7.1060252980821677</v>
      </c>
      <c r="F274" s="37">
        <v>0.89397470191783235</v>
      </c>
      <c r="G274" s="38">
        <v>440</v>
      </c>
      <c r="H274" s="38">
        <v>302</v>
      </c>
      <c r="I274" s="38">
        <v>11.23</v>
      </c>
      <c r="J274" s="38">
        <f t="shared" si="68"/>
        <v>313.23</v>
      </c>
      <c r="K274" s="12">
        <f t="shared" si="63"/>
        <v>0.6863636363636364</v>
      </c>
      <c r="L274" s="12">
        <f t="shared" si="64"/>
        <v>0.77271172850890668</v>
      </c>
      <c r="M274" s="12">
        <f t="shared" si="65"/>
        <v>0.96414775085400495</v>
      </c>
      <c r="N274" s="12">
        <f t="shared" si="66"/>
        <v>3.5852249145994955E-2</v>
      </c>
      <c r="O274" s="14">
        <f>Dados[[#This Row],[Vol. Padrão]]/Dados[[#This Row],[Horas Disp.]]</f>
        <v>55</v>
      </c>
      <c r="P274" s="32" cm="1">
        <f t="array" ref="P274">SUM(Dados[[#This Row],[Vol. Líquido]:[V. Refugo]]/Dados[[#This Row],[H. Ativas]])</f>
        <v>44.079494071677047</v>
      </c>
      <c r="Q274" s="12">
        <f>Dados[[#This Row],[H. Ativas]]/Dados[[#This Row],[Horas Disp.]]</f>
        <v>0.88825316226027096</v>
      </c>
      <c r="R274" s="12">
        <f>Dados[[#This Row],[Vol. Bruto]]/Dados[[#This Row],[Vol. Padrão]]</f>
        <v>0.71188636363636371</v>
      </c>
      <c r="S274" s="12">
        <f>Dados[[#This Row],[Disponibilidade]]*Dados[[#This Row],[Desempenho]]*Dados[[#This Row],[Qualidade]]</f>
        <v>0.60966467046045869</v>
      </c>
      <c r="T274" s="14">
        <f>YEAR(Dados[[#This Row],[Período]])</f>
        <v>2019</v>
      </c>
      <c r="U274" s="14">
        <f>MONTH(Dados[[#This Row],[Período]])</f>
        <v>10</v>
      </c>
    </row>
    <row r="275" spans="1:21" x14ac:dyDescent="0.25">
      <c r="A275" s="35">
        <v>43750</v>
      </c>
      <c r="B275" s="35" t="s">
        <v>29</v>
      </c>
      <c r="C275" s="36" t="s">
        <v>14</v>
      </c>
      <c r="D275" s="37">
        <v>8</v>
      </c>
      <c r="E275" s="37">
        <f t="shared" si="67"/>
        <v>7.7871008755472664</v>
      </c>
      <c r="F275" s="37">
        <v>0.21289912445273396</v>
      </c>
      <c r="G275" s="38">
        <v>440</v>
      </c>
      <c r="H275" s="38">
        <v>388</v>
      </c>
      <c r="I275" s="38">
        <v>9.0850000000000009</v>
      </c>
      <c r="J275" s="38">
        <f t="shared" si="68"/>
        <v>397.08499999999998</v>
      </c>
      <c r="K275" s="12">
        <f t="shared" si="63"/>
        <v>0.88181818181818183</v>
      </c>
      <c r="L275" s="12">
        <f t="shared" si="64"/>
        <v>0.90592706673389167</v>
      </c>
      <c r="M275" s="12">
        <f t="shared" si="65"/>
        <v>0.97712076759384014</v>
      </c>
      <c r="N275" s="12">
        <f t="shared" si="66"/>
        <v>2.2879232406159893E-2</v>
      </c>
      <c r="O275" s="14">
        <f>Dados[[#This Row],[Vol. Padrão]]/Dados[[#This Row],[Horas Disp.]]</f>
        <v>55</v>
      </c>
      <c r="P275" s="32" cm="1">
        <f t="array" ref="P275">SUM(Dados[[#This Row],[Vol. Líquido]:[V. Refugo]]/Dados[[#This Row],[H. Ativas]])</f>
        <v>50.99266162673068</v>
      </c>
      <c r="Q275" s="12">
        <f>Dados[[#This Row],[H. Ativas]]/Dados[[#This Row],[Horas Disp.]]</f>
        <v>0.9733876094434083</v>
      </c>
      <c r="R275" s="12">
        <f>Dados[[#This Row],[Vol. Bruto]]/Dados[[#This Row],[Vol. Padrão]]</f>
        <v>0.90246590909090907</v>
      </c>
      <c r="S275" s="12">
        <f>Dados[[#This Row],[Disponibilidade]]*Dados[[#This Row],[Desempenho]]*Dados[[#This Row],[Qualidade]]</f>
        <v>0.85835089196373282</v>
      </c>
      <c r="T275" s="14">
        <f>YEAR(Dados[[#This Row],[Período]])</f>
        <v>2019</v>
      </c>
      <c r="U275" s="14">
        <f>MONTH(Dados[[#This Row],[Período]])</f>
        <v>10</v>
      </c>
    </row>
    <row r="276" spans="1:21" x14ac:dyDescent="0.25">
      <c r="A276" s="35">
        <v>43770</v>
      </c>
      <c r="B276" s="35" t="s">
        <v>30</v>
      </c>
      <c r="C276" s="36" t="s">
        <v>16</v>
      </c>
      <c r="D276" s="37">
        <v>8</v>
      </c>
      <c r="E276" s="37">
        <f t="shared" si="67"/>
        <v>7.0887546741507306</v>
      </c>
      <c r="F276" s="37">
        <v>0.91124532584926965</v>
      </c>
      <c r="G276" s="38">
        <v>440</v>
      </c>
      <c r="H276" s="38">
        <v>372</v>
      </c>
      <c r="I276" s="38">
        <v>3.3</v>
      </c>
      <c r="J276" s="38">
        <f t="shared" si="68"/>
        <v>375.3</v>
      </c>
      <c r="K276" s="12">
        <f t="shared" si="63"/>
        <v>0.84545454545454546</v>
      </c>
      <c r="L276" s="12">
        <f t="shared" si="64"/>
        <v>0.95413604709725441</v>
      </c>
      <c r="M276" s="12">
        <f t="shared" si="65"/>
        <v>0.99120703437250202</v>
      </c>
      <c r="N276" s="12">
        <f t="shared" si="66"/>
        <v>8.7929656274980013E-3</v>
      </c>
      <c r="O276" s="14">
        <f>Dados[[#This Row],[Vol. Padrão]]/Dados[[#This Row],[Horas Disp.]]</f>
        <v>55</v>
      </c>
      <c r="P276" s="32" cm="1">
        <f t="array" ref="P276">SUM(Dados[[#This Row],[Vol. Líquido]:[V. Refugo]]/Dados[[#This Row],[H. Ativas]])</f>
        <v>52.943008645585955</v>
      </c>
      <c r="Q276" s="12">
        <f>Dados[[#This Row],[H. Ativas]]/Dados[[#This Row],[Horas Disp.]]</f>
        <v>0.88609433426884132</v>
      </c>
      <c r="R276" s="12">
        <f>Dados[[#This Row],[Vol. Bruto]]/Dados[[#This Row],[Vol. Padrão]]</f>
        <v>0.85295454545454552</v>
      </c>
      <c r="S276" s="12">
        <f>Dados[[#This Row],[Disponibilidade]]*Dados[[#This Row],[Desempenho]]*Dados[[#This Row],[Qualidade]]</f>
        <v>0.74915248260911138</v>
      </c>
      <c r="T276" s="14">
        <f>YEAR(Dados[[#This Row],[Período]])</f>
        <v>2019</v>
      </c>
      <c r="U276" s="14">
        <f>MONTH(Dados[[#This Row],[Período]])</f>
        <v>11</v>
      </c>
    </row>
    <row r="277" spans="1:21" x14ac:dyDescent="0.25">
      <c r="A277" s="35">
        <v>43771</v>
      </c>
      <c r="B277" s="35" t="s">
        <v>29</v>
      </c>
      <c r="C277" s="36" t="s">
        <v>14</v>
      </c>
      <c r="D277" s="37">
        <v>8</v>
      </c>
      <c r="E277" s="37">
        <f t="shared" si="67"/>
        <v>7.0956641180281999</v>
      </c>
      <c r="F277" s="37">
        <v>0.90433588197179993</v>
      </c>
      <c r="G277" s="38">
        <v>440</v>
      </c>
      <c r="H277" s="38">
        <v>342</v>
      </c>
      <c r="I277" s="38">
        <v>4.8899999999999997</v>
      </c>
      <c r="J277" s="38">
        <f t="shared" si="68"/>
        <v>346.89</v>
      </c>
      <c r="K277" s="12">
        <f t="shared" si="63"/>
        <v>0.77727272727272723</v>
      </c>
      <c r="L277" s="12">
        <f t="shared" si="64"/>
        <v>0.87633542325982827</v>
      </c>
      <c r="M277" s="12">
        <f t="shared" si="65"/>
        <v>0.98590331228919836</v>
      </c>
      <c r="N277" s="12">
        <f t="shared" si="66"/>
        <v>1.4096687710801695E-2</v>
      </c>
      <c r="O277" s="14">
        <f>Dados[[#This Row],[Vol. Padrão]]/Dados[[#This Row],[Horas Disp.]]</f>
        <v>55</v>
      </c>
      <c r="P277" s="32" cm="1">
        <f t="array" ref="P277">SUM(Dados[[#This Row],[Vol. Líquido]:[V. Refugo]]/Dados[[#This Row],[H. Ativas]])</f>
        <v>48.887601531003213</v>
      </c>
      <c r="Q277" s="12">
        <f>Dados[[#This Row],[H. Ativas]]/Dados[[#This Row],[Horas Disp.]]</f>
        <v>0.88695801475352498</v>
      </c>
      <c r="R277" s="12">
        <f>Dados[[#This Row],[Vol. Bruto]]/Dados[[#This Row],[Vol. Padrão]]</f>
        <v>0.78838636363636361</v>
      </c>
      <c r="S277" s="12">
        <f>Dados[[#This Row],[Disponibilidade]]*Dados[[#This Row],[Desempenho]]*Dados[[#This Row],[Qualidade]]</f>
        <v>0.68940827510387626</v>
      </c>
      <c r="T277" s="14">
        <f>YEAR(Dados[[#This Row],[Período]])</f>
        <v>2019</v>
      </c>
      <c r="U277" s="14">
        <f>MONTH(Dados[[#This Row],[Período]])</f>
        <v>11</v>
      </c>
    </row>
    <row r="278" spans="1:21" x14ac:dyDescent="0.25">
      <c r="A278" s="35">
        <v>43772</v>
      </c>
      <c r="B278" s="35" t="s">
        <v>28</v>
      </c>
      <c r="C278" s="36" t="s">
        <v>13</v>
      </c>
      <c r="D278" s="37">
        <v>8</v>
      </c>
      <c r="E278" s="37">
        <f t="shared" si="67"/>
        <v>7.6046578409300807</v>
      </c>
      <c r="F278" s="37">
        <v>0.39534215906991887</v>
      </c>
      <c r="G278" s="38">
        <v>440</v>
      </c>
      <c r="H278" s="38">
        <v>283.74099999999999</v>
      </c>
      <c r="I278" s="38">
        <v>5.6</v>
      </c>
      <c r="J278" s="38">
        <f t="shared" si="68"/>
        <v>289.34100000000001</v>
      </c>
      <c r="K278" s="12">
        <f t="shared" si="63"/>
        <v>0.64486590909090902</v>
      </c>
      <c r="L278" s="12">
        <f t="shared" si="64"/>
        <v>0.67839045235680384</v>
      </c>
      <c r="M278" s="12">
        <f t="shared" si="65"/>
        <v>0.98064567413536274</v>
      </c>
      <c r="N278" s="12">
        <f t="shared" si="66"/>
        <v>1.9354325864637225E-2</v>
      </c>
      <c r="O278" s="14">
        <f>Dados[[#This Row],[Vol. Padrão]]/Dados[[#This Row],[Horas Disp.]]</f>
        <v>55</v>
      </c>
      <c r="P278" s="32" cm="1">
        <f t="array" ref="P278">SUM(Dados[[#This Row],[Vol. Líquido]:[V. Refugo]]/Dados[[#This Row],[H. Ativas]])</f>
        <v>38.047865670260371</v>
      </c>
      <c r="Q278" s="12">
        <f>Dados[[#This Row],[H. Ativas]]/Dados[[#This Row],[Horas Disp.]]</f>
        <v>0.95058223011626009</v>
      </c>
      <c r="R278" s="12">
        <f>Dados[[#This Row],[Vol. Bruto]]/Dados[[#This Row],[Vol. Padrão]]</f>
        <v>0.65759318181818183</v>
      </c>
      <c r="S278" s="12">
        <f>Dados[[#This Row],[Disponibilidade]]*Dados[[#This Row],[Desempenho]]*Dados[[#This Row],[Qualidade]]</f>
        <v>0.61299807398958572</v>
      </c>
      <c r="T278" s="14">
        <f>YEAR(Dados[[#This Row],[Período]])</f>
        <v>2019</v>
      </c>
      <c r="U278" s="14">
        <f>MONTH(Dados[[#This Row],[Período]])</f>
        <v>11</v>
      </c>
    </row>
    <row r="279" spans="1:21" x14ac:dyDescent="0.25">
      <c r="A279" s="35">
        <v>43773</v>
      </c>
      <c r="B279" s="35" t="s">
        <v>27</v>
      </c>
      <c r="C279" s="36" t="s">
        <v>17</v>
      </c>
      <c r="D279" s="37">
        <v>8</v>
      </c>
      <c r="E279" s="37">
        <f t="shared" si="67"/>
        <v>7.5075667594815023</v>
      </c>
      <c r="F279" s="37">
        <v>0.49243324051849813</v>
      </c>
      <c r="G279" s="38">
        <v>440</v>
      </c>
      <c r="H279" s="38">
        <v>315.96300000000002</v>
      </c>
      <c r="I279" s="38">
        <v>6.7</v>
      </c>
      <c r="J279" s="38">
        <f t="shared" si="68"/>
        <v>322.66300000000001</v>
      </c>
      <c r="K279" s="12">
        <f t="shared" si="63"/>
        <v>0.71809772727272736</v>
      </c>
      <c r="L279" s="12">
        <f t="shared" si="64"/>
        <v>0.76519889895438931</v>
      </c>
      <c r="M279" s="12">
        <f t="shared" si="65"/>
        <v>0.97923530122759661</v>
      </c>
      <c r="N279" s="12">
        <f t="shared" si="66"/>
        <v>2.0764698772403407E-2</v>
      </c>
      <c r="O279" s="14">
        <f>Dados[[#This Row],[Vol. Padrão]]/Dados[[#This Row],[Horas Disp.]]</f>
        <v>55</v>
      </c>
      <c r="P279" s="32" cm="1">
        <f t="array" ref="P279">SUM(Dados[[#This Row],[Vol. Líquido]:[V. Refugo]]/Dados[[#This Row],[H. Ativas]])</f>
        <v>42.978372399086624</v>
      </c>
      <c r="Q279" s="12">
        <f>Dados[[#This Row],[H. Ativas]]/Dados[[#This Row],[Horas Disp.]]</f>
        <v>0.93844584493518779</v>
      </c>
      <c r="R279" s="12">
        <f>Dados[[#This Row],[Vol. Bruto]]/Dados[[#This Row],[Vol. Padrão]]</f>
        <v>0.733325</v>
      </c>
      <c r="S279" s="12">
        <f>Dados[[#This Row],[Disponibilidade]]*Dados[[#This Row],[Desempenho]]*Dados[[#This Row],[Qualidade]]</f>
        <v>0.67389582841649254</v>
      </c>
      <c r="T279" s="14">
        <f>YEAR(Dados[[#This Row],[Período]])</f>
        <v>2019</v>
      </c>
      <c r="U279" s="14">
        <f>MONTH(Dados[[#This Row],[Período]])</f>
        <v>11</v>
      </c>
    </row>
    <row r="280" spans="1:21" x14ac:dyDescent="0.25">
      <c r="A280" s="35">
        <v>43774</v>
      </c>
      <c r="B280" s="35" t="s">
        <v>26</v>
      </c>
      <c r="C280" s="36" t="s">
        <v>21</v>
      </c>
      <c r="D280" s="37">
        <v>8</v>
      </c>
      <c r="E280" s="37">
        <f t="shared" si="67"/>
        <v>7.2786331959844599</v>
      </c>
      <c r="F280" s="37">
        <v>0.72136680401553988</v>
      </c>
      <c r="G280" s="38">
        <v>440</v>
      </c>
      <c r="H280" s="38">
        <v>364.12299999999999</v>
      </c>
      <c r="I280" s="38">
        <v>9.1999999999999993</v>
      </c>
      <c r="J280" s="38">
        <f t="shared" si="68"/>
        <v>373.32299999999998</v>
      </c>
      <c r="K280" s="12">
        <f t="shared" si="63"/>
        <v>0.82755227272727272</v>
      </c>
      <c r="L280" s="12">
        <f t="shared" si="64"/>
        <v>0.90956887145660703</v>
      </c>
      <c r="M280" s="12">
        <f t="shared" si="65"/>
        <v>0.97535646075918181</v>
      </c>
      <c r="N280" s="12">
        <f t="shared" si="66"/>
        <v>2.4643539240818271E-2</v>
      </c>
      <c r="O280" s="14">
        <f>Dados[[#This Row],[Vol. Padrão]]/Dados[[#This Row],[Horas Disp.]]</f>
        <v>55</v>
      </c>
      <c r="P280" s="32" cm="1">
        <f t="array" ref="P280">SUM(Dados[[#This Row],[Vol. Líquido]:[V. Refugo]]/Dados[[#This Row],[H. Ativas]])</f>
        <v>51.290261502112521</v>
      </c>
      <c r="Q280" s="12">
        <f>Dados[[#This Row],[H. Ativas]]/Dados[[#This Row],[Horas Disp.]]</f>
        <v>0.90982914949805749</v>
      </c>
      <c r="R280" s="12">
        <f>Dados[[#This Row],[Vol. Bruto]]/Dados[[#This Row],[Vol. Padrão]]</f>
        <v>0.8484613636363636</v>
      </c>
      <c r="S280" s="12">
        <f>Dados[[#This Row],[Disponibilidade]]*Dados[[#This Row],[Desempenho]]*Dados[[#This Row],[Qualidade]]</f>
        <v>0.75293118046063912</v>
      </c>
      <c r="T280" s="14">
        <f>YEAR(Dados[[#This Row],[Período]])</f>
        <v>2019</v>
      </c>
      <c r="U280" s="14">
        <f>MONTH(Dados[[#This Row],[Período]])</f>
        <v>11</v>
      </c>
    </row>
    <row r="281" spans="1:21" x14ac:dyDescent="0.25">
      <c r="A281" s="35">
        <v>43775</v>
      </c>
      <c r="B281" s="35" t="s">
        <v>30</v>
      </c>
      <c r="C281" s="36" t="s">
        <v>18</v>
      </c>
      <c r="D281" s="37">
        <v>8</v>
      </c>
      <c r="E281" s="37">
        <f t="shared" si="67"/>
        <v>7.3420476242011423</v>
      </c>
      <c r="F281" s="37">
        <v>0.65795237579885746</v>
      </c>
      <c r="G281" s="38">
        <v>440</v>
      </c>
      <c r="H281" s="38">
        <v>345</v>
      </c>
      <c r="I281" s="38">
        <v>4.3209999999999997</v>
      </c>
      <c r="J281" s="38">
        <f t="shared" si="68"/>
        <v>349.32100000000003</v>
      </c>
      <c r="K281" s="12">
        <f t="shared" si="63"/>
        <v>0.78409090909090906</v>
      </c>
      <c r="L281" s="12">
        <f t="shared" si="64"/>
        <v>0.85435665822309104</v>
      </c>
      <c r="M281" s="12">
        <f t="shared" si="65"/>
        <v>0.98763028847392509</v>
      </c>
      <c r="N281" s="12">
        <f t="shared" si="66"/>
        <v>1.236971152607487E-2</v>
      </c>
      <c r="O281" s="14">
        <f>Dados[[#This Row],[Vol. Padrão]]/Dados[[#This Row],[Horas Disp.]]</f>
        <v>55</v>
      </c>
      <c r="P281" s="32" cm="1">
        <f t="array" ref="P281">SUM(Dados[[#This Row],[Vol. Líquido]:[V. Refugo]]/Dados[[#This Row],[H. Ativas]])</f>
        <v>47.57814411998018</v>
      </c>
      <c r="Q281" s="12">
        <f>Dados[[#This Row],[H. Ativas]]/Dados[[#This Row],[Horas Disp.]]</f>
        <v>0.91775595302514279</v>
      </c>
      <c r="R281" s="12">
        <f>Dados[[#This Row],[Vol. Bruto]]/Dados[[#This Row],[Vol. Padrão]]</f>
        <v>0.79391136363636372</v>
      </c>
      <c r="S281" s="12">
        <f>Dados[[#This Row],[Disponibilidade]]*Dados[[#This Row],[Desempenho]]*Dados[[#This Row],[Qualidade]]</f>
        <v>0.71960409953107785</v>
      </c>
      <c r="T281" s="14">
        <f>YEAR(Dados[[#This Row],[Período]])</f>
        <v>2019</v>
      </c>
      <c r="U281" s="14">
        <f>MONTH(Dados[[#This Row],[Período]])</f>
        <v>11</v>
      </c>
    </row>
    <row r="282" spans="1:21" x14ac:dyDescent="0.25">
      <c r="A282" s="35">
        <v>43776</v>
      </c>
      <c r="B282" s="35" t="s">
        <v>29</v>
      </c>
      <c r="C282" s="36" t="s">
        <v>19</v>
      </c>
      <c r="D282" s="37">
        <v>8</v>
      </c>
      <c r="E282" s="37">
        <f t="shared" si="67"/>
        <v>7.0749483507685786</v>
      </c>
      <c r="F282" s="37">
        <v>0.92505164923142136</v>
      </c>
      <c r="G282" s="38">
        <v>440</v>
      </c>
      <c r="H282" s="38">
        <v>285</v>
      </c>
      <c r="I282" s="38">
        <v>65.400000000000006</v>
      </c>
      <c r="J282" s="38">
        <f t="shared" si="68"/>
        <v>350.4</v>
      </c>
      <c r="K282" s="12">
        <f t="shared" si="63"/>
        <v>0.64772727272727271</v>
      </c>
      <c r="L282" s="12">
        <f t="shared" si="64"/>
        <v>0.73241781069048528</v>
      </c>
      <c r="M282" s="12">
        <f t="shared" si="65"/>
        <v>0.81335616438356173</v>
      </c>
      <c r="N282" s="12">
        <f t="shared" si="66"/>
        <v>0.18664383561643838</v>
      </c>
      <c r="O282" s="14">
        <f>Dados[[#This Row],[Vol. Padrão]]/Dados[[#This Row],[Horas Disp.]]</f>
        <v>55</v>
      </c>
      <c r="P282" s="32" cm="1">
        <f t="array" ref="P282">SUM(Dados[[#This Row],[Vol. Líquido]:[V. Refugo]]/Dados[[#This Row],[H. Ativas]])</f>
        <v>49.526863325007128</v>
      </c>
      <c r="Q282" s="12">
        <f>Dados[[#This Row],[H. Ativas]]/Dados[[#This Row],[Horas Disp.]]</f>
        <v>0.88436854384607233</v>
      </c>
      <c r="R282" s="12">
        <f>Dados[[#This Row],[Vol. Bruto]]/Dados[[#This Row],[Vol. Padrão]]</f>
        <v>0.79636363636363627</v>
      </c>
      <c r="S282" s="12">
        <f>Dados[[#This Row],[Disponibilidade]]*Dados[[#This Row],[Desempenho]]*Dados[[#This Row],[Qualidade]]</f>
        <v>0.57282962499120593</v>
      </c>
      <c r="T282" s="14">
        <f>YEAR(Dados[[#This Row],[Período]])</f>
        <v>2019</v>
      </c>
      <c r="U282" s="14">
        <f>MONTH(Dados[[#This Row],[Período]])</f>
        <v>11</v>
      </c>
    </row>
    <row r="283" spans="1:21" x14ac:dyDescent="0.25">
      <c r="A283" s="35">
        <v>43777</v>
      </c>
      <c r="B283" s="35" t="s">
        <v>28</v>
      </c>
      <c r="C283" s="36" t="s">
        <v>15</v>
      </c>
      <c r="D283" s="37">
        <v>8</v>
      </c>
      <c r="E283" s="37">
        <f t="shared" si="67"/>
        <v>7.2073573945494998</v>
      </c>
      <c r="F283" s="37">
        <v>0.79264260545050025</v>
      </c>
      <c r="G283" s="38">
        <v>440</v>
      </c>
      <c r="H283" s="38">
        <v>368</v>
      </c>
      <c r="I283" s="38">
        <v>28.67</v>
      </c>
      <c r="J283" s="38">
        <f t="shared" si="68"/>
        <v>396.67</v>
      </c>
      <c r="K283" s="12">
        <f t="shared" si="63"/>
        <v>0.83636363636363631</v>
      </c>
      <c r="L283" s="12">
        <f t="shared" si="64"/>
        <v>0.92834429106693561</v>
      </c>
      <c r="M283" s="12">
        <f t="shared" si="65"/>
        <v>0.92772329644288698</v>
      </c>
      <c r="N283" s="12">
        <f t="shared" si="66"/>
        <v>7.2276703557112965E-2</v>
      </c>
      <c r="O283" s="14">
        <f>Dados[[#This Row],[Vol. Padrão]]/Dados[[#This Row],[Horas Disp.]]</f>
        <v>55</v>
      </c>
      <c r="P283" s="32" cm="1">
        <f t="array" ref="P283">SUM(Dados[[#This Row],[Vol. Líquido]:[V. Refugo]]/Dados[[#This Row],[H. Ativas]])</f>
        <v>55.036815615662157</v>
      </c>
      <c r="Q283" s="12">
        <f>Dados[[#This Row],[H. Ativas]]/Dados[[#This Row],[Horas Disp.]]</f>
        <v>0.90091967431868747</v>
      </c>
      <c r="R283" s="12">
        <f>Dados[[#This Row],[Vol. Bruto]]/Dados[[#This Row],[Vol. Padrão]]</f>
        <v>0.90152272727272731</v>
      </c>
      <c r="S283" s="12">
        <f>Dados[[#This Row],[Disponibilidade]]*Dados[[#This Row],[Desempenho]]*Dados[[#This Row],[Qualidade]]</f>
        <v>0.75349645488472039</v>
      </c>
      <c r="T283" s="14">
        <f>YEAR(Dados[[#This Row],[Período]])</f>
        <v>2019</v>
      </c>
      <c r="U283" s="14">
        <f>MONTH(Dados[[#This Row],[Período]])</f>
        <v>11</v>
      </c>
    </row>
    <row r="284" spans="1:21" x14ac:dyDescent="0.25">
      <c r="A284" s="35">
        <v>43778</v>
      </c>
      <c r="B284" s="35" t="s">
        <v>27</v>
      </c>
      <c r="C284" s="36" t="s">
        <v>20</v>
      </c>
      <c r="D284" s="37">
        <v>8</v>
      </c>
      <c r="E284" s="37">
        <f t="shared" si="67"/>
        <v>7.4539144804550483</v>
      </c>
      <c r="F284" s="37">
        <v>0.54608551954495155</v>
      </c>
      <c r="G284" s="38">
        <v>440</v>
      </c>
      <c r="H284" s="38">
        <v>324</v>
      </c>
      <c r="I284" s="38">
        <v>2.4500000000000002</v>
      </c>
      <c r="J284" s="38">
        <f t="shared" si="68"/>
        <v>326.45</v>
      </c>
      <c r="K284" s="12">
        <f t="shared" si="63"/>
        <v>0.73636363636363633</v>
      </c>
      <c r="L284" s="12">
        <f t="shared" si="64"/>
        <v>0.79031079660971126</v>
      </c>
      <c r="M284" s="12">
        <f t="shared" si="65"/>
        <v>0.99249502220860775</v>
      </c>
      <c r="N284" s="12">
        <f t="shared" si="66"/>
        <v>7.5049777913922507E-3</v>
      </c>
      <c r="O284" s="14">
        <f>Dados[[#This Row],[Vol. Padrão]]/Dados[[#This Row],[Horas Disp.]]</f>
        <v>55</v>
      </c>
      <c r="P284" s="32" cm="1">
        <f t="array" ref="P284">SUM(Dados[[#This Row],[Vol. Líquido]:[V. Refugo]]/Dados[[#This Row],[H. Ativas]])</f>
        <v>43.795780171074725</v>
      </c>
      <c r="Q284" s="12">
        <f>Dados[[#This Row],[H. Ativas]]/Dados[[#This Row],[Horas Disp.]]</f>
        <v>0.93173931005688104</v>
      </c>
      <c r="R284" s="12">
        <f>Dados[[#This Row],[Vol. Bruto]]/Dados[[#This Row],[Vol. Padrão]]</f>
        <v>0.74193181818181819</v>
      </c>
      <c r="S284" s="12">
        <f>Dados[[#This Row],[Disponibilidade]]*Dados[[#This Row],[Desempenho]]*Dados[[#This Row],[Qualidade]]</f>
        <v>0.68609894649643066</v>
      </c>
      <c r="T284" s="14">
        <f>YEAR(Dados[[#This Row],[Período]])</f>
        <v>2019</v>
      </c>
      <c r="U284" s="14">
        <f>MONTH(Dados[[#This Row],[Período]])</f>
        <v>11</v>
      </c>
    </row>
    <row r="285" spans="1:21" x14ac:dyDescent="0.25">
      <c r="A285" s="35">
        <v>43779</v>
      </c>
      <c r="B285" s="35" t="s">
        <v>26</v>
      </c>
      <c r="C285" s="36" t="s">
        <v>22</v>
      </c>
      <c r="D285" s="37">
        <v>8</v>
      </c>
      <c r="E285" s="37">
        <f t="shared" si="67"/>
        <v>7.7869097347582015</v>
      </c>
      <c r="F285" s="37">
        <v>0.21309026524179853</v>
      </c>
      <c r="G285" s="38">
        <v>440</v>
      </c>
      <c r="H285" s="38">
        <v>391</v>
      </c>
      <c r="I285" s="38">
        <v>1.23</v>
      </c>
      <c r="J285" s="38">
        <f t="shared" si="68"/>
        <v>392.23</v>
      </c>
      <c r="K285" s="12">
        <f t="shared" si="63"/>
        <v>0.88863636363636367</v>
      </c>
      <c r="L285" s="12">
        <f t="shared" si="64"/>
        <v>0.9129540666637328</v>
      </c>
      <c r="M285" s="12">
        <f t="shared" si="65"/>
        <v>0.99686408484817579</v>
      </c>
      <c r="N285" s="12">
        <f t="shared" si="66"/>
        <v>3.1359151518241847E-3</v>
      </c>
      <c r="O285" s="14">
        <f>Dados[[#This Row],[Vol. Padrão]]/Dados[[#This Row],[Horas Disp.]]</f>
        <v>55</v>
      </c>
      <c r="P285" s="32" cm="1">
        <f t="array" ref="P285">SUM(Dados[[#This Row],[Vol. Líquido]:[V. Refugo]]/Dados[[#This Row],[H. Ativas]])</f>
        <v>50.370431064484336</v>
      </c>
      <c r="Q285" s="12">
        <f>Dados[[#This Row],[H. Ativas]]/Dados[[#This Row],[Horas Disp.]]</f>
        <v>0.97336371684477518</v>
      </c>
      <c r="R285" s="12">
        <f>Dados[[#This Row],[Vol. Bruto]]/Dados[[#This Row],[Vol. Padrão]]</f>
        <v>0.89143181818181827</v>
      </c>
      <c r="S285" s="12">
        <f>Dados[[#This Row],[Disponibilidade]]*Dados[[#This Row],[Desempenho]]*Dados[[#This Row],[Qualidade]]</f>
        <v>0.86496639383251617</v>
      </c>
      <c r="T285" s="14">
        <f>YEAR(Dados[[#This Row],[Período]])</f>
        <v>2019</v>
      </c>
      <c r="U285" s="14">
        <f>MONTH(Dados[[#This Row],[Período]])</f>
        <v>11</v>
      </c>
    </row>
    <row r="286" spans="1:21" x14ac:dyDescent="0.25">
      <c r="A286" s="35">
        <v>43780</v>
      </c>
      <c r="B286" s="35" t="s">
        <v>29</v>
      </c>
      <c r="C286" s="36" t="s">
        <v>14</v>
      </c>
      <c r="D286" s="37">
        <v>8</v>
      </c>
      <c r="E286" s="37">
        <f t="shared" si="67"/>
        <v>7.8622870059069454</v>
      </c>
      <c r="F286" s="37">
        <v>0.1377129940930546</v>
      </c>
      <c r="G286" s="38">
        <v>440</v>
      </c>
      <c r="H286" s="38">
        <v>316</v>
      </c>
      <c r="I286" s="38">
        <v>4.181</v>
      </c>
      <c r="J286" s="38">
        <f t="shared" si="68"/>
        <v>320.18099999999998</v>
      </c>
      <c r="K286" s="12">
        <f t="shared" si="63"/>
        <v>0.71818181818181814</v>
      </c>
      <c r="L286" s="12">
        <f t="shared" si="64"/>
        <v>0.73076123284967576</v>
      </c>
      <c r="M286" s="12">
        <f t="shared" si="65"/>
        <v>0.98694176106639686</v>
      </c>
      <c r="N286" s="12">
        <f t="shared" si="66"/>
        <v>1.3058238933603182E-2</v>
      </c>
      <c r="O286" s="14">
        <f>Dados[[#This Row],[Vol. Padrão]]/Dados[[#This Row],[Horas Disp.]]</f>
        <v>55</v>
      </c>
      <c r="P286" s="32" cm="1">
        <f t="array" ref="P286">SUM(Dados[[#This Row],[Vol. Líquido]:[V. Refugo]]/Dados[[#This Row],[H. Ativas]])</f>
        <v>40.723646918440863</v>
      </c>
      <c r="Q286" s="12">
        <f>Dados[[#This Row],[H. Ativas]]/Dados[[#This Row],[Horas Disp.]]</f>
        <v>0.98278587573836818</v>
      </c>
      <c r="R286" s="12">
        <f>Dados[[#This Row],[Vol. Bruto]]/Dados[[#This Row],[Vol. Padrão]]</f>
        <v>0.72768409090909092</v>
      </c>
      <c r="S286" s="12">
        <f>Dados[[#This Row],[Disponibilidade]]*Dados[[#This Row],[Desempenho]]*Dados[[#This Row],[Qualidade]]</f>
        <v>0.70581894712119175</v>
      </c>
      <c r="T286" s="14">
        <f>YEAR(Dados[[#This Row],[Período]])</f>
        <v>2019</v>
      </c>
      <c r="U286" s="14">
        <f>MONTH(Dados[[#This Row],[Período]])</f>
        <v>11</v>
      </c>
    </row>
    <row r="287" spans="1:21" x14ac:dyDescent="0.25">
      <c r="A287" s="35">
        <v>43781</v>
      </c>
      <c r="B287" s="35" t="s">
        <v>29</v>
      </c>
      <c r="C287" s="36" t="s">
        <v>19</v>
      </c>
      <c r="D287" s="37">
        <v>8</v>
      </c>
      <c r="E287" s="37">
        <f t="shared" si="67"/>
        <v>7.0119769058598687</v>
      </c>
      <c r="F287" s="37">
        <v>0.98802309414013134</v>
      </c>
      <c r="G287" s="38">
        <v>440</v>
      </c>
      <c r="H287" s="38">
        <v>332</v>
      </c>
      <c r="I287" s="38">
        <v>15.323</v>
      </c>
      <c r="J287" s="38">
        <f t="shared" si="68"/>
        <v>347.32299999999998</v>
      </c>
      <c r="K287" s="12">
        <f t="shared" si="63"/>
        <v>0.75454545454545452</v>
      </c>
      <c r="L287" s="12">
        <f t="shared" si="64"/>
        <v>0.86086473435459854</v>
      </c>
      <c r="M287" s="12">
        <f t="shared" si="65"/>
        <v>0.95588256464443766</v>
      </c>
      <c r="N287" s="12">
        <f t="shared" si="66"/>
        <v>4.4117435355562402E-2</v>
      </c>
      <c r="O287" s="14">
        <f>Dados[[#This Row],[Vol. Padrão]]/Dados[[#This Row],[Horas Disp.]]</f>
        <v>55</v>
      </c>
      <c r="P287" s="32" cm="1">
        <f t="array" ref="P287">SUM(Dados[[#This Row],[Vol. Líquido]:[V. Refugo]]/Dados[[#This Row],[H. Ativas]])</f>
        <v>49.53282143723893</v>
      </c>
      <c r="Q287" s="12">
        <f>Dados[[#This Row],[H. Ativas]]/Dados[[#This Row],[Horas Disp.]]</f>
        <v>0.87649711323248358</v>
      </c>
      <c r="R287" s="12">
        <f>Dados[[#This Row],[Vol. Bruto]]/Dados[[#This Row],[Vol. Padrão]]</f>
        <v>0.78937045454545451</v>
      </c>
      <c r="S287" s="12">
        <f>Dados[[#This Row],[Disponibilidade]]*Dados[[#This Row],[Desempenho]]*Dados[[#This Row],[Qualidade]]</f>
        <v>0.6613569127117831</v>
      </c>
      <c r="T287" s="14">
        <f>YEAR(Dados[[#This Row],[Período]])</f>
        <v>2019</v>
      </c>
      <c r="U287" s="14">
        <f>MONTH(Dados[[#This Row],[Período]])</f>
        <v>11</v>
      </c>
    </row>
    <row r="288" spans="1:21" x14ac:dyDescent="0.25">
      <c r="A288" s="35">
        <v>43782</v>
      </c>
      <c r="B288" s="35" t="s">
        <v>28</v>
      </c>
      <c r="C288" s="36" t="s">
        <v>13</v>
      </c>
      <c r="D288" s="37">
        <v>8</v>
      </c>
      <c r="E288" s="37">
        <f t="shared" si="67"/>
        <v>7.4777630770477259</v>
      </c>
      <c r="F288" s="37">
        <v>0.52223692295227397</v>
      </c>
      <c r="G288" s="38">
        <v>440</v>
      </c>
      <c r="H288" s="38">
        <v>368</v>
      </c>
      <c r="I288" s="38">
        <v>21.545000000000002</v>
      </c>
      <c r="J288" s="38">
        <f t="shared" si="68"/>
        <v>389.54500000000002</v>
      </c>
      <c r="K288" s="12">
        <f t="shared" si="63"/>
        <v>0.83636363636363631</v>
      </c>
      <c r="L288" s="12">
        <f t="shared" si="64"/>
        <v>0.89477414862824312</v>
      </c>
      <c r="M288" s="12">
        <f t="shared" si="65"/>
        <v>0.94469188412121829</v>
      </c>
      <c r="N288" s="12">
        <f t="shared" si="66"/>
        <v>5.5308115878781657E-2</v>
      </c>
      <c r="O288" s="14">
        <f>Dados[[#This Row],[Vol. Padrão]]/Dados[[#This Row],[Horas Disp.]]</f>
        <v>55</v>
      </c>
      <c r="P288" s="32" cm="1">
        <f t="array" ref="P288">SUM(Dados[[#This Row],[Vol. Líquido]:[V. Refugo]]/Dados[[#This Row],[H. Ativas]])</f>
        <v>52.093787404908674</v>
      </c>
      <c r="Q288" s="12">
        <f>Dados[[#This Row],[H. Ativas]]/Dados[[#This Row],[Horas Disp.]]</f>
        <v>0.93472038463096574</v>
      </c>
      <c r="R288" s="12">
        <f>Dados[[#This Row],[Vol. Bruto]]/Dados[[#This Row],[Vol. Padrão]]</f>
        <v>0.88532954545454545</v>
      </c>
      <c r="S288" s="12">
        <f>Dados[[#This Row],[Disponibilidade]]*Dados[[#This Row],[Desempenho]]*Dados[[#This Row],[Qualidade]]</f>
        <v>0.78176613987317123</v>
      </c>
      <c r="T288" s="14">
        <f>YEAR(Dados[[#This Row],[Período]])</f>
        <v>2019</v>
      </c>
      <c r="U288" s="14">
        <f>MONTH(Dados[[#This Row],[Período]])</f>
        <v>11</v>
      </c>
    </row>
    <row r="289" spans="1:21" x14ac:dyDescent="0.25">
      <c r="A289" s="35">
        <v>43800</v>
      </c>
      <c r="B289" s="35" t="s">
        <v>26</v>
      </c>
      <c r="C289" s="36" t="s">
        <v>21</v>
      </c>
      <c r="D289" s="37">
        <v>8</v>
      </c>
      <c r="E289" s="37">
        <f t="shared" si="67"/>
        <v>7.5893730982247289</v>
      </c>
      <c r="F289" s="37">
        <v>0.41062690177527073</v>
      </c>
      <c r="G289" s="38">
        <v>440</v>
      </c>
      <c r="H289" s="38">
        <v>417</v>
      </c>
      <c r="I289" s="38">
        <v>23.09</v>
      </c>
      <c r="J289" s="38">
        <f t="shared" si="68"/>
        <v>440.09</v>
      </c>
      <c r="K289" s="12">
        <f t="shared" si="63"/>
        <v>0.94772727272727275</v>
      </c>
      <c r="L289" s="12">
        <f t="shared" si="64"/>
        <v>0.9990045401235691</v>
      </c>
      <c r="M289" s="12">
        <f t="shared" si="65"/>
        <v>0.94753345906519126</v>
      </c>
      <c r="N289" s="12">
        <f t="shared" si="66"/>
        <v>5.2466540934808792E-2</v>
      </c>
      <c r="O289" s="14">
        <f>Dados[[#This Row],[Vol. Padrão]]/Dados[[#This Row],[Horas Disp.]]</f>
        <v>55</v>
      </c>
      <c r="P289" s="32" cm="1">
        <f t="array" ref="P289">SUM(Dados[[#This Row],[Vol. Líquido]:[V. Refugo]]/Dados[[#This Row],[H. Ativas]])</f>
        <v>57.987661734925616</v>
      </c>
      <c r="Q289" s="12">
        <f>Dados[[#This Row],[H. Ativas]]/Dados[[#This Row],[Horas Disp.]]</f>
        <v>0.94867163727809112</v>
      </c>
      <c r="R289" s="12">
        <f>Dados[[#This Row],[Vol. Bruto]]/Dados[[#This Row],[Vol. Padrão]]</f>
        <v>1.0002045454545454</v>
      </c>
      <c r="S289" s="12">
        <f>Dados[[#This Row],[Disponibilidade]]*Dados[[#This Row],[Desempenho]]*Dados[[#This Row],[Qualidade]]</f>
        <v>0.89908198351128188</v>
      </c>
      <c r="T289" s="14">
        <f>YEAR(Dados[[#This Row],[Período]])</f>
        <v>2019</v>
      </c>
      <c r="U289" s="14">
        <f>MONTH(Dados[[#This Row],[Período]])</f>
        <v>12</v>
      </c>
    </row>
    <row r="290" spans="1:21" x14ac:dyDescent="0.25">
      <c r="A290" s="35">
        <v>43801</v>
      </c>
      <c r="B290" s="35" t="s">
        <v>27</v>
      </c>
      <c r="C290" s="36" t="s">
        <v>17</v>
      </c>
      <c r="D290" s="37">
        <v>8</v>
      </c>
      <c r="E290" s="37">
        <f t="shared" si="67"/>
        <v>7.0446922343485996</v>
      </c>
      <c r="F290" s="37">
        <v>0.9553077656514003</v>
      </c>
      <c r="G290" s="38">
        <v>440</v>
      </c>
      <c r="H290" s="38">
        <v>337</v>
      </c>
      <c r="I290" s="38">
        <v>3.2</v>
      </c>
      <c r="J290" s="38">
        <f t="shared" si="68"/>
        <v>340.2</v>
      </c>
      <c r="K290" s="12">
        <f t="shared" si="63"/>
        <v>0.76590909090909087</v>
      </c>
      <c r="L290" s="12">
        <f t="shared" si="64"/>
        <v>0.86977152776061584</v>
      </c>
      <c r="M290" s="12">
        <f t="shared" si="65"/>
        <v>0.99059376837154622</v>
      </c>
      <c r="N290" s="12">
        <f t="shared" si="66"/>
        <v>9.4062316284538507E-3</v>
      </c>
      <c r="O290" s="14">
        <f>Dados[[#This Row],[Vol. Padrão]]/Dados[[#This Row],[Horas Disp.]]</f>
        <v>55</v>
      </c>
      <c r="P290" s="32" cm="1">
        <f t="array" ref="P290">SUM(Dados[[#This Row],[Vol. Líquido]:[V. Refugo]]/Dados[[#This Row],[H. Ativas]])</f>
        <v>48.291676723824573</v>
      </c>
      <c r="Q290" s="12">
        <f>Dados[[#This Row],[H. Ativas]]/Dados[[#This Row],[Horas Disp.]]</f>
        <v>0.88058652929357495</v>
      </c>
      <c r="R290" s="12">
        <f>Dados[[#This Row],[Vol. Bruto]]/Dados[[#This Row],[Vol. Padrão]]</f>
        <v>0.77318181818181819</v>
      </c>
      <c r="S290" s="12">
        <f>Dados[[#This Row],[Disponibilidade]]*Dados[[#This Row],[Desempenho]]*Dados[[#This Row],[Qualidade]]</f>
        <v>0.67444922811803365</v>
      </c>
      <c r="T290" s="14">
        <f>YEAR(Dados[[#This Row],[Período]])</f>
        <v>2019</v>
      </c>
      <c r="U290" s="14">
        <f>MONTH(Dados[[#This Row],[Período]])</f>
        <v>12</v>
      </c>
    </row>
    <row r="291" spans="1:21" x14ac:dyDescent="0.25">
      <c r="A291" s="35">
        <v>43802</v>
      </c>
      <c r="B291" s="35" t="s">
        <v>28</v>
      </c>
      <c r="C291" s="36" t="s">
        <v>13</v>
      </c>
      <c r="D291" s="37">
        <v>8</v>
      </c>
      <c r="E291" s="37">
        <f t="shared" si="67"/>
        <v>7.3265589946462928</v>
      </c>
      <c r="F291" s="37">
        <v>0.67344100535370688</v>
      </c>
      <c r="G291" s="38">
        <v>440</v>
      </c>
      <c r="H291" s="38">
        <v>283.74099999999999</v>
      </c>
      <c r="I291" s="38">
        <v>7.87</v>
      </c>
      <c r="J291" s="38">
        <f t="shared" si="68"/>
        <v>291.61099999999999</v>
      </c>
      <c r="K291" s="12">
        <f t="shared" si="63"/>
        <v>0.64486590909090902</v>
      </c>
      <c r="L291" s="12">
        <f t="shared" si="64"/>
        <v>0.70414054899401401</v>
      </c>
      <c r="M291" s="12">
        <f t="shared" si="65"/>
        <v>0.97301199200304511</v>
      </c>
      <c r="N291" s="12">
        <f t="shared" si="66"/>
        <v>2.698800799695485E-2</v>
      </c>
      <c r="O291" s="14">
        <f>Dados[[#This Row],[Vol. Padrão]]/Dados[[#This Row],[Horas Disp.]]</f>
        <v>55</v>
      </c>
      <c r="P291" s="32" cm="1">
        <f t="array" ref="P291">SUM(Dados[[#This Row],[Vol. Líquido]:[V. Refugo]]/Dados[[#This Row],[H. Ativas]])</f>
        <v>39.801904306385538</v>
      </c>
      <c r="Q291" s="12">
        <f>Dados[[#This Row],[H. Ativas]]/Dados[[#This Row],[Horas Disp.]]</f>
        <v>0.9158198743307866</v>
      </c>
      <c r="R291" s="12">
        <f>Dados[[#This Row],[Vol. Bruto]]/Dados[[#This Row],[Vol. Padrão]]</f>
        <v>0.66275227272727266</v>
      </c>
      <c r="S291" s="12">
        <f>Dados[[#This Row],[Disponibilidade]]*Dados[[#This Row],[Desempenho]]*Dados[[#This Row],[Qualidade]]</f>
        <v>0.59058101582384481</v>
      </c>
      <c r="T291" s="14">
        <f>YEAR(Dados[[#This Row],[Período]])</f>
        <v>2019</v>
      </c>
      <c r="U291" s="14">
        <f>MONTH(Dados[[#This Row],[Período]])</f>
        <v>12</v>
      </c>
    </row>
    <row r="292" spans="1:21" x14ac:dyDescent="0.25">
      <c r="A292" s="35">
        <v>43803</v>
      </c>
      <c r="B292" s="35" t="s">
        <v>29</v>
      </c>
      <c r="C292" s="36" t="s">
        <v>14</v>
      </c>
      <c r="D292" s="37">
        <v>8</v>
      </c>
      <c r="E292" s="37">
        <f t="shared" si="67"/>
        <v>7.8209010248303956</v>
      </c>
      <c r="F292" s="37">
        <v>0.17909897516960416</v>
      </c>
      <c r="G292" s="38">
        <v>440</v>
      </c>
      <c r="H292" s="38">
        <v>381.14699999999999</v>
      </c>
      <c r="I292" s="38">
        <v>12.3</v>
      </c>
      <c r="J292" s="38">
        <f t="shared" si="68"/>
        <v>393.447</v>
      </c>
      <c r="K292" s="12">
        <f t="shared" si="63"/>
        <v>0.86624318181818183</v>
      </c>
      <c r="L292" s="12">
        <f t="shared" si="64"/>
        <v>0.88608018852862769</v>
      </c>
      <c r="M292" s="12">
        <f t="shared" si="65"/>
        <v>0.96873784779144334</v>
      </c>
      <c r="N292" s="12">
        <f t="shared" si="66"/>
        <v>3.126215220855668E-2</v>
      </c>
      <c r="O292" s="14">
        <f>Dados[[#This Row],[Vol. Padrão]]/Dados[[#This Row],[Horas Disp.]]</f>
        <v>55</v>
      </c>
      <c r="P292" s="32" cm="1">
        <f t="array" ref="P292">SUM(Dados[[#This Row],[Vol. Líquido]:[V. Refugo]]/Dados[[#This Row],[H. Ativas]])</f>
        <v>50.307119186249047</v>
      </c>
      <c r="Q292" s="12">
        <f>Dados[[#This Row],[H. Ativas]]/Dados[[#This Row],[Horas Disp.]]</f>
        <v>0.97761262810379945</v>
      </c>
      <c r="R292" s="12">
        <f>Dados[[#This Row],[Vol. Bruto]]/Dados[[#This Row],[Vol. Padrão]]</f>
        <v>0.89419772727272728</v>
      </c>
      <c r="S292" s="12">
        <f>Dados[[#This Row],[Disponibilidade]]*Dados[[#This Row],[Desempenho]]*Dados[[#This Row],[Qualidade]]</f>
        <v>0.84685027355427012</v>
      </c>
      <c r="T292" s="14">
        <f>YEAR(Dados[[#This Row],[Período]])</f>
        <v>2019</v>
      </c>
      <c r="U292" s="14">
        <f>MONTH(Dados[[#This Row],[Período]])</f>
        <v>12</v>
      </c>
    </row>
    <row r="293" spans="1:21" x14ac:dyDescent="0.25">
      <c r="A293" s="35">
        <v>43804</v>
      </c>
      <c r="B293" s="35" t="s">
        <v>30</v>
      </c>
      <c r="C293" s="36" t="s">
        <v>16</v>
      </c>
      <c r="D293" s="37">
        <v>8</v>
      </c>
      <c r="E293" s="37">
        <f t="shared" si="67"/>
        <v>7.1343148683111153</v>
      </c>
      <c r="F293" s="37">
        <v>0.8656851316888845</v>
      </c>
      <c r="G293" s="38">
        <v>440</v>
      </c>
      <c r="H293" s="38">
        <v>415.25799999999998</v>
      </c>
      <c r="I293" s="38">
        <v>1.8</v>
      </c>
      <c r="J293" s="38">
        <f t="shared" si="68"/>
        <v>417.05799999999999</v>
      </c>
      <c r="K293" s="12">
        <f t="shared" si="63"/>
        <v>0.94376818181818178</v>
      </c>
      <c r="L293" s="12">
        <f t="shared" si="64"/>
        <v>1.0582859873596773</v>
      </c>
      <c r="M293" s="12">
        <f t="shared" si="65"/>
        <v>0.99568405353691813</v>
      </c>
      <c r="N293" s="12">
        <f t="shared" si="66"/>
        <v>4.3159464630818734E-3</v>
      </c>
      <c r="O293" s="14">
        <f>Dados[[#This Row],[Vol. Padrão]]/Dados[[#This Row],[Horas Disp.]]</f>
        <v>55</v>
      </c>
      <c r="P293" s="32" cm="1">
        <f t="array" ref="P293">SUM(Dados[[#This Row],[Vol. Líquido]:[V. Refugo]]/Dados[[#This Row],[H. Ativas]])</f>
        <v>58.458031037075443</v>
      </c>
      <c r="Q293" s="12">
        <f>Dados[[#This Row],[H. Ativas]]/Dados[[#This Row],[Horas Disp.]]</f>
        <v>0.89178935853888941</v>
      </c>
      <c r="R293" s="12">
        <f>Dados[[#This Row],[Vol. Bruto]]/Dados[[#This Row],[Vol. Padrão]]</f>
        <v>0.94785909090909093</v>
      </c>
      <c r="S293" s="12">
        <f>Dados[[#This Row],[Disponibilidade]]*Dados[[#This Row],[Desempenho]]*Dados[[#This Row],[Qualidade]]</f>
        <v>0.84164242147305035</v>
      </c>
      <c r="T293" s="14">
        <f>YEAR(Dados[[#This Row],[Período]])</f>
        <v>2019</v>
      </c>
      <c r="U293" s="14">
        <f>MONTH(Dados[[#This Row],[Período]])</f>
        <v>12</v>
      </c>
    </row>
    <row r="294" spans="1:21" x14ac:dyDescent="0.25">
      <c r="A294" s="35">
        <v>43805</v>
      </c>
      <c r="B294" s="35" t="s">
        <v>26</v>
      </c>
      <c r="C294" s="36" t="s">
        <v>22</v>
      </c>
      <c r="D294" s="37">
        <v>8</v>
      </c>
      <c r="E294" s="37">
        <f t="shared" si="67"/>
        <v>7.689565110852147</v>
      </c>
      <c r="F294" s="37">
        <v>0.31043488914785278</v>
      </c>
      <c r="G294" s="38">
        <v>440</v>
      </c>
      <c r="H294" s="38">
        <v>290.45600000000002</v>
      </c>
      <c r="I294" s="38">
        <v>23.4</v>
      </c>
      <c r="J294" s="38">
        <f t="shared" si="68"/>
        <v>313.85599999999999</v>
      </c>
      <c r="K294" s="12">
        <f t="shared" si="63"/>
        <v>0.66012727272727278</v>
      </c>
      <c r="L294" s="12">
        <f t="shared" si="64"/>
        <v>0.68677722415864262</v>
      </c>
      <c r="M294" s="12">
        <f t="shared" si="65"/>
        <v>0.9254435154975531</v>
      </c>
      <c r="N294" s="12">
        <f t="shared" si="66"/>
        <v>7.4556484502446979E-2</v>
      </c>
      <c r="O294" s="14">
        <f>Dados[[#This Row],[Vol. Padrão]]/Dados[[#This Row],[Horas Disp.]]</f>
        <v>55</v>
      </c>
      <c r="P294" s="32" cm="1">
        <f t="array" ref="P294">SUM(Dados[[#This Row],[Vol. Líquido]:[V. Refugo]]/Dados[[#This Row],[H. Ativas]])</f>
        <v>40.81583229681749</v>
      </c>
      <c r="Q294" s="12">
        <f>Dados[[#This Row],[H. Ativas]]/Dados[[#This Row],[Horas Disp.]]</f>
        <v>0.96119563885651838</v>
      </c>
      <c r="R294" s="12">
        <f>Dados[[#This Row],[Vol. Bruto]]/Dados[[#This Row],[Vol. Padrão]]</f>
        <v>0.71330909090909089</v>
      </c>
      <c r="S294" s="12">
        <f>Dados[[#This Row],[Disponibilidade]]*Dados[[#This Row],[Desempenho]]*Dados[[#This Row],[Qualidade]]</f>
        <v>0.6345114556357021</v>
      </c>
      <c r="T294" s="14">
        <f>YEAR(Dados[[#This Row],[Período]])</f>
        <v>2019</v>
      </c>
      <c r="U294" s="14">
        <f>MONTH(Dados[[#This Row],[Período]])</f>
        <v>12</v>
      </c>
    </row>
    <row r="295" spans="1:21" x14ac:dyDescent="0.25">
      <c r="A295" s="35">
        <v>43806</v>
      </c>
      <c r="B295" s="35" t="s">
        <v>27</v>
      </c>
      <c r="C295" s="36" t="s">
        <v>20</v>
      </c>
      <c r="D295" s="37">
        <v>8</v>
      </c>
      <c r="E295" s="37">
        <f t="shared" si="67"/>
        <v>7.5084322972712227</v>
      </c>
      <c r="F295" s="37">
        <v>0.49156770272877692</v>
      </c>
      <c r="G295" s="38">
        <v>440</v>
      </c>
      <c r="H295" s="38">
        <v>412.12299999999999</v>
      </c>
      <c r="I295" s="38">
        <v>2.3450000000000002</v>
      </c>
      <c r="J295" s="38">
        <f t="shared" si="68"/>
        <v>414.46800000000002</v>
      </c>
      <c r="K295" s="12">
        <f t="shared" si="63"/>
        <v>0.93664318181818185</v>
      </c>
      <c r="L295" s="12">
        <f t="shared" si="64"/>
        <v>0.99796404334213362</v>
      </c>
      <c r="M295" s="12">
        <f t="shared" si="65"/>
        <v>0.99434214462877701</v>
      </c>
      <c r="N295" s="12">
        <f t="shared" si="66"/>
        <v>5.6578553712228691E-3</v>
      </c>
      <c r="O295" s="14">
        <f>Dados[[#This Row],[Vol. Padrão]]/Dados[[#This Row],[Horas Disp.]]</f>
        <v>55</v>
      </c>
      <c r="P295" s="32" cm="1">
        <f t="array" ref="P295">SUM(Dados[[#This Row],[Vol. Líquido]:[V. Refugo]]/Dados[[#This Row],[H. Ativas]])</f>
        <v>55.200337912167022</v>
      </c>
      <c r="Q295" s="12">
        <f>Dados[[#This Row],[H. Ativas]]/Dados[[#This Row],[Horas Disp.]]</f>
        <v>0.93855403715890284</v>
      </c>
      <c r="R295" s="12">
        <f>Dados[[#This Row],[Vol. Bruto]]/Dados[[#This Row],[Vol. Padrão]]</f>
        <v>0.94197272727272729</v>
      </c>
      <c r="S295" s="12">
        <f>Dados[[#This Row],[Disponibilidade]]*Dados[[#This Row],[Desempenho]]*Dados[[#This Row],[Qualidade]]</f>
        <v>0.87909023967281474</v>
      </c>
      <c r="T295" s="14">
        <f>YEAR(Dados[[#This Row],[Período]])</f>
        <v>2019</v>
      </c>
      <c r="U295" s="14">
        <f>MONTH(Dados[[#This Row],[Período]])</f>
        <v>12</v>
      </c>
    </row>
    <row r="296" spans="1:21" x14ac:dyDescent="0.25">
      <c r="A296" s="35">
        <v>43807</v>
      </c>
      <c r="B296" s="35" t="s">
        <v>28</v>
      </c>
      <c r="C296" s="36" t="s">
        <v>15</v>
      </c>
      <c r="D296" s="37">
        <v>8</v>
      </c>
      <c r="E296" s="37">
        <f t="shared" si="67"/>
        <v>7.7468911313933795</v>
      </c>
      <c r="F296" s="37">
        <v>0.25310886860662019</v>
      </c>
      <c r="G296" s="38">
        <v>440</v>
      </c>
      <c r="H296" s="38">
        <v>282.976</v>
      </c>
      <c r="I296" s="38">
        <v>8.7889999999999997</v>
      </c>
      <c r="J296" s="38">
        <f t="shared" si="68"/>
        <v>291.76499999999999</v>
      </c>
      <c r="K296" s="12">
        <f t="shared" si="63"/>
        <v>0.64312727272727277</v>
      </c>
      <c r="L296" s="12">
        <f t="shared" si="64"/>
        <v>0.66413972967408708</v>
      </c>
      <c r="M296" s="12">
        <f t="shared" si="65"/>
        <v>0.96987644165681286</v>
      </c>
      <c r="N296" s="12">
        <f t="shared" si="66"/>
        <v>3.0123558343187154E-2</v>
      </c>
      <c r="O296" s="14">
        <f>Dados[[#This Row],[Vol. Padrão]]/Dados[[#This Row],[Horas Disp.]]</f>
        <v>55</v>
      </c>
      <c r="P296" s="32" cm="1">
        <f t="array" ref="P296">SUM(Dados[[#This Row],[Vol. Líquido]:[V. Refugo]]/Dados[[#This Row],[H. Ativas]])</f>
        <v>37.662204754324755</v>
      </c>
      <c r="Q296" s="12">
        <f>Dados[[#This Row],[H. Ativas]]/Dados[[#This Row],[Horas Disp.]]</f>
        <v>0.96836139142417244</v>
      </c>
      <c r="R296" s="12">
        <f>Dados[[#This Row],[Vol. Bruto]]/Dados[[#This Row],[Vol. Padrão]]</f>
        <v>0.66310227272727273</v>
      </c>
      <c r="S296" s="12">
        <f>Dados[[#This Row],[Disponibilidade]]*Dados[[#This Row],[Desempenho]]*Dados[[#This Row],[Qualidade]]</f>
        <v>0.62277962068101511</v>
      </c>
      <c r="T296" s="14">
        <f>YEAR(Dados[[#This Row],[Período]])</f>
        <v>2019</v>
      </c>
      <c r="U296" s="14">
        <f>MONTH(Dados[[#This Row],[Período]])</f>
        <v>12</v>
      </c>
    </row>
    <row r="297" spans="1:21" x14ac:dyDescent="0.25">
      <c r="A297" s="35">
        <v>43808</v>
      </c>
      <c r="B297" s="35" t="s">
        <v>29</v>
      </c>
      <c r="C297" s="36" t="s">
        <v>19</v>
      </c>
      <c r="D297" s="37">
        <v>8</v>
      </c>
      <c r="E297" s="37">
        <f t="shared" si="67"/>
        <v>7.7737259633573306</v>
      </c>
      <c r="F297" s="37">
        <v>0.22627403664266921</v>
      </c>
      <c r="G297" s="38">
        <v>440</v>
      </c>
      <c r="H297" s="38">
        <v>289.14600000000002</v>
      </c>
      <c r="I297" s="38">
        <v>12.432</v>
      </c>
      <c r="J297" s="38">
        <f t="shared" si="68"/>
        <v>301.57800000000003</v>
      </c>
      <c r="K297" s="12">
        <f t="shared" si="63"/>
        <v>0.65715000000000001</v>
      </c>
      <c r="L297" s="12">
        <f t="shared" si="64"/>
        <v>0.6762780196755882</v>
      </c>
      <c r="M297" s="12">
        <f t="shared" si="65"/>
        <v>0.95877683385392831</v>
      </c>
      <c r="N297" s="12">
        <f t="shared" si="66"/>
        <v>4.122316614607166E-2</v>
      </c>
      <c r="O297" s="14">
        <f>Dados[[#This Row],[Vol. Padrão]]/Dados[[#This Row],[Horas Disp.]]</f>
        <v>55</v>
      </c>
      <c r="P297" s="32" cm="1">
        <f t="array" ref="P297">SUM(Dados[[#This Row],[Vol. Líquido]:[V. Refugo]]/Dados[[#This Row],[H. Ativas]])</f>
        <v>38.794524198760662</v>
      </c>
      <c r="Q297" s="12">
        <f>Dados[[#This Row],[H. Ativas]]/Dados[[#This Row],[Horas Disp.]]</f>
        <v>0.97171574541966632</v>
      </c>
      <c r="R297" s="12">
        <f>Dados[[#This Row],[Vol. Bruto]]/Dados[[#This Row],[Vol. Padrão]]</f>
        <v>0.68540454545454554</v>
      </c>
      <c r="S297" s="12">
        <f>Dados[[#This Row],[Disponibilidade]]*Dados[[#This Row],[Desempenho]]*Dados[[#This Row],[Qualidade]]</f>
        <v>0.63856300210253381</v>
      </c>
      <c r="T297" s="14">
        <f>YEAR(Dados[[#This Row],[Período]])</f>
        <v>2019</v>
      </c>
      <c r="U297" s="14">
        <f>MONTH(Dados[[#This Row],[Período]])</f>
        <v>12</v>
      </c>
    </row>
    <row r="298" spans="1:21" x14ac:dyDescent="0.25">
      <c r="A298" s="35">
        <v>43809</v>
      </c>
      <c r="B298" s="35" t="s">
        <v>30</v>
      </c>
      <c r="C298" s="36" t="s">
        <v>18</v>
      </c>
      <c r="D298" s="37">
        <v>8</v>
      </c>
      <c r="E298" s="37">
        <f t="shared" si="67"/>
        <v>7.9748073013446339</v>
      </c>
      <c r="F298" s="37">
        <v>2.519269865536633E-2</v>
      </c>
      <c r="G298" s="38">
        <v>440</v>
      </c>
      <c r="H298" s="38">
        <v>390.428</v>
      </c>
      <c r="I298" s="38">
        <v>43.95</v>
      </c>
      <c r="J298" s="38">
        <f t="shared" si="68"/>
        <v>434.37799999999999</v>
      </c>
      <c r="K298" s="12">
        <f t="shared" si="63"/>
        <v>0.88733636363636359</v>
      </c>
      <c r="L298" s="12">
        <f t="shared" si="64"/>
        <v>0.89013949062994879</v>
      </c>
      <c r="M298" s="12">
        <f t="shared" si="65"/>
        <v>0.89882084267619444</v>
      </c>
      <c r="N298" s="12">
        <f t="shared" si="66"/>
        <v>0.10117915732380554</v>
      </c>
      <c r="O298" s="14">
        <f>Dados[[#This Row],[Vol. Padrão]]/Dados[[#This Row],[Horas Disp.]]</f>
        <v>55</v>
      </c>
      <c r="P298" s="32" cm="1">
        <f t="array" ref="P298">SUM(Dados[[#This Row],[Vol. Líquido]:[V. Refugo]]/Dados[[#This Row],[H. Ativas]])</f>
        <v>54.468776935432587</v>
      </c>
      <c r="Q298" s="12">
        <f>Dados[[#This Row],[H. Ativas]]/Dados[[#This Row],[Horas Disp.]]</f>
        <v>0.99685091266807924</v>
      </c>
      <c r="R298" s="12">
        <f>Dados[[#This Row],[Vol. Bruto]]/Dados[[#This Row],[Vol. Padrão]]</f>
        <v>0.9872227272727272</v>
      </c>
      <c r="S298" s="12">
        <f>Dados[[#This Row],[Disponibilidade]]*Dados[[#This Row],[Desempenho]]*Dados[[#This Row],[Qualidade]]</f>
        <v>0.88454206393448365</v>
      </c>
      <c r="T298" s="14">
        <f>YEAR(Dados[[#This Row],[Período]])</f>
        <v>2019</v>
      </c>
      <c r="U298" s="14">
        <f>MONTH(Dados[[#This Row],[Período]])</f>
        <v>12</v>
      </c>
    </row>
    <row r="299" spans="1:21" x14ac:dyDescent="0.25">
      <c r="A299" s="35">
        <v>43810</v>
      </c>
      <c r="B299" s="35" t="s">
        <v>27</v>
      </c>
      <c r="C299" s="36" t="s">
        <v>17</v>
      </c>
      <c r="D299" s="37">
        <v>8</v>
      </c>
      <c r="E299" s="37">
        <f t="shared" si="67"/>
        <v>7.4139552438419436</v>
      </c>
      <c r="F299" s="37">
        <v>0.58604475615805685</v>
      </c>
      <c r="G299" s="38">
        <v>440</v>
      </c>
      <c r="H299" s="38">
        <v>409.76100000000002</v>
      </c>
      <c r="I299" s="38">
        <v>9.0850000000000009</v>
      </c>
      <c r="J299" s="38">
        <f t="shared" si="68"/>
        <v>418.846</v>
      </c>
      <c r="K299" s="12">
        <f t="shared" si="63"/>
        <v>0.93127500000000007</v>
      </c>
      <c r="L299" s="12">
        <f t="shared" si="64"/>
        <v>1.0048887206579999</v>
      </c>
      <c r="M299" s="12">
        <f t="shared" si="65"/>
        <v>0.97830945025140514</v>
      </c>
      <c r="N299" s="12">
        <f t="shared" si="66"/>
        <v>2.169054974859495E-2</v>
      </c>
      <c r="O299" s="14">
        <f>Dados[[#This Row],[Vol. Padrão]]/Dados[[#This Row],[Horas Disp.]]</f>
        <v>55</v>
      </c>
      <c r="P299" s="32" cm="1">
        <f t="array" ref="P299">SUM(Dados[[#This Row],[Vol. Líquido]:[V. Refugo]]/Dados[[#This Row],[H. Ativas]])</f>
        <v>56.494271441400315</v>
      </c>
      <c r="Q299" s="12">
        <f>Dados[[#This Row],[H. Ativas]]/Dados[[#This Row],[Horas Disp.]]</f>
        <v>0.92674440548024295</v>
      </c>
      <c r="R299" s="12">
        <f>Dados[[#This Row],[Vol. Bruto]]/Dados[[#This Row],[Vol. Padrão]]</f>
        <v>0.95192272727272731</v>
      </c>
      <c r="S299" s="12">
        <f>Dados[[#This Row],[Disponibilidade]]*Dados[[#This Row],[Desempenho]]*Dados[[#This Row],[Qualidade]]</f>
        <v>0.86305389621361339</v>
      </c>
      <c r="T299" s="14">
        <f>YEAR(Dados[[#This Row],[Período]])</f>
        <v>2019</v>
      </c>
      <c r="U299" s="14">
        <f>MONTH(Dados[[#This Row],[Período]])</f>
        <v>12</v>
      </c>
    </row>
  </sheetData>
  <dataValidations count="1">
    <dataValidation type="list" allowBlank="1" showInputMessage="1" showErrorMessage="1" sqref="C2:C299" xr:uid="{4FF3988B-3141-43D0-A46D-AF413EB5DC41}">
      <formula1>INDIRECT(B2)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959F11-EEB6-408F-9D4F-78867166881F}">
          <x14:formula1>
            <xm:f>Lista!$H$2:$L$2</xm:f>
          </x14:formula1>
          <xm:sqref>B2:B205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A6C5-A16B-4E15-A12F-CD6D7BF2021A}">
  <dimension ref="B1:L16"/>
  <sheetViews>
    <sheetView workbookViewId="0">
      <selection activeCell="G16" sqref="G16"/>
    </sheetView>
  </sheetViews>
  <sheetFormatPr defaultRowHeight="15" x14ac:dyDescent="0.25"/>
  <cols>
    <col min="1" max="1" width="3" customWidth="1"/>
    <col min="2" max="2" width="15.7109375" style="15" bestFit="1" customWidth="1"/>
    <col min="3" max="3" width="18.42578125" style="15" bestFit="1" customWidth="1"/>
    <col min="4" max="5" width="18.85546875" style="15" bestFit="1" customWidth="1"/>
    <col min="6" max="6" width="15.7109375" style="15" bestFit="1" customWidth="1"/>
    <col min="7" max="7" width="3" customWidth="1"/>
    <col min="8" max="8" width="8.5703125" bestFit="1" customWidth="1"/>
    <col min="9" max="9" width="7.85546875" bestFit="1" customWidth="1"/>
    <col min="10" max="10" width="11.7109375" bestFit="1" customWidth="1"/>
    <col min="11" max="11" width="10.85546875" bestFit="1" customWidth="1"/>
    <col min="12" max="12" width="9.140625" bestFit="1" customWidth="1"/>
  </cols>
  <sheetData>
    <row r="1" spans="2:12" x14ac:dyDescent="0.25">
      <c r="B1" s="39" t="s">
        <v>2</v>
      </c>
      <c r="C1" s="39"/>
      <c r="D1" s="39"/>
      <c r="E1" s="39"/>
      <c r="F1" s="39"/>
      <c r="H1" s="39" t="s">
        <v>25</v>
      </c>
      <c r="I1" s="39"/>
      <c r="J1" s="39"/>
      <c r="K1" s="39"/>
      <c r="L1" s="39"/>
    </row>
    <row r="2" spans="2:12" x14ac:dyDescent="0.25">
      <c r="B2" s="16" t="s">
        <v>26</v>
      </c>
      <c r="C2" s="16" t="s">
        <v>27</v>
      </c>
      <c r="D2" s="16" t="s">
        <v>28</v>
      </c>
      <c r="E2" s="16" t="s">
        <v>29</v>
      </c>
      <c r="F2" s="16" t="s">
        <v>30</v>
      </c>
      <c r="H2" s="16" t="s">
        <v>26</v>
      </c>
      <c r="I2" s="16" t="s">
        <v>27</v>
      </c>
      <c r="J2" s="16" t="s">
        <v>28</v>
      </c>
      <c r="K2" s="16" t="s">
        <v>29</v>
      </c>
      <c r="L2" s="16" t="s">
        <v>30</v>
      </c>
    </row>
    <row r="3" spans="2:12" x14ac:dyDescent="0.25">
      <c r="B3" s="15" t="s">
        <v>34</v>
      </c>
      <c r="C3" s="15" t="s">
        <v>32</v>
      </c>
      <c r="D3" s="15" t="s">
        <v>43</v>
      </c>
      <c r="E3" s="15" t="s">
        <v>43</v>
      </c>
      <c r="F3" s="15" t="s">
        <v>34</v>
      </c>
      <c r="H3" s="15" t="s">
        <v>21</v>
      </c>
      <c r="I3" s="15" t="s">
        <v>17</v>
      </c>
      <c r="J3" s="15" t="s">
        <v>13</v>
      </c>
      <c r="K3" s="15" t="s">
        <v>14</v>
      </c>
      <c r="L3" s="15" t="s">
        <v>16</v>
      </c>
    </row>
    <row r="4" spans="2:12" x14ac:dyDescent="0.25">
      <c r="B4" s="15" t="s">
        <v>32</v>
      </c>
      <c r="C4" s="15" t="s">
        <v>36</v>
      </c>
      <c r="D4" s="15" t="s">
        <v>44</v>
      </c>
      <c r="E4" s="15" t="s">
        <v>44</v>
      </c>
      <c r="F4" s="15" t="s">
        <v>43</v>
      </c>
      <c r="H4" s="15" t="s">
        <v>22</v>
      </c>
      <c r="I4" s="15" t="s">
        <v>20</v>
      </c>
      <c r="J4" s="15" t="s">
        <v>15</v>
      </c>
      <c r="K4" s="15" t="s">
        <v>19</v>
      </c>
      <c r="L4" s="15" t="s">
        <v>18</v>
      </c>
    </row>
    <row r="5" spans="2:12" x14ac:dyDescent="0.25">
      <c r="B5" s="15" t="s">
        <v>35</v>
      </c>
      <c r="C5" s="15" t="s">
        <v>38</v>
      </c>
      <c r="D5" s="15" t="s">
        <v>40</v>
      </c>
      <c r="E5" s="15" t="s">
        <v>40</v>
      </c>
      <c r="F5" s="15" t="s">
        <v>31</v>
      </c>
    </row>
    <row r="6" spans="2:12" x14ac:dyDescent="0.25">
      <c r="B6" s="15" t="s">
        <v>31</v>
      </c>
      <c r="C6" s="15" t="s">
        <v>39</v>
      </c>
      <c r="D6" s="15" t="s">
        <v>41</v>
      </c>
      <c r="E6" s="15" t="s">
        <v>41</v>
      </c>
      <c r="F6" s="15" t="s">
        <v>41</v>
      </c>
    </row>
    <row r="7" spans="2:12" x14ac:dyDescent="0.25">
      <c r="B7" s="15" t="s">
        <v>33</v>
      </c>
      <c r="C7" s="15" t="s">
        <v>37</v>
      </c>
      <c r="D7" s="15" t="s">
        <v>42</v>
      </c>
      <c r="E7" s="15" t="s">
        <v>42</v>
      </c>
      <c r="F7" s="15" t="s">
        <v>42</v>
      </c>
    </row>
    <row r="10" spans="2:12" x14ac:dyDescent="0.25">
      <c r="B10" s="39" t="s">
        <v>45</v>
      </c>
      <c r="C10" s="39"/>
      <c r="D10" s="39"/>
      <c r="E10" s="39"/>
      <c r="F10" s="39"/>
    </row>
    <row r="11" spans="2:12" x14ac:dyDescent="0.25">
      <c r="B11" s="16" t="s">
        <v>26</v>
      </c>
      <c r="C11" s="16" t="s">
        <v>27</v>
      </c>
      <c r="D11" s="16" t="s">
        <v>28</v>
      </c>
      <c r="E11" s="16" t="s">
        <v>29</v>
      </c>
      <c r="F11" s="16" t="s">
        <v>30</v>
      </c>
    </row>
    <row r="12" spans="2:12" x14ac:dyDescent="0.25">
      <c r="B12" s="15" t="s">
        <v>47</v>
      </c>
      <c r="C12" s="15" t="s">
        <v>47</v>
      </c>
      <c r="D12" s="15" t="s">
        <v>47</v>
      </c>
      <c r="E12" s="15" t="s">
        <v>47</v>
      </c>
      <c r="F12" s="15" t="s">
        <v>47</v>
      </c>
    </row>
    <row r="13" spans="2:12" x14ac:dyDescent="0.25">
      <c r="B13" s="15" t="s">
        <v>56</v>
      </c>
      <c r="C13" s="15" t="s">
        <v>50</v>
      </c>
      <c r="D13" s="15" t="s">
        <v>59</v>
      </c>
      <c r="E13" s="15" t="s">
        <v>53</v>
      </c>
      <c r="F13" s="15" t="s">
        <v>46</v>
      </c>
    </row>
    <row r="14" spans="2:12" x14ac:dyDescent="0.25">
      <c r="B14" s="15" t="s">
        <v>48</v>
      </c>
      <c r="C14" s="15" t="s">
        <v>49</v>
      </c>
      <c r="D14" s="15" t="s">
        <v>53</v>
      </c>
      <c r="E14" s="15" t="s">
        <v>46</v>
      </c>
      <c r="F14" s="15" t="s">
        <v>55</v>
      </c>
    </row>
    <row r="15" spans="2:12" x14ac:dyDescent="0.25">
      <c r="B15" s="15" t="s">
        <v>46</v>
      </c>
      <c r="C15" s="15" t="s">
        <v>46</v>
      </c>
      <c r="D15" s="15" t="s">
        <v>46</v>
      </c>
      <c r="E15" s="15" t="s">
        <v>52</v>
      </c>
      <c r="F15" s="15" t="s">
        <v>54</v>
      </c>
    </row>
    <row r="16" spans="2:12" x14ac:dyDescent="0.25">
      <c r="B16" s="15" t="s">
        <v>60</v>
      </c>
      <c r="C16" s="15" t="s">
        <v>51</v>
      </c>
      <c r="D16" s="15" t="s">
        <v>52</v>
      </c>
      <c r="E16" s="15" t="s">
        <v>58</v>
      </c>
      <c r="F16" s="15" t="s">
        <v>57</v>
      </c>
    </row>
  </sheetData>
  <sortState xmlns:xlrd2="http://schemas.microsoft.com/office/spreadsheetml/2017/richdata2" ref="D12:D16">
    <sortCondition ref="D12:D16"/>
  </sortState>
  <mergeCells count="3">
    <mergeCell ref="B1:F1"/>
    <mergeCell ref="B10:F10"/>
    <mergeCell ref="H1:L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66C5-FED9-473E-A647-EA6ABE92E743}">
  <dimension ref="B2:AG54"/>
  <sheetViews>
    <sheetView workbookViewId="0">
      <selection activeCell="B2" sqref="B2:H2"/>
    </sheetView>
  </sheetViews>
  <sheetFormatPr defaultRowHeight="15" x14ac:dyDescent="0.25"/>
  <cols>
    <col min="1" max="1" width="2" customWidth="1"/>
    <col min="2" max="2" width="11.5703125" bestFit="1" customWidth="1"/>
    <col min="3" max="3" width="16.140625" bestFit="1" customWidth="1"/>
    <col min="4" max="5" width="16.140625" customWidth="1"/>
    <col min="6" max="6" width="16" bestFit="1" customWidth="1"/>
    <col min="7" max="7" width="14.42578125" bestFit="1" customWidth="1"/>
    <col min="8" max="8" width="14" bestFit="1" customWidth="1"/>
    <col min="9" max="9" width="7.7109375" customWidth="1"/>
    <col min="10" max="10" width="11.85546875" bestFit="1" customWidth="1"/>
    <col min="11" max="11" width="12.28515625" customWidth="1"/>
    <col min="12" max="12" width="9.28515625" customWidth="1"/>
    <col min="13" max="13" width="13.28515625" bestFit="1" customWidth="1"/>
    <col min="14" max="14" width="11.140625" bestFit="1" customWidth="1"/>
    <col min="15" max="16" width="14.28515625" bestFit="1" customWidth="1"/>
    <col min="17" max="17" width="7.7109375" customWidth="1"/>
    <col min="18" max="18" width="12.7109375" customWidth="1"/>
    <col min="19" max="19" width="12.85546875" customWidth="1"/>
    <col min="20" max="20" width="18.42578125" bestFit="1" customWidth="1"/>
    <col min="21" max="21" width="13.7109375" bestFit="1" customWidth="1"/>
    <col min="22" max="22" width="22.7109375" style="25" bestFit="1" customWidth="1"/>
    <col min="23" max="23" width="10.140625" bestFit="1" customWidth="1"/>
    <col min="24" max="26" width="18.42578125" bestFit="1" customWidth="1"/>
  </cols>
  <sheetData>
    <row r="2" spans="2:27" ht="15.75" x14ac:dyDescent="0.25">
      <c r="B2" s="91" t="s">
        <v>134</v>
      </c>
      <c r="C2" s="91"/>
      <c r="D2" s="91"/>
      <c r="E2" s="91"/>
      <c r="F2" s="91"/>
      <c r="G2" s="91"/>
      <c r="H2" s="91"/>
      <c r="J2" s="60" t="s">
        <v>61</v>
      </c>
      <c r="K2" s="60"/>
      <c r="L2" s="60"/>
      <c r="M2" s="60"/>
      <c r="O2" s="57" t="s">
        <v>109</v>
      </c>
      <c r="P2" s="57"/>
      <c r="R2" s="87" t="s">
        <v>132</v>
      </c>
      <c r="S2" s="88"/>
      <c r="T2" s="88"/>
      <c r="U2" s="88"/>
      <c r="V2" s="88"/>
      <c r="W2" s="88"/>
      <c r="X2" s="88"/>
      <c r="Y2" s="88"/>
      <c r="Z2" s="88"/>
      <c r="AA2" s="89"/>
    </row>
    <row r="3" spans="2:27" x14ac:dyDescent="0.25">
      <c r="B3" s="42" t="s">
        <v>25</v>
      </c>
      <c r="C3" s="42" t="s">
        <v>78</v>
      </c>
      <c r="D3" s="42" t="s">
        <v>79</v>
      </c>
      <c r="E3" s="42" t="s">
        <v>80</v>
      </c>
      <c r="F3" s="42" t="s">
        <v>81</v>
      </c>
      <c r="G3" s="42" t="s">
        <v>82</v>
      </c>
      <c r="H3" s="42" t="s">
        <v>83</v>
      </c>
      <c r="J3" s="61" t="s">
        <v>62</v>
      </c>
      <c r="K3" s="61"/>
      <c r="L3" s="42" t="s">
        <v>23</v>
      </c>
      <c r="M3" s="42" t="s">
        <v>24</v>
      </c>
      <c r="O3" s="72" t="s">
        <v>110</v>
      </c>
      <c r="P3" s="73">
        <v>59000</v>
      </c>
      <c r="R3" s="42" t="s">
        <v>95</v>
      </c>
      <c r="S3" s="42" t="s">
        <v>24</v>
      </c>
      <c r="T3" s="42" t="s">
        <v>135</v>
      </c>
      <c r="U3" s="42" t="s">
        <v>9</v>
      </c>
      <c r="V3" s="42" t="s">
        <v>10</v>
      </c>
      <c r="W3" s="42" t="s">
        <v>11</v>
      </c>
      <c r="X3" s="42" t="s">
        <v>125</v>
      </c>
      <c r="Y3" s="42" t="s">
        <v>126</v>
      </c>
      <c r="Z3" s="42" t="s">
        <v>127</v>
      </c>
      <c r="AA3" s="42" t="s">
        <v>116</v>
      </c>
    </row>
    <row r="4" spans="2:27" x14ac:dyDescent="0.25">
      <c r="B4" s="20" t="s">
        <v>26</v>
      </c>
      <c r="C4" s="18">
        <f>SUMIFS(Dados[Vol. Líquido],Dados[Setores],B4,Dados[Ano],Ano,Dados[Mês],Mes)</f>
        <v>782.25</v>
      </c>
      <c r="D4" s="18">
        <f>SUMIFS(Dados[Vol. Líquido],Dados[Setores],B4,Dados[Ano],Ano)</f>
        <v>10338.485000000001</v>
      </c>
      <c r="E4" s="18">
        <f>SUMIFS(Dados[V. Refugo],Dados[Setores],B4,Dados[Ano],Ano,Dados[Mês],Mes)</f>
        <v>7.6209999999999996</v>
      </c>
      <c r="F4" s="18">
        <f>SUMIFS(Dados[V. Refugo],Dados[Setores],B4,Dados[Ano],Ano)</f>
        <v>395.26499999999987</v>
      </c>
      <c r="G4" s="18">
        <f>SUMIFS(Dados[Vol. Bruto],Dados[Setores],B4,Dados[Ano],Ano,Dados[Mês],Mes)</f>
        <v>789.87100000000009</v>
      </c>
      <c r="H4" s="18">
        <f>SUMIFS(Dados[Vol. Bruto],Dados[Setores],B4,Dados[Ano],Ano)</f>
        <v>10733.749999999998</v>
      </c>
      <c r="I4" s="17"/>
      <c r="J4" s="62" t="str" cm="1">
        <f t="array" ref="J4">INDEX(ListaSetores,IndiceSetor)</f>
        <v>Retífica</v>
      </c>
      <c r="K4" s="62"/>
      <c r="L4" s="51" cm="1">
        <f t="array" ref="L4">INDEX(ListaAnos,IndiceAno)</f>
        <v>2018</v>
      </c>
      <c r="M4" s="51">
        <v>6</v>
      </c>
      <c r="O4" s="72" t="s">
        <v>111</v>
      </c>
      <c r="P4" s="73">
        <f>P3-P5</f>
        <v>4256.8150000000023</v>
      </c>
      <c r="R4" s="50">
        <v>1</v>
      </c>
      <c r="S4" s="51" t="s">
        <v>66</v>
      </c>
      <c r="T4" s="52">
        <f>SUMIFS(Dados[Vol. Líquido],Dados[Ano],Ano,Dados[Mês],R4)</f>
        <v>7769.3709999999992</v>
      </c>
      <c r="U4" s="47">
        <f>IFERROR(AVERAGEIFS(Dados[Produtividade],Dados[Ano],Ano,Dados[Mês],R4),0)</f>
        <v>0.76772440711462453</v>
      </c>
      <c r="V4" s="53">
        <f>IFERROR(AVERAGEIFS(Dados[Eficiência],Dados[Ano],Ano,Dados[Mês],R4),0)</f>
        <v>0.82343875228488073</v>
      </c>
      <c r="W4" s="53">
        <f>IFERROR(AVERAGEIFS(Dados[Qualidade],Dados[Ano],Ano,Dados[Mês],R4),0)</f>
        <v>0.94065777227428971</v>
      </c>
      <c r="X4" s="54">
        <f>IFERROR(AVERAGEIFS(Dados[Disponibilidade],Dados[Ano],Ano,Dados[Mês],R4),0)</f>
        <v>0.93222826086956534</v>
      </c>
      <c r="Y4" s="54">
        <f>IFERROR(AVERAGEIFS(Dados[Desempenho],Dados[Ano],Ano,Dados[Mês],R4),0)</f>
        <v>0.81723260869565217</v>
      </c>
      <c r="Z4" s="53">
        <f>IFERROR(AVERAGEIFS(Dados[OEE],Dados[Ano],Ano,Dados[Mês],R4),0)</f>
        <v>0.71667898530138341</v>
      </c>
      <c r="AA4" s="55">
        <f>IFERROR(AVERAGEIFS(Dados[Meta Produção],Dados[Ano],Ano,Dados[Mês],R4),0)</f>
        <v>55</v>
      </c>
    </row>
    <row r="5" spans="2:27" x14ac:dyDescent="0.25">
      <c r="B5" s="20" t="s">
        <v>27</v>
      </c>
      <c r="C5" s="18">
        <f>SUMIFS(Dados[Vol. Líquido],Dados[Setores],B5,Dados[Ano],Ano,Dados[Mês],Mes)</f>
        <v>639.70000000000005</v>
      </c>
      <c r="D5" s="18">
        <f>SUMIFS(Dados[Vol. Líquido],Dados[Setores],B5,Dados[Ano],Ano)</f>
        <v>11531.218000000001</v>
      </c>
      <c r="E5" s="18">
        <f>SUMIFS(Dados[V. Refugo],Dados[Setores],B5,Dados[Ano],Ano,Dados[Mês],Mes)</f>
        <v>70.290000000000006</v>
      </c>
      <c r="F5" s="18">
        <f>SUMIFS(Dados[V. Refugo],Dados[Setores],B5,Dados[Ano],Ano)</f>
        <v>393.1939999999999</v>
      </c>
      <c r="G5" s="18">
        <f>SUMIFS(Dados[Vol. Bruto],Dados[Setores],B5,Dados[Ano],Ano,Dados[Mês],Mes)</f>
        <v>709.99</v>
      </c>
      <c r="H5" s="18">
        <f>SUMIFS(Dados[Vol. Bruto],Dados[Setores],B5,Dados[Ano],Ano)</f>
        <v>11924.411999999997</v>
      </c>
      <c r="I5" s="17"/>
      <c r="J5" s="63">
        <v>5</v>
      </c>
      <c r="K5" s="63"/>
      <c r="L5" s="51">
        <v>1</v>
      </c>
      <c r="M5" s="64" t="str" cm="1">
        <f t="array" ref="M5">INDEX(ListaMes,Mes)</f>
        <v>Junho</v>
      </c>
      <c r="O5" s="72" t="s">
        <v>112</v>
      </c>
      <c r="P5" s="73">
        <f>SUM(T4:T15)</f>
        <v>54743.184999999998</v>
      </c>
      <c r="R5" s="50">
        <v>2</v>
      </c>
      <c r="S5" s="51" t="s">
        <v>67</v>
      </c>
      <c r="T5" s="52">
        <f>SUMIFS(Dados[Vol. Líquido],Dados[Ano],Ano,Dados[Mês],R5)</f>
        <v>6418.2339999999986</v>
      </c>
      <c r="U5" s="47">
        <f>IFERROR(AVERAGEIFS(Dados[Produtividade],Dados[Ano],Ano,Dados[Mês],R5),0)</f>
        <v>0.76773133971291896</v>
      </c>
      <c r="V5" s="53">
        <f>IFERROR(AVERAGEIFS(Dados[Eficiência],Dados[Ano],Ano,Dados[Mês],R5),0)</f>
        <v>0.81560651382181681</v>
      </c>
      <c r="W5" s="53">
        <f>IFERROR(AVERAGEIFS(Dados[Qualidade],Dados[Ano],Ano,Dados[Mês],R5),0)</f>
        <v>0.96509933856237817</v>
      </c>
      <c r="X5" s="54">
        <f>IFERROR(AVERAGEIFS(Dados[Disponibilidade],Dados[Ano],Ano,Dados[Mês],R5),0)</f>
        <v>0.94249999999999989</v>
      </c>
      <c r="Y5" s="54">
        <f>IFERROR(AVERAGEIFS(Dados[Desempenho],Dados[Ano],Ano,Dados[Mês],R5),0)</f>
        <v>0.79480334928229668</v>
      </c>
      <c r="Z5" s="53">
        <f>IFERROR(AVERAGEIFS(Dados[OEE],Dados[Ano],Ano,Dados[Mês],R5),0)</f>
        <v>0.72387782147129187</v>
      </c>
      <c r="AA5" s="55">
        <f>IFERROR(AVERAGEIFS(Dados[Meta Produção],Dados[Ano],Ano,Dados[Mês],R5),0)</f>
        <v>55</v>
      </c>
    </row>
    <row r="6" spans="2:27" x14ac:dyDescent="0.25">
      <c r="B6" s="20" t="s">
        <v>28</v>
      </c>
      <c r="C6" s="18">
        <f>SUMIFS(Dados[Vol. Líquido],Dados[Setores],B6,Dados[Ano],Ano,Dados[Mês],Mes)</f>
        <v>745.27</v>
      </c>
      <c r="D6" s="18">
        <f>SUMIFS(Dados[Vol. Líquido],Dados[Setores],B6,Dados[Ano],Ano)</f>
        <v>10499.420000000002</v>
      </c>
      <c r="E6" s="18">
        <f>SUMIFS(Dados[V. Refugo],Dados[Setores],B6,Dados[Ano],Ano,Dados[Mês],Mes)</f>
        <v>34.270000000000003</v>
      </c>
      <c r="F6" s="18">
        <f>SUMIFS(Dados[V. Refugo],Dados[Setores],B6,Dados[Ano],Ano)</f>
        <v>516.23500000000001</v>
      </c>
      <c r="G6" s="18">
        <f>SUMIFS(Dados[Vol. Bruto],Dados[Setores],B6,Dados[Ano],Ano,Dados[Mês],Mes)</f>
        <v>779.54000000000008</v>
      </c>
      <c r="H6" s="18">
        <f>SUMIFS(Dados[Vol. Bruto],Dados[Setores],B6,Dados[Ano],Ano)</f>
        <v>11015.655000000001</v>
      </c>
      <c r="J6" s="76" cm="1">
        <f t="array" ref="J6">INDEX(ListaVolProduzido,IndiceSetor)</f>
        <v>808.9</v>
      </c>
      <c r="K6" s="76"/>
      <c r="L6" s="49"/>
      <c r="M6" s="49"/>
      <c r="R6" s="50">
        <v>3</v>
      </c>
      <c r="S6" s="51" t="s">
        <v>68</v>
      </c>
      <c r="T6" s="52">
        <f>SUMIFS(Dados[Vol. Líquido],Dados[Ano],Ano,Dados[Mês],R6)</f>
        <v>4385.1480000000001</v>
      </c>
      <c r="U6" s="47">
        <f>IFERROR(AVERAGEIFS(Dados[Produtividade],Dados[Ano],Ano,Dados[Mês],R6),0)</f>
        <v>0.76663426573426574</v>
      </c>
      <c r="V6" s="53">
        <f>IFERROR(AVERAGEIFS(Dados[Eficiência],Dados[Ano],Ano,Dados[Mês],R6),0)</f>
        <v>0.85014386352896154</v>
      </c>
      <c r="W6" s="53">
        <f>IFERROR(AVERAGEIFS(Dados[Qualidade],Dados[Ano],Ano,Dados[Mês],R6),0)</f>
        <v>0.96646542324090767</v>
      </c>
      <c r="X6" s="54">
        <f>IFERROR(AVERAGEIFS(Dados[Disponibilidade],Dados[Ano],Ano,Dados[Mês],R6),0)</f>
        <v>0.89942307692307699</v>
      </c>
      <c r="Y6" s="54">
        <f>IFERROR(AVERAGEIFS(Dados[Desempenho],Dados[Ano],Ano,Dados[Mês],R6),0)</f>
        <v>0.79182674825174826</v>
      </c>
      <c r="Z6" s="53">
        <f>IFERROR(AVERAGEIFS(Dados[OEE],Dados[Ano],Ano,Dados[Mês],R6),0)</f>
        <v>0.69565851048951055</v>
      </c>
      <c r="AA6" s="55">
        <f>IFERROR(AVERAGEIFS(Dados[Meta Produção],Dados[Ano],Ano,Dados[Mês],R6),0)</f>
        <v>55</v>
      </c>
    </row>
    <row r="7" spans="2:27" x14ac:dyDescent="0.25">
      <c r="B7" s="20" t="s">
        <v>29</v>
      </c>
      <c r="C7" s="18">
        <f>SUMIFS(Dados[Vol. Líquido],Dados[Setores],B7,Dados[Ano],Ano,Dados[Mês],Mes)</f>
        <v>818.2</v>
      </c>
      <c r="D7" s="18">
        <f>SUMIFS(Dados[Vol. Líquido],Dados[Setores],B7,Dados[Ano],Ano)</f>
        <v>11844.36</v>
      </c>
      <c r="E7" s="18">
        <f>SUMIFS(Dados[V. Refugo],Dados[Setores],B7,Dados[Ano],Ano,Dados[Mês],Mes)</f>
        <v>9.15</v>
      </c>
      <c r="F7" s="18">
        <f>SUMIFS(Dados[V. Refugo],Dados[Setores],B7,Dados[Ano],Ano)</f>
        <v>398.92499999999995</v>
      </c>
      <c r="G7" s="18">
        <f>SUMIFS(Dados[Vol. Bruto],Dados[Setores],B7,Dados[Ano],Ano,Dados[Mês],Mes)</f>
        <v>827.34999999999991</v>
      </c>
      <c r="H7" s="18">
        <f>SUMIFS(Dados[Vol. Bruto],Dados[Setores],B7,Dados[Ano],Ano)</f>
        <v>12243.284999999998</v>
      </c>
      <c r="J7" s="40"/>
      <c r="K7" s="40"/>
      <c r="R7" s="50">
        <v>4</v>
      </c>
      <c r="S7" s="51" t="s">
        <v>69</v>
      </c>
      <c r="T7" s="52">
        <f>SUMIFS(Dados[Vol. Líquido],Dados[Ano],Ano,Dados[Mês],R7)</f>
        <v>3615.7440000000001</v>
      </c>
      <c r="U7" s="47">
        <f>IFERROR(AVERAGEIFS(Dados[Produtividade],Dados[Ano],Ano,Dados[Mês],R7),0)</f>
        <v>0.82175999999999993</v>
      </c>
      <c r="V7" s="53">
        <f>IFERROR(AVERAGEIFS(Dados[Eficiência],Dados[Ano],Ano,Dados[Mês],R7),0)</f>
        <v>0.89665843106593834</v>
      </c>
      <c r="W7" s="53">
        <f>IFERROR(AVERAGEIFS(Dados[Qualidade],Dados[Ano],Ano,Dados[Mês],R7),0)</f>
        <v>0.95892629737173107</v>
      </c>
      <c r="X7" s="54">
        <f>IFERROR(AVERAGEIFS(Dados[Disponibilidade],Dados[Ano],Ano,Dados[Mês],R7),0)</f>
        <v>0.91675000000000006</v>
      </c>
      <c r="Y7" s="54">
        <f>IFERROR(AVERAGEIFS(Dados[Desempenho],Dados[Ano],Ano,Dados[Mês],R7),0)</f>
        <v>0.85507045454545449</v>
      </c>
      <c r="Z7" s="53">
        <f>IFERROR(AVERAGEIFS(Dados[OEE],Dados[Ano],Ano,Dados[Mês],R7),0)</f>
        <v>0.7547033926136365</v>
      </c>
      <c r="AA7" s="55">
        <f>IFERROR(AVERAGEIFS(Dados[Meta Produção],Dados[Ano],Ano,Dados[Mês],R7),0)</f>
        <v>55</v>
      </c>
    </row>
    <row r="8" spans="2:27" x14ac:dyDescent="0.25">
      <c r="B8" s="20" t="s">
        <v>30</v>
      </c>
      <c r="C8" s="18">
        <f>SUMIFS(Dados[Vol. Líquido],Dados[Setores],B8,Dados[Ano],Ano,Dados[Mês],Mes)</f>
        <v>808.9</v>
      </c>
      <c r="D8" s="18">
        <f>SUMIFS(Dados[Vol. Líquido],Dados[Setores],B8,Dados[Ano],Ano)</f>
        <v>10529.701999999999</v>
      </c>
      <c r="E8" s="18">
        <f>SUMIFS(Dados[V. Refugo],Dados[Setores],B8,Dados[Ano],Ano,Dados[Mês],Mes)</f>
        <v>10.43</v>
      </c>
      <c r="F8" s="18">
        <f>SUMIFS(Dados[V. Refugo],Dados[Setores],B8,Dados[Ano],Ano)</f>
        <v>397.73099999999994</v>
      </c>
      <c r="G8" s="18">
        <f>SUMIFS(Dados[Vol. Bruto],Dados[Setores],B8,Dados[Ano],Ano,Dados[Mês],Mes)</f>
        <v>819.32999999999993</v>
      </c>
      <c r="H8" s="18">
        <f>SUMIFS(Dados[Vol. Bruto],Dados[Setores],B8,Dados[Ano],Ano)</f>
        <v>10927.432999999999</v>
      </c>
      <c r="J8" s="57" t="s">
        <v>63</v>
      </c>
      <c r="K8" s="57"/>
      <c r="M8" s="57" t="str">
        <f>"Análise Produção - "&amp;Setor</f>
        <v>Análise Produção - Retífica</v>
      </c>
      <c r="N8" s="57"/>
      <c r="O8" s="57"/>
      <c r="P8" s="57"/>
      <c r="R8" s="50">
        <v>5</v>
      </c>
      <c r="S8" s="51" t="s">
        <v>70</v>
      </c>
      <c r="T8" s="52">
        <f>SUMIFS(Dados[Vol. Líquido],Dados[Ano],Ano,Dados[Mês],R8)</f>
        <v>3740.3319999999999</v>
      </c>
      <c r="U8" s="47">
        <f>IFERROR(AVERAGEIFS(Dados[Produtividade],Dados[Ano],Ano,Dados[Mês],R8),0)</f>
        <v>0.85007545454545463</v>
      </c>
      <c r="V8" s="53">
        <f>IFERROR(AVERAGEIFS(Dados[Eficiência],Dados[Ano],Ano,Dados[Mês],R8),0)</f>
        <v>0.90704873461478408</v>
      </c>
      <c r="W8" s="53">
        <f>IFERROR(AVERAGEIFS(Dados[Qualidade],Dados[Ano],Ano,Dados[Mês],R8),0)</f>
        <v>0.97993292160431322</v>
      </c>
      <c r="X8" s="54">
        <f>IFERROR(AVERAGEIFS(Dados[Disponibilidade],Dados[Ano],Ano,Dados[Mês],R8),0)</f>
        <v>0.93687500000000001</v>
      </c>
      <c r="Y8" s="54">
        <f>IFERROR(AVERAGEIFS(Dados[Desempenho],Dados[Ano],Ano,Dados[Mês],R8),0)</f>
        <v>0.86656681818181824</v>
      </c>
      <c r="Z8" s="53">
        <f>IFERROR(AVERAGEIFS(Dados[OEE],Dados[Ano],Ano,Dados[Mês],R8),0)</f>
        <v>0.79800244090909089</v>
      </c>
      <c r="AA8" s="55">
        <f>IFERROR(AVERAGEIFS(Dados[Meta Produção],Dados[Ano],Ano,Dados[Mês],R8),0)</f>
        <v>55</v>
      </c>
    </row>
    <row r="9" spans="2:27" x14ac:dyDescent="0.25">
      <c r="B9" s="26">
        <f>COUNTA(B4:B8)</f>
        <v>5</v>
      </c>
      <c r="C9" s="24">
        <f>SUM(C4:C8)</f>
        <v>3794.32</v>
      </c>
      <c r="D9" s="24">
        <f>SUM(D4:D8)</f>
        <v>54743.185000000005</v>
      </c>
      <c r="E9" s="24">
        <f>SUM(E4:E8)</f>
        <v>131.76100000000002</v>
      </c>
      <c r="F9" s="24">
        <f>SUM(F4:F8)</f>
        <v>2101.35</v>
      </c>
      <c r="G9" s="24">
        <f t="shared" ref="G9:H9" si="0">SUM(G4:G8)</f>
        <v>3926.0810000000001</v>
      </c>
      <c r="H9" s="24">
        <f t="shared" si="0"/>
        <v>56844.534999999989</v>
      </c>
      <c r="J9" s="42" t="s">
        <v>64</v>
      </c>
      <c r="K9" s="42" t="s">
        <v>65</v>
      </c>
      <c r="M9" s="42" t="s">
        <v>95</v>
      </c>
      <c r="N9" s="42" t="s">
        <v>24</v>
      </c>
      <c r="O9" s="42" t="s">
        <v>135</v>
      </c>
      <c r="P9" s="42" t="s">
        <v>108</v>
      </c>
      <c r="R9" s="50">
        <v>6</v>
      </c>
      <c r="S9" s="51" t="s">
        <v>71</v>
      </c>
      <c r="T9" s="52">
        <f>SUMIFS(Dados[Vol. Líquido],Dados[Ano],Ano,Dados[Mês],R9)</f>
        <v>3794.3200000000006</v>
      </c>
      <c r="U9" s="47">
        <f>IFERROR(AVERAGEIFS(Dados[Produtividade],Dados[Ano],Ano,Dados[Mês],R9),0)</f>
        <v>0.86234545454545442</v>
      </c>
      <c r="V9" s="53">
        <f>IFERROR(AVERAGEIFS(Dados[Eficiência],Dados[Ano],Ano,Dados[Mês],R9),0)</f>
        <v>0.92881882664690496</v>
      </c>
      <c r="W9" s="53">
        <f>IFERROR(AVERAGEIFS(Dados[Qualidade],Dados[Ano],Ano,Dados[Mês],R9),0)</f>
        <v>0.96219031103578467</v>
      </c>
      <c r="X9" s="54">
        <f>IFERROR(AVERAGEIFS(Dados[Disponibilidade],Dados[Ano],Ano,Dados[Mês],R9),0)</f>
        <v>0.92575000000000007</v>
      </c>
      <c r="Y9" s="54">
        <f>IFERROR(AVERAGEIFS(Dados[Desempenho],Dados[Ano],Ano,Dados[Mês],R9),0)</f>
        <v>0.89229113636363633</v>
      </c>
      <c r="Z9" s="53">
        <f>IFERROR(AVERAGEIFS(Dados[OEE],Dados[Ano],Ano,Dados[Mês],R9),0)</f>
        <v>0.80174421875000002</v>
      </c>
      <c r="AA9" s="55">
        <f>IFERROR(AVERAGEIFS(Dados[Meta Produção],Dados[Ano],Ano,Dados[Mês],R9),0)</f>
        <v>55</v>
      </c>
    </row>
    <row r="10" spans="2:27" x14ac:dyDescent="0.25">
      <c r="J10" s="43">
        <v>2018</v>
      </c>
      <c r="K10" s="56" t="s">
        <v>66</v>
      </c>
      <c r="M10" s="58">
        <v>1</v>
      </c>
      <c r="N10" s="43" t="s">
        <v>96</v>
      </c>
      <c r="O10" s="52">
        <f>SUMIFS(Dados[Vol. Líquido],Dados[Setores],Setor,Dados[Ano],Ano,Dados[Mês],M10)</f>
        <v>1165.635</v>
      </c>
      <c r="P10" s="51">
        <f>COUNTIFS(Dados[Setores],Setor,Dados[Ano],Ano,Dados[Mês],M10)</f>
        <v>4</v>
      </c>
      <c r="R10" s="50">
        <v>7</v>
      </c>
      <c r="S10" s="51" t="s">
        <v>72</v>
      </c>
      <c r="T10" s="52">
        <f>SUMIFS(Dados[Vol. Líquido],Dados[Ano],Ano,Dados[Mês],R10)</f>
        <v>3910.9110000000001</v>
      </c>
      <c r="U10" s="47">
        <f>IFERROR(AVERAGEIFS(Dados[Produtividade],Dados[Ano],Ano,Dados[Mês],R10),0)</f>
        <v>0.80803946280991745</v>
      </c>
      <c r="V10" s="53">
        <f>IFERROR(AVERAGEIFS(Dados[Eficiência],Dados[Ano],Ano,Dados[Mês],R10),0)</f>
        <v>0.86100972580820256</v>
      </c>
      <c r="W10" s="53">
        <f>IFERROR(AVERAGEIFS(Dados[Qualidade],Dados[Ano],Ano,Dados[Mês],R10),0)</f>
        <v>0.95911030319737622</v>
      </c>
      <c r="X10" s="54">
        <f>IFERROR(AVERAGEIFS(Dados[Disponibilidade],Dados[Ano],Ano,Dados[Mês],R10),0)</f>
        <v>0.93897727272727272</v>
      </c>
      <c r="Y10" s="54">
        <f>IFERROR(AVERAGEIFS(Dados[Desempenho],Dados[Ano],Ano,Dados[Mês],R10),0)</f>
        <v>0.84248657024793372</v>
      </c>
      <c r="Z10" s="53">
        <f>IFERROR(AVERAGEIFS(Dados[OEE],Dados[Ano],Ano,Dados[Mês],R10),0)</f>
        <v>0.76011992045454557</v>
      </c>
      <c r="AA10" s="55">
        <f>IFERROR(AVERAGEIFS(Dados[Meta Produção],Dados[Ano],Ano,Dados[Mês],R10),0)</f>
        <v>55</v>
      </c>
    </row>
    <row r="11" spans="2:27" ht="15.75" x14ac:dyDescent="0.25">
      <c r="B11" s="91" t="s">
        <v>90</v>
      </c>
      <c r="C11" s="91"/>
      <c r="D11" s="91"/>
      <c r="E11" s="91"/>
      <c r="F11" s="91"/>
      <c r="G11" s="91"/>
      <c r="H11" s="91"/>
      <c r="J11" s="43">
        <v>2019</v>
      </c>
      <c r="K11" s="56" t="s">
        <v>67</v>
      </c>
      <c r="M11" s="58">
        <v>2</v>
      </c>
      <c r="N11" s="43" t="s">
        <v>97</v>
      </c>
      <c r="O11" s="52">
        <f>SUMIFS(Dados[Vol. Líquido],Dados[Setores],Setor,Dados[Ano],Ano,Dados[Mês],M11)</f>
        <v>1394.3559999999998</v>
      </c>
      <c r="P11" s="51">
        <f>COUNTIFS(Dados[Setores],Setor,Dados[Ano],Ano,Dados[Mês],M11)</f>
        <v>4</v>
      </c>
      <c r="R11" s="50">
        <v>8</v>
      </c>
      <c r="S11" s="51" t="s">
        <v>73</v>
      </c>
      <c r="T11" s="52">
        <f>SUMIFS(Dados[Vol. Líquido],Dados[Ano],Ano,Dados[Mês],R11)</f>
        <v>3602.68</v>
      </c>
      <c r="U11" s="47">
        <f>IFERROR(AVERAGEIFS(Dados[Produtividade],Dados[Ano],Ano,Dados[Mês],R11),0)</f>
        <v>0.81879090909090912</v>
      </c>
      <c r="V11" s="53">
        <f>IFERROR(AVERAGEIFS(Dados[Eficiência],Dados[Ano],Ano,Dados[Mês],R11),0)</f>
        <v>0.88106550606186607</v>
      </c>
      <c r="W11" s="53">
        <f>IFERROR(AVERAGEIFS(Dados[Qualidade],Dados[Ano],Ano,Dados[Mês],R11),0)</f>
        <v>0.9661149499401338</v>
      </c>
      <c r="X11" s="54">
        <f>IFERROR(AVERAGEIFS(Dados[Disponibilidade],Dados[Ano],Ano,Dados[Mês],R11),0)</f>
        <v>0.92699999999999982</v>
      </c>
      <c r="Y11" s="54">
        <f>IFERROR(AVERAGEIFS(Dados[Desempenho],Dados[Ano],Ano,Dados[Mês],R11),0)</f>
        <v>0.84490272727272731</v>
      </c>
      <c r="Z11" s="53">
        <f>IFERROR(AVERAGEIFS(Dados[OEE],Dados[Ano],Ano,Dados[Mês],R11),0)</f>
        <v>0.76286277272727276</v>
      </c>
      <c r="AA11" s="55">
        <f>IFERROR(AVERAGEIFS(Dados[Meta Produção],Dados[Ano],Ano,Dados[Mês],R11),0)</f>
        <v>55</v>
      </c>
    </row>
    <row r="12" spans="2:27" x14ac:dyDescent="0.25">
      <c r="B12" s="42" t="s">
        <v>25</v>
      </c>
      <c r="C12" s="42" t="s">
        <v>84</v>
      </c>
      <c r="D12" s="42" t="s">
        <v>85</v>
      </c>
      <c r="E12" s="42" t="s">
        <v>86</v>
      </c>
      <c r="F12" s="42" t="s">
        <v>87</v>
      </c>
      <c r="G12" s="42" t="s">
        <v>88</v>
      </c>
      <c r="H12" s="42" t="s">
        <v>89</v>
      </c>
      <c r="J12" s="43"/>
      <c r="K12" s="56" t="s">
        <v>68</v>
      </c>
      <c r="M12" s="58">
        <v>3</v>
      </c>
      <c r="N12" s="43" t="s">
        <v>98</v>
      </c>
      <c r="O12" s="52">
        <f>SUMIFS(Dados[Vol. Líquido],Dados[Setores],Setor,Dados[Ano],Ano,Dados[Mês],M12)</f>
        <v>650.548</v>
      </c>
      <c r="P12" s="51">
        <f>COUNTIFS(Dados[Setores],Setor,Dados[Ano],Ano,Dados[Mês],M12)</f>
        <v>2</v>
      </c>
      <c r="R12" s="50">
        <v>9</v>
      </c>
      <c r="S12" s="51" t="s">
        <v>74</v>
      </c>
      <c r="T12" s="52">
        <f>SUMIFS(Dados[Vol. Líquido],Dados[Ano],Ano,Dados[Mês],R12)</f>
        <v>4092.422</v>
      </c>
      <c r="U12" s="47">
        <f>IFERROR(AVERAGEIFS(Dados[Produtividade],Dados[Ano],Ano,Dados[Mês],R12),0)</f>
        <v>0.77507992424242433</v>
      </c>
      <c r="V12" s="53">
        <f>IFERROR(AVERAGEIFS(Dados[Eficiência],Dados[Ano],Ano,Dados[Mês],R12),0)</f>
        <v>0.83541607996918199</v>
      </c>
      <c r="W12" s="53">
        <f>IFERROR(AVERAGEIFS(Dados[Qualidade],Dados[Ano],Ano,Dados[Mês],R12),0)</f>
        <v>0.95724177093224394</v>
      </c>
      <c r="X12" s="54">
        <f>IFERROR(AVERAGEIFS(Dados[Disponibilidade],Dados[Ano],Ano,Dados[Mês],R12),0)</f>
        <v>0.92927083333333338</v>
      </c>
      <c r="Y12" s="54">
        <f>IFERROR(AVERAGEIFS(Dados[Desempenho],Dados[Ano],Ano,Dados[Mês],R12),0)</f>
        <v>0.80844848484848486</v>
      </c>
      <c r="Z12" s="53">
        <f>IFERROR(AVERAGEIFS(Dados[OEE],Dados[Ano],Ano,Dados[Mês],R12),0)</f>
        <v>0.72090781036931817</v>
      </c>
      <c r="AA12" s="55">
        <f>IFERROR(AVERAGEIFS(Dados[Meta Produção],Dados[Ano],Ano,Dados[Mês],R12),0)</f>
        <v>55</v>
      </c>
    </row>
    <row r="13" spans="2:27" x14ac:dyDescent="0.25">
      <c r="B13" s="20" t="s">
        <v>26</v>
      </c>
      <c r="C13" s="19">
        <f>SUMIFS(Dados[Horas Disp.],Dados[Setores],B13,Dados[Ano],Ano,Dados[Mês],Mes)</f>
        <v>16</v>
      </c>
      <c r="D13" s="19">
        <f>SUMIFS(Dados[Horas Disp.],Dados[Setores],B13,Dados[Ano],Ano)</f>
        <v>240</v>
      </c>
      <c r="E13" s="19">
        <f>SUMIFS(Dados[H. Ativas],Dados[Setores],B13,Dados[Ano],Ano,Dados[Mês],Mes)</f>
        <v>15</v>
      </c>
      <c r="F13" s="19">
        <f>SUMIFS(Dados[H. Ativas],Dados[Setores],B13,Dados[Ano],Ano)</f>
        <v>219.5800000000001</v>
      </c>
      <c r="G13" s="19">
        <f>SUMIFS(Dados[H. Inativas],Dados[Setores],B13,Dados[Ano],Ano,Dados[Mês],Mes)</f>
        <v>1</v>
      </c>
      <c r="H13" s="19">
        <f>SUMIFS(Dados[H. Inativas],Dados[Setores],B13,Dados[Ano],Ano)</f>
        <v>20.420000000000002</v>
      </c>
      <c r="J13" s="43"/>
      <c r="K13" s="56" t="s">
        <v>69</v>
      </c>
      <c r="M13" s="58">
        <v>4</v>
      </c>
      <c r="N13" s="43" t="s">
        <v>99</v>
      </c>
      <c r="O13" s="52">
        <f>SUMIFS(Dados[Vol. Líquido],Dados[Setores],Setor,Dados[Ano],Ano,Dados[Mês],M13)</f>
        <v>776.27300000000002</v>
      </c>
      <c r="P13" s="51">
        <f>COUNTIFS(Dados[Setores],Setor,Dados[Ano],Ano,Dados[Mês],M13)</f>
        <v>2</v>
      </c>
      <c r="R13" s="50">
        <v>10</v>
      </c>
      <c r="S13" s="51" t="s">
        <v>75</v>
      </c>
      <c r="T13" s="52">
        <f>SUMIFS(Dados[Vol. Líquido],Dados[Ano],Ano,Dados[Mês],R13)</f>
        <v>3813.0729999999999</v>
      </c>
      <c r="U13" s="47">
        <f>IFERROR(AVERAGEIFS(Dados[Produtividade],Dados[Ano],Ano,Dados[Mês],R13),0)</f>
        <v>0.86660749999999998</v>
      </c>
      <c r="V13" s="53">
        <f>IFERROR(AVERAGEIFS(Dados[Eficiência],Dados[Ano],Ano,Dados[Mês],R13),0)</f>
        <v>0.91972066342929482</v>
      </c>
      <c r="W13" s="53">
        <f>IFERROR(AVERAGEIFS(Dados[Qualidade],Dados[Ano],Ano,Dados[Mês],R13),0)</f>
        <v>0.98050232294293238</v>
      </c>
      <c r="X13" s="54">
        <f>IFERROR(AVERAGEIFS(Dados[Disponibilidade],Dados[Ano],Ano,Dados[Mês],R13),0)</f>
        <v>0.94249999999999989</v>
      </c>
      <c r="Y13" s="54">
        <f>IFERROR(AVERAGEIFS(Dados[Desempenho],Dados[Ano],Ano,Dados[Mês],R13),0)</f>
        <v>0.88286613636363642</v>
      </c>
      <c r="Z13" s="53">
        <f>IFERROR(AVERAGEIFS(Dados[OEE],Dados[Ano],Ano,Dados[Mês],R13),0)</f>
        <v>0.81715114346590911</v>
      </c>
      <c r="AA13" s="55">
        <f>IFERROR(AVERAGEIFS(Dados[Meta Produção],Dados[Ano],Ano,Dados[Mês],R13),0)</f>
        <v>55</v>
      </c>
    </row>
    <row r="14" spans="2:27" ht="15" customHeight="1" x14ac:dyDescent="0.25">
      <c r="B14" s="20" t="s">
        <v>27</v>
      </c>
      <c r="C14" s="19">
        <f>SUMIFS(Dados[Horas Disp.],Dados[Setores],B14,Dados[Ano],Ano,Dados[Mês],Mes)</f>
        <v>16</v>
      </c>
      <c r="D14" s="19">
        <f>SUMIFS(Dados[Horas Disp.],Dados[Setores],B14,Dados[Ano],Ano)</f>
        <v>256</v>
      </c>
      <c r="E14" s="19">
        <f>SUMIFS(Dados[H. Ativas],Dados[Setores],B14,Dados[Ano],Ano,Dados[Mês],Mes)</f>
        <v>14.17</v>
      </c>
      <c r="F14" s="19">
        <f>SUMIFS(Dados[H. Ativas],Dados[Setores],B14,Dados[Ano],Ano)</f>
        <v>241.37000000000006</v>
      </c>
      <c r="G14" s="19">
        <f>SUMIFS(Dados[H. Inativas],Dados[Setores],B14,Dados[Ano],Ano,Dados[Mês],Mes)</f>
        <v>1.83</v>
      </c>
      <c r="H14" s="19">
        <f>SUMIFS(Dados[H. Inativas],Dados[Setores],B14,Dados[Ano],Ano)</f>
        <v>14.629999999999997</v>
      </c>
      <c r="J14" s="43"/>
      <c r="K14" s="56" t="s">
        <v>70</v>
      </c>
      <c r="M14" s="58">
        <v>5</v>
      </c>
      <c r="N14" s="43" t="s">
        <v>100</v>
      </c>
      <c r="O14" s="52">
        <f>SUMIFS(Dados[Vol. Líquido],Dados[Setores],Setor,Dados[Ano],Ano,Dados[Mês],M14)</f>
        <v>700.36</v>
      </c>
      <c r="P14" s="51">
        <f>COUNTIFS(Dados[Setores],Setor,Dados[Ano],Ano,Dados[Mês],M14)</f>
        <v>2</v>
      </c>
      <c r="R14" s="50">
        <v>11</v>
      </c>
      <c r="S14" s="51" t="s">
        <v>76</v>
      </c>
      <c r="T14" s="52">
        <f>SUMIFS(Dados[Vol. Líquido],Dados[Ano],Ano,Dados[Mês],R14)</f>
        <v>5779.2619999999997</v>
      </c>
      <c r="U14" s="47">
        <f>IFERROR(AVERAGEIFS(Dados[Produtividade],Dados[Ano],Ano,Dados[Mês],R14),0)</f>
        <v>0.77262860962566837</v>
      </c>
      <c r="V14" s="53">
        <f>IFERROR(AVERAGEIFS(Dados[Eficiência],Dados[Ano],Ano,Dados[Mês],R14),0)</f>
        <v>0.85849119699785936</v>
      </c>
      <c r="W14" s="53">
        <f>IFERROR(AVERAGEIFS(Dados[Qualidade],Dados[Ano],Ano,Dados[Mês],R14),0)</f>
        <v>0.96509159095170505</v>
      </c>
      <c r="X14" s="54">
        <f>IFERROR(AVERAGEIFS(Dados[Disponibilidade],Dados[Ano],Ano,Dados[Mês],R14),0)</f>
        <v>0.89875000000000005</v>
      </c>
      <c r="Y14" s="54">
        <f>IFERROR(AVERAGEIFS(Dados[Desempenho],Dados[Ano],Ano,Dados[Mês],R14),0)</f>
        <v>0.79955561497326211</v>
      </c>
      <c r="Z14" s="53">
        <f>IFERROR(AVERAGEIFS(Dados[OEE],Dados[Ano],Ano,Dados[Mês],R14),0)</f>
        <v>0.69876070287433156</v>
      </c>
      <c r="AA14" s="55">
        <f>IFERROR(AVERAGEIFS(Dados[Meta Produção],Dados[Ano],Ano,Dados[Mês],R14),0)</f>
        <v>55</v>
      </c>
    </row>
    <row r="15" spans="2:27" x14ac:dyDescent="0.25">
      <c r="B15" s="20" t="s">
        <v>28</v>
      </c>
      <c r="C15" s="19">
        <f>SUMIFS(Dados[Horas Disp.],Dados[Setores],B15,Dados[Ano],Ano,Dados[Mês],Mes)</f>
        <v>16</v>
      </c>
      <c r="D15" s="19">
        <f>SUMIFS(Dados[Horas Disp.],Dados[Setores],B15,Dados[Ano],Ano)</f>
        <v>248</v>
      </c>
      <c r="E15" s="19">
        <f>SUMIFS(Dados[H. Ativas],Dados[Setores],B15,Dados[Ano],Ano,Dados[Mês],Mes)</f>
        <v>14.879999999999999</v>
      </c>
      <c r="F15" s="19">
        <f>SUMIFS(Dados[H. Ativas],Dados[Setores],B15,Dados[Ano],Ano)</f>
        <v>226.96</v>
      </c>
      <c r="G15" s="19">
        <f>SUMIFS(Dados[H. Inativas],Dados[Setores],B15,Dados[Ano],Ano,Dados[Mês],Mes)</f>
        <v>1.1199999999999999</v>
      </c>
      <c r="H15" s="19">
        <f>SUMIFS(Dados[H. Inativas],Dados[Setores],B15,Dados[Ano],Ano)</f>
        <v>21.040000000000003</v>
      </c>
      <c r="J15" s="43"/>
      <c r="K15" s="56" t="s">
        <v>71</v>
      </c>
      <c r="M15" s="58">
        <v>6</v>
      </c>
      <c r="N15" s="43" t="s">
        <v>101</v>
      </c>
      <c r="O15" s="52">
        <f>SUMIFS(Dados[Vol. Líquido],Dados[Setores],Setor,Dados[Ano],Ano,Dados[Mês],M15)</f>
        <v>808.9</v>
      </c>
      <c r="P15" s="51">
        <f>COUNTIFS(Dados[Setores],Setor,Dados[Ano],Ano,Dados[Mês],M15)</f>
        <v>2</v>
      </c>
      <c r="R15" s="50">
        <v>12</v>
      </c>
      <c r="S15" s="51" t="s">
        <v>77</v>
      </c>
      <c r="T15" s="52">
        <f>SUMIFS(Dados[Vol. Líquido],Dados[Ano],Ano,Dados[Mês],R15)</f>
        <v>3821.6880000000001</v>
      </c>
      <c r="U15" s="47">
        <f>IFERROR(AVERAGEIFS(Dados[Produtividade],Dados[Ano],Ano,Dados[Mês],R15),0)</f>
        <v>0.78960495867768576</v>
      </c>
      <c r="V15" s="53">
        <f>IFERROR(AVERAGEIFS(Dados[Eficiência],Dados[Ano],Ano,Dados[Mês],R15),0)</f>
        <v>0.8436215671758952</v>
      </c>
      <c r="W15" s="53">
        <f>IFERROR(AVERAGEIFS(Dados[Qualidade],Dados[Ano],Ano,Dados[Mês],R15),0)</f>
        <v>0.96089673899248562</v>
      </c>
      <c r="X15" s="54">
        <f>IFERROR(AVERAGEIFS(Dados[Disponibilidade],Dados[Ano],Ano,Dados[Mês],R15),0)</f>
        <v>0.9355681818181818</v>
      </c>
      <c r="Y15" s="54">
        <f>IFERROR(AVERAGEIFS(Dados[Desempenho],Dados[Ano],Ano,Dados[Mês],R15),0)</f>
        <v>0.82023739669421503</v>
      </c>
      <c r="Z15" s="53">
        <f>IFERROR(AVERAGEIFS(Dados[OEE],Dados[Ano],Ano,Dados[Mês],R15),0)</f>
        <v>0.74176166967975199</v>
      </c>
      <c r="AA15" s="55">
        <f>IFERROR(AVERAGEIFS(Dados[Meta Produção],Dados[Ano],Ano,Dados[Mês],R15),0)</f>
        <v>55</v>
      </c>
    </row>
    <row r="16" spans="2:27" x14ac:dyDescent="0.25">
      <c r="B16" s="20" t="s">
        <v>29</v>
      </c>
      <c r="C16" s="19">
        <f>SUMIFS(Dados[Horas Disp.],Dados[Setores],B16,Dados[Ano],Ano,Dados[Mês],Mes)</f>
        <v>16</v>
      </c>
      <c r="D16" s="19">
        <f>SUMIFS(Dados[Horas Disp.],Dados[Setores],B16,Dados[Ano],Ano)</f>
        <v>264</v>
      </c>
      <c r="E16" s="19">
        <f>SUMIFS(Dados[H. Ativas],Dados[Setores],B16,Dados[Ano],Ano,Dados[Mês],Mes)</f>
        <v>15.42</v>
      </c>
      <c r="F16" s="19">
        <f>SUMIFS(Dados[H. Ativas],Dados[Setores],B16,Dados[Ano],Ano)</f>
        <v>246.58999999999995</v>
      </c>
      <c r="G16" s="19">
        <f>SUMIFS(Dados[H. Inativas],Dados[Setores],B16,Dados[Ano],Ano,Dados[Mês],Mes)</f>
        <v>0.58000000000000007</v>
      </c>
      <c r="H16" s="19">
        <f>SUMIFS(Dados[H. Inativas],Dados[Setores],B16,Dados[Ano],Ano)</f>
        <v>17.41</v>
      </c>
      <c r="J16" s="43"/>
      <c r="K16" s="56" t="s">
        <v>72</v>
      </c>
      <c r="M16" s="58">
        <v>7</v>
      </c>
      <c r="N16" s="43" t="s">
        <v>102</v>
      </c>
      <c r="O16" s="52">
        <f>SUMIFS(Dados[Vol. Líquido],Dados[Setores],Setor,Dados[Ano],Ano,Dados[Mês],M16)</f>
        <v>750.96</v>
      </c>
      <c r="P16" s="51">
        <f>COUNTIFS(Dados[Setores],Setor,Dados[Ano],Ano,Dados[Mês],M16)</f>
        <v>2</v>
      </c>
    </row>
    <row r="17" spans="2:33" x14ac:dyDescent="0.25">
      <c r="B17" s="20" t="s">
        <v>30</v>
      </c>
      <c r="C17" s="19">
        <f>SUMIFS(Dados[Horas Disp.],Dados[Setores],B17,Dados[Ano],Ano,Dados[Mês],Mes)</f>
        <v>16</v>
      </c>
      <c r="D17" s="19">
        <f>SUMIFS(Dados[Horas Disp.],Dados[Setores],B17,Dados[Ano],Ano)</f>
        <v>240</v>
      </c>
      <c r="E17" s="19">
        <f>SUMIFS(Dados[H. Ativas],Dados[Setores],B17,Dados[Ano],Ano,Dados[Mês],Mes)</f>
        <v>14.59</v>
      </c>
      <c r="F17" s="19">
        <f>SUMIFS(Dados[H. Ativas],Dados[Setores],B17,Dados[Ano],Ano)</f>
        <v>222.14000000000001</v>
      </c>
      <c r="G17" s="19">
        <f>SUMIFS(Dados[H. Inativas],Dados[Setores],B17,Dados[Ano],Ano,Dados[Mês],Mes)</f>
        <v>1.41</v>
      </c>
      <c r="H17" s="19">
        <f>SUMIFS(Dados[H. Inativas],Dados[Setores],B17,Dados[Ano],Ano)</f>
        <v>17.860000000000007</v>
      </c>
      <c r="J17" s="43"/>
      <c r="K17" s="56" t="s">
        <v>73</v>
      </c>
      <c r="M17" s="58">
        <v>8</v>
      </c>
      <c r="N17" s="43" t="s">
        <v>103</v>
      </c>
      <c r="O17" s="52">
        <f>SUMIFS(Dados[Vol. Líquido],Dados[Setores],Setor,Dados[Ano],Ano,Dados[Mês],M17)</f>
        <v>825.81</v>
      </c>
      <c r="P17" s="51">
        <f>COUNTIFS(Dados[Setores],Setor,Dados[Ano],Ano,Dados[Mês],M17)</f>
        <v>2</v>
      </c>
      <c r="R17" s="77" t="s">
        <v>113</v>
      </c>
      <c r="S17" s="78"/>
      <c r="T17" s="78" t="s">
        <v>113</v>
      </c>
      <c r="U17" s="78"/>
      <c r="V17" s="79" t="s">
        <v>113</v>
      </c>
      <c r="W17" s="79"/>
      <c r="X17" s="80" t="s">
        <v>124</v>
      </c>
      <c r="Y17" s="80" t="s">
        <v>124</v>
      </c>
      <c r="Z17" s="81" t="s">
        <v>124</v>
      </c>
    </row>
    <row r="18" spans="2:33" x14ac:dyDescent="0.25">
      <c r="J18" s="43"/>
      <c r="K18" s="56" t="s">
        <v>74</v>
      </c>
      <c r="M18" s="58">
        <v>9</v>
      </c>
      <c r="N18" s="43" t="s">
        <v>104</v>
      </c>
      <c r="O18" s="52">
        <f>SUMIFS(Dados[Vol. Líquido],Dados[Setores],Setor,Dados[Ano],Ano,Dados[Mês],M18)</f>
        <v>715.12</v>
      </c>
      <c r="P18" s="51">
        <f>COUNTIFS(Dados[Setores],Setor,Dados[Ano],Ano,Dados[Mês],M18)</f>
        <v>2</v>
      </c>
      <c r="R18" s="82" t="s">
        <v>9</v>
      </c>
      <c r="S18" s="83"/>
      <c r="T18" s="83" t="s">
        <v>10</v>
      </c>
      <c r="U18" s="83"/>
      <c r="V18" s="84" t="s">
        <v>11</v>
      </c>
      <c r="W18" s="85"/>
      <c r="X18" s="84" t="s">
        <v>125</v>
      </c>
      <c r="Y18" s="84" t="s">
        <v>126</v>
      </c>
      <c r="Z18" s="86" t="s">
        <v>127</v>
      </c>
    </row>
    <row r="19" spans="2:33" x14ac:dyDescent="0.25">
      <c r="B19" s="57" t="s">
        <v>91</v>
      </c>
      <c r="C19" s="57"/>
      <c r="D19" s="57"/>
      <c r="F19" s="57" t="s">
        <v>92</v>
      </c>
      <c r="G19" s="57"/>
      <c r="H19" s="57"/>
      <c r="J19" s="43"/>
      <c r="K19" s="56" t="s">
        <v>75</v>
      </c>
      <c r="M19" s="58">
        <v>10</v>
      </c>
      <c r="N19" s="43" t="s">
        <v>105</v>
      </c>
      <c r="O19" s="52">
        <f>SUMIFS(Dados[Vol. Líquido],Dados[Setores],Setor,Dados[Ano],Ano,Dados[Mês],M19)</f>
        <v>741</v>
      </c>
      <c r="P19" s="51">
        <f>COUNTIFS(Dados[Setores],Setor,Dados[Ano],Ano,Dados[Mês],M19)</f>
        <v>2</v>
      </c>
      <c r="R19" s="42" t="s">
        <v>114</v>
      </c>
      <c r="S19" s="42" t="s">
        <v>115</v>
      </c>
      <c r="T19" s="42" t="s">
        <v>114</v>
      </c>
      <c r="U19" s="42" t="s">
        <v>115</v>
      </c>
      <c r="V19" s="42" t="s">
        <v>114</v>
      </c>
      <c r="W19" s="42" t="s">
        <v>115</v>
      </c>
      <c r="X19" s="26">
        <v>1</v>
      </c>
      <c r="Y19" s="26">
        <v>1</v>
      </c>
      <c r="Z19" s="26">
        <v>1</v>
      </c>
    </row>
    <row r="20" spans="2:33" x14ac:dyDescent="0.25">
      <c r="B20" s="42" t="s">
        <v>1</v>
      </c>
      <c r="C20" s="42" t="s">
        <v>24</v>
      </c>
      <c r="D20" s="42" t="s">
        <v>23</v>
      </c>
      <c r="F20" s="42" t="s">
        <v>1</v>
      </c>
      <c r="G20" s="42" t="s">
        <v>24</v>
      </c>
      <c r="H20" s="42" t="s">
        <v>23</v>
      </c>
      <c r="J20" s="43"/>
      <c r="K20" s="56" t="s">
        <v>76</v>
      </c>
      <c r="M20" s="58">
        <v>11</v>
      </c>
      <c r="N20" s="43" t="s">
        <v>106</v>
      </c>
      <c r="O20" s="52">
        <f>SUMIFS(Dados[Vol. Líquido],Dados[Setores],Setor,Dados[Ano],Ano,Dados[Mês],M20)</f>
        <v>1201.02</v>
      </c>
      <c r="P20" s="51">
        <f>COUNTIFS(Dados[Setores],Setor,Dados[Ano],Ano,Dados[Mês],M20)</f>
        <v>4</v>
      </c>
      <c r="R20" s="43" t="s">
        <v>119</v>
      </c>
      <c r="S20" s="44">
        <v>0.1</v>
      </c>
      <c r="T20" s="43" t="s">
        <v>119</v>
      </c>
      <c r="U20" s="44">
        <v>0.1</v>
      </c>
      <c r="V20" s="43" t="s">
        <v>119</v>
      </c>
      <c r="W20" s="44">
        <v>0.1</v>
      </c>
      <c r="X20" s="26">
        <v>1</v>
      </c>
      <c r="Y20" s="26">
        <v>1</v>
      </c>
      <c r="Z20" s="26">
        <v>1</v>
      </c>
      <c r="AC20" s="33"/>
      <c r="AD20" s="33"/>
      <c r="AE20" s="33"/>
      <c r="AF20" s="33"/>
      <c r="AG20" s="33"/>
    </row>
    <row r="21" spans="2:33" x14ac:dyDescent="0.25">
      <c r="B21" s="65" t="s">
        <v>13</v>
      </c>
      <c r="C21" s="66">
        <f>SUMIFS(Dados[Vol. Líquido],Dados[Nome],B21,Dados[Ano],Ano,Dados[Mês],Mes)</f>
        <v>349.67</v>
      </c>
      <c r="D21" s="66">
        <f>SUMIFS(Dados[Vol. Líquido],Dados[Nome],B21,Dados[Ano],Ano)</f>
        <v>5894.7749999999996</v>
      </c>
      <c r="F21" s="65" t="s">
        <v>13</v>
      </c>
      <c r="G21" s="66">
        <f>SUMIFS(Dados[V. Refugo],Dados[Nome],F21,Dados[Ano],Ano,Dados[Mês],Mes)</f>
        <v>28.67</v>
      </c>
      <c r="H21" s="66">
        <f>SUMIFS(Dados[V. Refugo],Dados[Nome],F21,Dados[Ano],Ano)</f>
        <v>291.88400000000001</v>
      </c>
      <c r="J21" s="43"/>
      <c r="K21" s="56" t="s">
        <v>77</v>
      </c>
      <c r="M21" s="58">
        <v>12</v>
      </c>
      <c r="N21" s="43" t="s">
        <v>107</v>
      </c>
      <c r="O21" s="52">
        <f>SUMIFS(Dados[Vol. Líquido],Dados[Setores],Setor,Dados[Ano],Ano,Dados[Mês],M21)</f>
        <v>799.72</v>
      </c>
      <c r="P21" s="51">
        <f>COUNTIFS(Dados[Setores],Setor,Dados[Ano],Ano,Dados[Mês],M21)</f>
        <v>2</v>
      </c>
      <c r="R21" s="43" t="s">
        <v>120</v>
      </c>
      <c r="S21" s="44">
        <v>0.1</v>
      </c>
      <c r="T21" s="43" t="s">
        <v>120</v>
      </c>
      <c r="U21" s="44">
        <v>0.1</v>
      </c>
      <c r="V21" s="43" t="s">
        <v>120</v>
      </c>
      <c r="W21" s="44">
        <v>0.1</v>
      </c>
      <c r="X21" s="26">
        <v>1</v>
      </c>
      <c r="Y21" s="26">
        <v>1</v>
      </c>
      <c r="Z21" s="26">
        <v>1</v>
      </c>
      <c r="AC21" s="33"/>
      <c r="AD21" s="33"/>
      <c r="AE21" s="33"/>
      <c r="AF21" s="33"/>
      <c r="AG21" s="33"/>
    </row>
    <row r="22" spans="2:33" x14ac:dyDescent="0.25">
      <c r="B22" s="65" t="s">
        <v>14</v>
      </c>
      <c r="C22" s="66">
        <f>SUMIFS(Dados[Vol. Líquido],Dados[Nome],B22,Dados[Ano],Ano,Dados[Mês],Mes)</f>
        <v>410.3</v>
      </c>
      <c r="D22" s="66">
        <f>SUMIFS(Dados[Vol. Líquido],Dados[Nome],B22,Dados[Ano],Ano)</f>
        <v>6357.6170000000002</v>
      </c>
      <c r="F22" s="65" t="s">
        <v>14</v>
      </c>
      <c r="G22" s="66">
        <f>SUMIFS(Dados[V. Refugo],Dados[Nome],F22,Dados[Ano],Ano,Dados[Mês],Mes)</f>
        <v>2.4500000000000002</v>
      </c>
      <c r="H22" s="66">
        <f>SUMIFS(Dados[V. Refugo],Dados[Nome],F22,Dados[Ano],Ano)</f>
        <v>211.661</v>
      </c>
      <c r="M22" s="49"/>
      <c r="N22" s="43" t="s">
        <v>129</v>
      </c>
      <c r="O22" s="59">
        <f>SUM(O10:O21)</f>
        <v>10529.701999999999</v>
      </c>
      <c r="P22" s="49"/>
      <c r="R22" s="43" t="s">
        <v>121</v>
      </c>
      <c r="S22" s="44">
        <v>0.6</v>
      </c>
      <c r="T22" s="43" t="s">
        <v>121</v>
      </c>
      <c r="U22" s="44">
        <v>0.6</v>
      </c>
      <c r="V22" s="43" t="s">
        <v>121</v>
      </c>
      <c r="W22" s="44">
        <v>0.6</v>
      </c>
      <c r="X22" s="26">
        <v>1</v>
      </c>
      <c r="Y22" s="26">
        <v>1</v>
      </c>
      <c r="Z22" s="26">
        <v>1</v>
      </c>
      <c r="AC22" s="33"/>
      <c r="AD22" s="33"/>
      <c r="AE22" s="33"/>
      <c r="AF22" s="33"/>
      <c r="AG22" s="33"/>
    </row>
    <row r="23" spans="2:33" x14ac:dyDescent="0.25">
      <c r="B23" s="65" t="s">
        <v>15</v>
      </c>
      <c r="C23" s="66">
        <f>SUMIFS(Dados[Vol. Líquido],Dados[Nome],B23,Dados[Ano],Ano,Dados[Mês],Mes)</f>
        <v>395.6</v>
      </c>
      <c r="D23" s="66">
        <f>SUMIFS(Dados[Vol. Líquido],Dados[Nome],B23,Dados[Ano],Ano)</f>
        <v>4604.6449999999995</v>
      </c>
      <c r="F23" s="65" t="s">
        <v>15</v>
      </c>
      <c r="G23" s="66">
        <f>SUMIFS(Dados[V. Refugo],Dados[Nome],F23,Dados[Ano],Ano,Dados[Mês],Mes)</f>
        <v>5.6</v>
      </c>
      <c r="H23" s="66">
        <f>SUMIFS(Dados[V. Refugo],Dados[Nome],F23,Dados[Ano],Ano)</f>
        <v>224.351</v>
      </c>
      <c r="J23" s="34"/>
      <c r="K23" s="34"/>
      <c r="R23" s="43" t="s">
        <v>122</v>
      </c>
      <c r="S23" s="44">
        <v>0.1</v>
      </c>
      <c r="T23" s="43" t="s">
        <v>122</v>
      </c>
      <c r="U23" s="44">
        <v>0.1</v>
      </c>
      <c r="V23" s="43" t="s">
        <v>122</v>
      </c>
      <c r="W23" s="44">
        <v>0.1</v>
      </c>
      <c r="X23" s="26">
        <v>1</v>
      </c>
      <c r="Y23" s="26">
        <v>1</v>
      </c>
      <c r="Z23" s="26">
        <v>1</v>
      </c>
      <c r="AC23" s="33"/>
      <c r="AD23" s="33"/>
      <c r="AE23" s="33"/>
      <c r="AF23" s="33"/>
      <c r="AG23" s="33"/>
    </row>
    <row r="24" spans="2:33" x14ac:dyDescent="0.25">
      <c r="B24" s="65" t="s">
        <v>16</v>
      </c>
      <c r="C24" s="66">
        <f>SUMIFS(Dados[Vol. Líquido],Dados[Nome],B24,Dados[Ano],Ano,Dados[Mês],Mes)</f>
        <v>430.5</v>
      </c>
      <c r="D24" s="66">
        <f>SUMIFS(Dados[Vol. Líquido],Dados[Nome],B24,Dados[Ano],Ano)</f>
        <v>5271.7220000000007</v>
      </c>
      <c r="F24" s="65" t="s">
        <v>16</v>
      </c>
      <c r="G24" s="66">
        <f>SUMIFS(Dados[V. Refugo],Dados[Nome],F24,Dados[Ano],Ano,Dados[Mês],Mes)</f>
        <v>1.23</v>
      </c>
      <c r="H24" s="66">
        <f>SUMIFS(Dados[V. Refugo],Dados[Nome],F24,Dados[Ano],Ano)</f>
        <v>216.10900000000004</v>
      </c>
      <c r="J24" s="67" t="s">
        <v>133</v>
      </c>
      <c r="K24" s="67"/>
      <c r="R24" s="43" t="s">
        <v>123</v>
      </c>
      <c r="S24" s="44">
        <v>0.1</v>
      </c>
      <c r="T24" s="43" t="s">
        <v>123</v>
      </c>
      <c r="U24" s="44">
        <v>0.1</v>
      </c>
      <c r="V24" s="43" t="s">
        <v>123</v>
      </c>
      <c r="W24" s="44">
        <v>0.1</v>
      </c>
      <c r="X24" s="26">
        <v>1</v>
      </c>
      <c r="Y24" s="26">
        <v>1</v>
      </c>
      <c r="Z24" s="26">
        <v>1</v>
      </c>
      <c r="AC24" s="33"/>
      <c r="AD24" s="33"/>
      <c r="AE24" s="33"/>
      <c r="AF24" s="33"/>
      <c r="AG24" s="33"/>
    </row>
    <row r="25" spans="2:33" x14ac:dyDescent="0.25">
      <c r="B25" s="65" t="s">
        <v>17</v>
      </c>
      <c r="C25" s="66">
        <f>SUMIFS(Dados[Vol. Líquido],Dados[Nome],B25,Dados[Ano],Ano,Dados[Mês],Mes)</f>
        <v>639.70000000000005</v>
      </c>
      <c r="D25" s="66">
        <f>SUMIFS(Dados[Vol. Líquido],Dados[Nome],B25,Dados[Ano],Ano)</f>
        <v>6606.6379999999999</v>
      </c>
      <c r="F25" s="65" t="s">
        <v>17</v>
      </c>
      <c r="G25" s="66">
        <f>SUMIFS(Dados[V. Refugo],Dados[Nome],F25,Dados[Ano],Ano,Dados[Mês],Mes)</f>
        <v>70.290000000000006</v>
      </c>
      <c r="H25" s="66">
        <f>SUMIFS(Dados[V. Refugo],Dados[Nome],F25,Dados[Ano],Ano)</f>
        <v>285.26499999999993</v>
      </c>
      <c r="J25" s="68" t="s">
        <v>26</v>
      </c>
      <c r="K25" s="69">
        <f>AVERAGEIFS(Dados[Meta Real],Dados[Setores],J25,Dados[Ano],Ano,Dados[Mês],Mes)</f>
        <v>52.718201618253644</v>
      </c>
      <c r="S25" s="44">
        <v>0.2</v>
      </c>
      <c r="U25" s="44">
        <v>0.2</v>
      </c>
      <c r="V25"/>
      <c r="W25" s="45">
        <v>0.2</v>
      </c>
      <c r="X25" s="26">
        <v>1</v>
      </c>
      <c r="Y25" s="26">
        <v>1</v>
      </c>
      <c r="Z25" s="26">
        <v>1</v>
      </c>
      <c r="AC25" s="33"/>
      <c r="AD25" s="33"/>
      <c r="AE25" s="33"/>
      <c r="AF25" s="33"/>
      <c r="AG25" s="33"/>
    </row>
    <row r="26" spans="2:33" x14ac:dyDescent="0.25">
      <c r="B26" s="65" t="s">
        <v>18</v>
      </c>
      <c r="C26" s="66">
        <f>SUMIFS(Dados[Vol. Líquido],Dados[Nome],B26,Dados[Ano],Ano,Dados[Mês],Mes)</f>
        <v>378.4</v>
      </c>
      <c r="D26" s="66">
        <f>SUMIFS(Dados[Vol. Líquido],Dados[Nome],B26,Dados[Ano],Ano)</f>
        <v>5257.98</v>
      </c>
      <c r="F26" s="65" t="s">
        <v>18</v>
      </c>
      <c r="G26" s="66">
        <f>SUMIFS(Dados[V. Refugo],Dados[Nome],F26,Dados[Ano],Ano,Dados[Mês],Mes)</f>
        <v>9.1999999999999993</v>
      </c>
      <c r="H26" s="66">
        <f>SUMIFS(Dados[V. Refugo],Dados[Nome],F26,Dados[Ano],Ano)</f>
        <v>181.62200000000001</v>
      </c>
      <c r="J26" s="68" t="s">
        <v>27</v>
      </c>
      <c r="K26" s="69">
        <f>AVERAGEIFS(Dados[Meta Real],Dados[Setores],J26,Dados[Ano],Ano,Dados[Mês],Mes)</f>
        <v>49.940052973513247</v>
      </c>
      <c r="S26" s="44">
        <v>0.2</v>
      </c>
      <c r="U26" s="44">
        <v>0.2</v>
      </c>
      <c r="V26"/>
      <c r="W26" s="45">
        <v>0.2</v>
      </c>
      <c r="X26" s="26">
        <v>1</v>
      </c>
      <c r="Y26" s="26">
        <v>1</v>
      </c>
      <c r="Z26" s="26">
        <v>1</v>
      </c>
      <c r="AC26" s="33"/>
      <c r="AD26" s="33"/>
      <c r="AE26" s="33"/>
      <c r="AF26" s="33"/>
      <c r="AG26" s="33"/>
    </row>
    <row r="27" spans="2:33" x14ac:dyDescent="0.25">
      <c r="B27" s="65" t="s">
        <v>19</v>
      </c>
      <c r="C27" s="66">
        <f>SUMIFS(Dados[Vol. Líquido],Dados[Nome],B27,Dados[Ano],Ano,Dados[Mês],Mes)</f>
        <v>407.9</v>
      </c>
      <c r="D27" s="66">
        <f>SUMIFS(Dados[Vol. Líquido],Dados[Nome],B27,Dados[Ano],Ano)</f>
        <v>5486.7430000000004</v>
      </c>
      <c r="F27" s="65" t="s">
        <v>19</v>
      </c>
      <c r="G27" s="66">
        <f>SUMIFS(Dados[V. Refugo],Dados[Nome],F27,Dados[Ano],Ano,Dados[Mês],Mes)</f>
        <v>6.7</v>
      </c>
      <c r="H27" s="66">
        <f>SUMIFS(Dados[V. Refugo],Dados[Nome],F27,Dados[Ano],Ano)</f>
        <v>187.26400000000001</v>
      </c>
      <c r="J27" s="68" t="s">
        <v>28</v>
      </c>
      <c r="K27" s="69">
        <f>AVERAGEIFS(Dados[Meta Real],Dados[Setores],J27,Dados[Ano],Ano,Dados[Mês],Mes)</f>
        <v>52.378078577366537</v>
      </c>
      <c r="S27" s="44">
        <v>0.2</v>
      </c>
      <c r="U27" s="44">
        <v>0.2</v>
      </c>
      <c r="V27"/>
      <c r="W27" s="45">
        <v>0.2</v>
      </c>
      <c r="X27" s="26">
        <v>1</v>
      </c>
      <c r="Y27" s="26">
        <v>1</v>
      </c>
      <c r="Z27" s="26">
        <v>1</v>
      </c>
      <c r="AC27" s="33"/>
      <c r="AD27" s="33"/>
      <c r="AE27" s="33"/>
      <c r="AF27" s="33"/>
      <c r="AG27" s="33"/>
    </row>
    <row r="28" spans="2:33" x14ac:dyDescent="0.25">
      <c r="B28" s="65" t="s">
        <v>20</v>
      </c>
      <c r="C28" s="66">
        <f>SUMIFS(Dados[Vol. Líquido],Dados[Nome],B28,Dados[Ano],Ano,Dados[Mês],Mes)</f>
        <v>0</v>
      </c>
      <c r="D28" s="66">
        <f>SUMIFS(Dados[Vol. Líquido],Dados[Nome],B28,Dados[Ano],Ano)</f>
        <v>4924.58</v>
      </c>
      <c r="F28" s="65" t="s">
        <v>20</v>
      </c>
      <c r="G28" s="66">
        <f>SUMIFS(Dados[V. Refugo],Dados[Nome],F28,Dados[Ano],Ano,Dados[Mês],Mes)</f>
        <v>0</v>
      </c>
      <c r="H28" s="66">
        <f>SUMIFS(Dados[V. Refugo],Dados[Nome],F28,Dados[Ano],Ano)</f>
        <v>107.92900000000002</v>
      </c>
      <c r="J28" s="68" t="s">
        <v>29</v>
      </c>
      <c r="K28" s="69">
        <f>AVERAGEIFS(Dados[Meta Real],Dados[Setores],J28,Dados[Ano],Ano,Dados[Mês],Mes)</f>
        <v>53.655166757791143</v>
      </c>
      <c r="S28" s="44">
        <v>0.2</v>
      </c>
      <c r="U28" s="44">
        <v>0.2</v>
      </c>
      <c r="V28"/>
      <c r="W28" s="45">
        <v>0.2</v>
      </c>
      <c r="X28" s="26">
        <v>1</v>
      </c>
      <c r="Y28" s="26">
        <v>1</v>
      </c>
      <c r="Z28" s="26">
        <v>1</v>
      </c>
      <c r="AC28" s="33"/>
      <c r="AD28" s="33"/>
      <c r="AE28" s="33"/>
      <c r="AF28" s="33"/>
      <c r="AG28" s="33"/>
    </row>
    <row r="29" spans="2:33" x14ac:dyDescent="0.25">
      <c r="B29" s="65" t="s">
        <v>21</v>
      </c>
      <c r="C29" s="66">
        <f>SUMIFS(Dados[Vol. Líquido],Dados[Nome],B29,Dados[Ano],Ano,Dados[Mês],Mes)</f>
        <v>380.7</v>
      </c>
      <c r="D29" s="66">
        <f>SUMIFS(Dados[Vol. Líquido],Dados[Nome],B29,Dados[Ano],Ano)</f>
        <v>5714.8969999999999</v>
      </c>
      <c r="F29" s="65" t="s">
        <v>21</v>
      </c>
      <c r="G29" s="66">
        <f>SUMIFS(Dados[V. Refugo],Dados[Nome],F29,Dados[Ano],Ano,Dados[Mês],Mes)</f>
        <v>3.3</v>
      </c>
      <c r="H29" s="66">
        <f>SUMIFS(Dados[V. Refugo],Dados[Nome],F29,Dados[Ano],Ano)</f>
        <v>174.42000000000002</v>
      </c>
      <c r="J29" s="68" t="s">
        <v>30</v>
      </c>
      <c r="K29" s="69">
        <f>AVERAGEIFS(Dados[Meta Real],Dados[Setores],J29,Dados[Ano],Ano,Dados[Mês],Mes)</f>
        <v>56.121606762228062</v>
      </c>
      <c r="S29" s="44">
        <v>0.2</v>
      </c>
      <c r="U29" s="44">
        <v>0.2</v>
      </c>
      <c r="V29"/>
      <c r="W29" s="45">
        <v>0.2</v>
      </c>
      <c r="X29" s="26">
        <v>1</v>
      </c>
      <c r="Y29" s="26">
        <v>1</v>
      </c>
      <c r="Z29" s="26">
        <v>1</v>
      </c>
      <c r="AC29" s="33"/>
      <c r="AD29" s="33"/>
      <c r="AE29" s="33"/>
      <c r="AF29" s="33"/>
      <c r="AG29" s="33"/>
    </row>
    <row r="30" spans="2:33" x14ac:dyDescent="0.25">
      <c r="B30" s="65" t="s">
        <v>22</v>
      </c>
      <c r="C30" s="66">
        <f>SUMIFS(Dados[Vol. Líquido],Dados[Nome],B30,Dados[Ano],Ano,Dados[Mês],Mes)</f>
        <v>401.55</v>
      </c>
      <c r="D30" s="66">
        <f>SUMIFS(Dados[Vol. Líquido],Dados[Nome],B30,Dados[Ano],Ano)</f>
        <v>4623.5880000000006</v>
      </c>
      <c r="F30" s="65" t="s">
        <v>22</v>
      </c>
      <c r="G30" s="66">
        <f>SUMIFS(Dados[V. Refugo],Dados[Nome],F30,Dados[Ano],Ano,Dados[Mês],Mes)</f>
        <v>4.3209999999999997</v>
      </c>
      <c r="H30" s="66">
        <f>SUMIFS(Dados[V. Refugo],Dados[Nome],F30,Dados[Ano],Ano)</f>
        <v>220.84500000000003</v>
      </c>
      <c r="V30"/>
      <c r="X30" s="26">
        <v>1</v>
      </c>
      <c r="Y30" s="26">
        <v>1</v>
      </c>
      <c r="Z30" s="26">
        <v>1</v>
      </c>
      <c r="AC30" s="33"/>
      <c r="AD30" s="33"/>
      <c r="AE30" s="33"/>
      <c r="AF30" s="33"/>
      <c r="AG30" s="33"/>
    </row>
    <row r="31" spans="2:33" x14ac:dyDescent="0.25">
      <c r="B31" s="70"/>
      <c r="C31" s="71"/>
      <c r="R31" s="42" t="s">
        <v>116</v>
      </c>
      <c r="S31" s="46">
        <v>2</v>
      </c>
      <c r="T31" s="42" t="s">
        <v>116</v>
      </c>
      <c r="U31" s="46">
        <v>2</v>
      </c>
      <c r="V31" s="42" t="s">
        <v>116</v>
      </c>
      <c r="W31" s="46">
        <v>2</v>
      </c>
      <c r="X31" s="26">
        <v>1</v>
      </c>
      <c r="Y31" s="26">
        <v>1</v>
      </c>
      <c r="Z31" s="26">
        <v>1</v>
      </c>
      <c r="AC31" s="33"/>
      <c r="AD31" s="33"/>
      <c r="AE31" s="33"/>
      <c r="AF31" s="33"/>
      <c r="AG31" s="33"/>
    </row>
    <row r="32" spans="2:33" x14ac:dyDescent="0.25">
      <c r="B32" s="57" t="s">
        <v>93</v>
      </c>
      <c r="C32" s="57"/>
      <c r="D32" s="57"/>
      <c r="F32" s="57" t="s">
        <v>94</v>
      </c>
      <c r="G32" s="57"/>
      <c r="H32" s="57"/>
      <c r="R32" s="43" t="s">
        <v>117</v>
      </c>
      <c r="S32" s="47">
        <f>VLOOKUP(MesExtenso,S4:AA15,3,FALSE)</f>
        <v>0.86234545454545442</v>
      </c>
      <c r="T32" s="43" t="s">
        <v>117</v>
      </c>
      <c r="U32" s="47">
        <f>VLOOKUP(MesExtenso,S4:AA15,4,FALSE)</f>
        <v>0.92881882664690496</v>
      </c>
      <c r="V32" s="43" t="s">
        <v>117</v>
      </c>
      <c r="W32" s="47">
        <f>VLOOKUP(MesExtenso,S4:AA15,5,FALSE)</f>
        <v>0.96219031103578467</v>
      </c>
      <c r="X32" s="26">
        <v>1</v>
      </c>
      <c r="Y32" s="26">
        <v>1</v>
      </c>
      <c r="Z32" s="26">
        <v>1</v>
      </c>
      <c r="AC32" s="33"/>
      <c r="AD32" s="33"/>
      <c r="AE32" s="33"/>
      <c r="AF32" s="33"/>
      <c r="AG32" s="33"/>
    </row>
    <row r="33" spans="2:33" x14ac:dyDescent="0.25">
      <c r="B33" s="42" t="s">
        <v>1</v>
      </c>
      <c r="C33" s="42" t="s">
        <v>24</v>
      </c>
      <c r="D33" s="42" t="s">
        <v>23</v>
      </c>
      <c r="F33" s="42" t="s">
        <v>1</v>
      </c>
      <c r="G33" s="42" t="s">
        <v>24</v>
      </c>
      <c r="H33" s="42" t="s">
        <v>23</v>
      </c>
      <c r="R33" s="43" t="s">
        <v>118</v>
      </c>
      <c r="S33" s="48">
        <v>0</v>
      </c>
      <c r="T33" s="43" t="s">
        <v>118</v>
      </c>
      <c r="U33" s="48">
        <v>0</v>
      </c>
      <c r="V33" s="43" t="s">
        <v>118</v>
      </c>
      <c r="W33" s="48">
        <v>0</v>
      </c>
      <c r="X33" s="26">
        <v>1</v>
      </c>
      <c r="Y33" s="26">
        <v>1</v>
      </c>
      <c r="Z33" s="26">
        <v>1</v>
      </c>
      <c r="AC33" s="33"/>
      <c r="AD33" s="33"/>
      <c r="AE33" s="33"/>
      <c r="AF33" s="33"/>
      <c r="AG33" s="33"/>
    </row>
    <row r="34" spans="2:33" x14ac:dyDescent="0.25">
      <c r="B34" s="65" t="s">
        <v>13</v>
      </c>
      <c r="C34" s="75">
        <f>SUMIFS(Dados[H. Ativas],Dados[Nome],B34,Dados[Ano],Ano,Dados[Mês],Mes)</f>
        <v>7.3</v>
      </c>
      <c r="D34" s="75">
        <f>SUMIFS(Dados[H. Ativas],Dados[Nome],B34,Dados[Ano],Ano)</f>
        <v>126.3</v>
      </c>
      <c r="F34" s="65" t="s">
        <v>13</v>
      </c>
      <c r="G34" s="74">
        <f>SUMIFS(Dados[H. Inativas],Dados[Nome],F34,Dados[Ano],Ano,Dados[Mês],Mes)</f>
        <v>0.7</v>
      </c>
      <c r="H34" s="74">
        <f>SUMIFS(Dados[H. Inativas],Dados[Nome],F34,Dados[Ano],Ano)</f>
        <v>9.7000000000000011</v>
      </c>
      <c r="R34" s="43" t="s">
        <v>111</v>
      </c>
      <c r="S34" s="47">
        <f>S31-S32-S33</f>
        <v>1.1376545454545455</v>
      </c>
      <c r="T34" s="43" t="s">
        <v>111</v>
      </c>
      <c r="U34" s="47">
        <f>U31-U32-U33</f>
        <v>1.0711811733530952</v>
      </c>
      <c r="V34" s="43" t="s">
        <v>111</v>
      </c>
      <c r="W34" s="47">
        <f>W31-W32-W33</f>
        <v>1.0378096889642152</v>
      </c>
      <c r="X34" s="26">
        <v>1</v>
      </c>
      <c r="Y34" s="26">
        <v>1</v>
      </c>
      <c r="Z34" s="26">
        <v>1</v>
      </c>
    </row>
    <row r="35" spans="2:33" x14ac:dyDescent="0.25">
      <c r="B35" s="65" t="s">
        <v>14</v>
      </c>
      <c r="C35" s="75">
        <f>SUMIFS(Dados[H. Ativas],Dados[Nome],B35,Dados[Ano],Ano,Dados[Mês],Mes)</f>
        <v>7.67</v>
      </c>
      <c r="D35" s="75">
        <f>SUMIFS(Dados[H. Ativas],Dados[Nome],B35,Dados[Ano],Ano)</f>
        <v>134.82</v>
      </c>
      <c r="F35" s="65" t="s">
        <v>14</v>
      </c>
      <c r="G35" s="74">
        <f>SUMIFS(Dados[H. Inativas],Dados[Nome],F35,Dados[Ano],Ano,Dados[Mês],Mes)</f>
        <v>0.33</v>
      </c>
      <c r="H35" s="74">
        <f>SUMIFS(Dados[H. Inativas],Dados[Nome],F35,Dados[Ano],Ano)</f>
        <v>9.18</v>
      </c>
      <c r="V35"/>
      <c r="X35" s="26">
        <v>1</v>
      </c>
      <c r="Y35" s="26">
        <v>1</v>
      </c>
      <c r="Z35" s="26">
        <v>1</v>
      </c>
    </row>
    <row r="36" spans="2:33" x14ac:dyDescent="0.25">
      <c r="B36" s="65" t="s">
        <v>15</v>
      </c>
      <c r="C36" s="75">
        <f>SUMIFS(Dados[H. Ativas],Dados[Nome],B36,Dados[Ano],Ano,Dados[Mês],Mes)</f>
        <v>7.58</v>
      </c>
      <c r="D36" s="75">
        <f>SUMIFS(Dados[H. Ativas],Dados[Nome],B36,Dados[Ano],Ano)</f>
        <v>100.66000000000001</v>
      </c>
      <c r="F36" s="65" t="s">
        <v>15</v>
      </c>
      <c r="G36" s="74">
        <f>SUMIFS(Dados[H. Inativas],Dados[Nome],F36,Dados[Ano],Ano,Dados[Mês],Mes)</f>
        <v>0.42</v>
      </c>
      <c r="H36" s="74">
        <f>SUMIFS(Dados[H. Inativas],Dados[Nome],F36,Dados[Ano],Ano)</f>
        <v>11.34</v>
      </c>
      <c r="V36"/>
      <c r="X36" s="26">
        <v>1</v>
      </c>
      <c r="Y36" s="26">
        <v>1</v>
      </c>
      <c r="Z36" s="26">
        <v>1</v>
      </c>
    </row>
    <row r="37" spans="2:33" x14ac:dyDescent="0.25">
      <c r="B37" s="65" t="s">
        <v>16</v>
      </c>
      <c r="C37" s="75">
        <f>SUMIFS(Dados[H. Ativas],Dados[Nome],B37,Dados[Ano],Ano,Dados[Mês],Mes)</f>
        <v>7.42</v>
      </c>
      <c r="D37" s="75">
        <f>SUMIFS(Dados[H. Ativas],Dados[Nome],B37,Dados[Ano],Ano)</f>
        <v>112.08000000000001</v>
      </c>
      <c r="F37" s="65" t="s">
        <v>16</v>
      </c>
      <c r="G37" s="74">
        <f>SUMIFS(Dados[H. Inativas],Dados[Nome],F37,Dados[Ano],Ano,Dados[Mês],Mes)</f>
        <v>0.57999999999999996</v>
      </c>
      <c r="H37" s="74">
        <f>SUMIFS(Dados[H. Inativas],Dados[Nome],F37,Dados[Ano],Ano)</f>
        <v>7.92</v>
      </c>
      <c r="V37"/>
      <c r="X37" s="26">
        <v>1</v>
      </c>
      <c r="Y37" s="26">
        <v>1</v>
      </c>
      <c r="Z37" s="26">
        <v>1</v>
      </c>
    </row>
    <row r="38" spans="2:33" x14ac:dyDescent="0.25">
      <c r="B38" s="65" t="s">
        <v>17</v>
      </c>
      <c r="C38" s="75">
        <f>SUMIFS(Dados[H. Ativas],Dados[Nome],B38,Dados[Ano],Ano,Dados[Mês],Mes)</f>
        <v>14.17</v>
      </c>
      <c r="D38" s="75">
        <f>SUMIFS(Dados[H. Ativas],Dados[Nome],B38,Dados[Ano],Ano)</f>
        <v>136.41000000000003</v>
      </c>
      <c r="F38" s="65" t="s">
        <v>17</v>
      </c>
      <c r="G38" s="74">
        <f>SUMIFS(Dados[H. Inativas],Dados[Nome],F38,Dados[Ano],Ano,Dados[Mês],Mes)</f>
        <v>1.83</v>
      </c>
      <c r="H38" s="74">
        <f>SUMIFS(Dados[H. Inativas],Dados[Nome],F38,Dados[Ano],Ano)</f>
        <v>7.59</v>
      </c>
      <c r="V38"/>
      <c r="X38" s="26">
        <v>1</v>
      </c>
      <c r="Y38" s="26">
        <v>1</v>
      </c>
      <c r="Z38" s="26">
        <v>1</v>
      </c>
    </row>
    <row r="39" spans="2:33" x14ac:dyDescent="0.25">
      <c r="B39" s="65" t="s">
        <v>18</v>
      </c>
      <c r="C39" s="75">
        <f>SUMIFS(Dados[H. Ativas],Dados[Nome],B39,Dados[Ano],Ano,Dados[Mês],Mes)</f>
        <v>7.17</v>
      </c>
      <c r="D39" s="75">
        <f>SUMIFS(Dados[H. Ativas],Dados[Nome],B39,Dados[Ano],Ano)</f>
        <v>110.06</v>
      </c>
      <c r="F39" s="65" t="s">
        <v>18</v>
      </c>
      <c r="G39" s="74">
        <f>SUMIFS(Dados[H. Inativas],Dados[Nome],F39,Dados[Ano],Ano,Dados[Mês],Mes)</f>
        <v>0.83</v>
      </c>
      <c r="H39" s="74">
        <f>SUMIFS(Dados[H. Inativas],Dados[Nome],F39,Dados[Ano],Ano)</f>
        <v>9.94</v>
      </c>
      <c r="V39"/>
      <c r="Z39" s="25"/>
    </row>
    <row r="40" spans="2:33" x14ac:dyDescent="0.25">
      <c r="B40" s="65" t="s">
        <v>19</v>
      </c>
      <c r="C40" s="75">
        <f>SUMIFS(Dados[H. Ativas],Dados[Nome],B40,Dados[Ano],Ano,Dados[Mês],Mes)</f>
        <v>7.75</v>
      </c>
      <c r="D40" s="75">
        <f>SUMIFS(Dados[H. Ativas],Dados[Nome],B40,Dados[Ano],Ano)</f>
        <v>111.77000000000001</v>
      </c>
      <c r="F40" s="65" t="s">
        <v>19</v>
      </c>
      <c r="G40" s="74">
        <f>SUMIFS(Dados[H. Inativas],Dados[Nome],F40,Dados[Ano],Ano,Dados[Mês],Mes)</f>
        <v>0.25</v>
      </c>
      <c r="H40" s="74">
        <f>SUMIFS(Dados[H. Inativas],Dados[Nome],F40,Dados[Ano],Ano)</f>
        <v>8.23</v>
      </c>
      <c r="V40"/>
      <c r="W40" s="42" t="s">
        <v>116</v>
      </c>
      <c r="X40" s="46">
        <v>1</v>
      </c>
      <c r="Y40" s="46">
        <v>1</v>
      </c>
      <c r="Z40" s="46">
        <v>1</v>
      </c>
      <c r="AA40" s="46">
        <v>1</v>
      </c>
      <c r="AB40" s="46">
        <v>1</v>
      </c>
      <c r="AC40" s="33"/>
      <c r="AD40" s="33"/>
      <c r="AE40" s="33"/>
      <c r="AF40" s="33"/>
    </row>
    <row r="41" spans="2:33" x14ac:dyDescent="0.25">
      <c r="B41" s="65" t="s">
        <v>20</v>
      </c>
      <c r="C41" s="75">
        <f>SUMIFS(Dados[H. Ativas],Dados[Nome],B41,Dados[Ano],Ano,Dados[Mês],Mes)</f>
        <v>0</v>
      </c>
      <c r="D41" s="75">
        <f>SUMIFS(Dados[H. Ativas],Dados[Nome],B41,Dados[Ano],Ano)</f>
        <v>104.96</v>
      </c>
      <c r="F41" s="65" t="s">
        <v>20</v>
      </c>
      <c r="G41" s="74">
        <f>SUMIFS(Dados[H. Inativas],Dados[Nome],F41,Dados[Ano],Ano,Dados[Mês],Mes)</f>
        <v>0</v>
      </c>
      <c r="H41" s="74">
        <f>SUMIFS(Dados[H. Inativas],Dados[Nome],F41,Dados[Ano],Ano)</f>
        <v>7.04</v>
      </c>
      <c r="V41"/>
      <c r="W41" s="43" t="s">
        <v>117</v>
      </c>
      <c r="X41" s="47">
        <f>VLOOKUP(MesExtenso,S4:AA15,6,FALSE)</f>
        <v>0.92575000000000007</v>
      </c>
      <c r="Y41" s="47">
        <f>VLOOKUP(MesExtenso,S4:AA15,7,FALSE)</f>
        <v>0.89229113636363633</v>
      </c>
      <c r="Z41" s="47">
        <f>VLOOKUP(MesExtenso,S4:AA15,8,FALSE)</f>
        <v>0.80174421875000002</v>
      </c>
      <c r="AA41" s="90">
        <f>VLOOKUP(MesExtenso,S4:AA15,9,FALSE)</f>
        <v>55</v>
      </c>
      <c r="AB41" s="47">
        <f>VLOOKUP(MesExtenso,S4:AA15,5,FALSE)</f>
        <v>0.96219031103578467</v>
      </c>
      <c r="AC41" s="33"/>
      <c r="AD41" s="33"/>
      <c r="AE41" s="33"/>
      <c r="AF41" s="33"/>
    </row>
    <row r="42" spans="2:33" x14ac:dyDescent="0.25">
      <c r="B42" s="65" t="s">
        <v>21</v>
      </c>
      <c r="C42" s="75">
        <f>SUMIFS(Dados[H. Ativas],Dados[Nome],B42,Dados[Ano],Ano,Dados[Mês],Mes)</f>
        <v>7.67</v>
      </c>
      <c r="D42" s="75">
        <f>SUMIFS(Dados[H. Ativas],Dados[Nome],B42,Dados[Ano],Ano)</f>
        <v>117.2</v>
      </c>
      <c r="F42" s="65" t="s">
        <v>21</v>
      </c>
      <c r="G42" s="74">
        <f>SUMIFS(Dados[H. Inativas],Dados[Nome],F42,Dados[Ano],Ano,Dados[Mês],Mes)</f>
        <v>0.33</v>
      </c>
      <c r="H42" s="74">
        <f>SUMIFS(Dados[H. Inativas],Dados[Nome],F42,Dados[Ano],Ano)</f>
        <v>10.799999999999999</v>
      </c>
      <c r="V42"/>
      <c r="W42" s="43" t="s">
        <v>111</v>
      </c>
      <c r="X42" s="47">
        <f>X40-X41</f>
        <v>7.4249999999999927E-2</v>
      </c>
      <c r="Y42" s="47">
        <f>Y40-Y41</f>
        <v>0.10770886363636367</v>
      </c>
      <c r="Z42" s="47">
        <f>Z40-Z41</f>
        <v>0.19825578124999998</v>
      </c>
      <c r="AA42" s="90">
        <f>AA40-AA41</f>
        <v>-54</v>
      </c>
      <c r="AB42" s="47">
        <f>AB40-AB41</f>
        <v>3.7809688964215327E-2</v>
      </c>
      <c r="AC42" s="33"/>
      <c r="AD42" s="33"/>
    </row>
    <row r="43" spans="2:33" x14ac:dyDescent="0.25">
      <c r="B43" s="65" t="s">
        <v>22</v>
      </c>
      <c r="C43" s="75">
        <f>SUMIFS(Dados[H. Ativas],Dados[Nome],B43,Dados[Ano],Ano,Dados[Mês],Mes)</f>
        <v>7.33</v>
      </c>
      <c r="D43" s="75">
        <f>SUMIFS(Dados[H. Ativas],Dados[Nome],B43,Dados[Ano],Ano)</f>
        <v>102.38</v>
      </c>
      <c r="F43" s="65" t="s">
        <v>22</v>
      </c>
      <c r="G43" s="74">
        <f>SUMIFS(Dados[H. Inativas],Dados[Nome],F43,Dados[Ano],Ano,Dados[Mês],Mes)</f>
        <v>0.67</v>
      </c>
      <c r="H43" s="74">
        <f>SUMIFS(Dados[H. Inativas],Dados[Nome],F43,Dados[Ano],Ano)</f>
        <v>9.6199999999999992</v>
      </c>
      <c r="AB43" s="33"/>
      <c r="AC43" s="33"/>
      <c r="AD43" s="33"/>
    </row>
    <row r="44" spans="2:33" x14ac:dyDescent="0.25">
      <c r="AB44" s="33"/>
      <c r="AC44" s="33"/>
      <c r="AD44" s="33"/>
    </row>
    <row r="45" spans="2:33" x14ac:dyDescent="0.25">
      <c r="I45" s="21"/>
      <c r="J45" s="22"/>
      <c r="AB45" s="33"/>
      <c r="AC45" s="33"/>
      <c r="AD45" s="33"/>
      <c r="AE45" s="33"/>
      <c r="AF45" s="33"/>
    </row>
    <row r="46" spans="2:33" x14ac:dyDescent="0.25">
      <c r="AB46" s="33"/>
      <c r="AC46" s="33"/>
      <c r="AD46" s="33"/>
      <c r="AE46" s="33"/>
      <c r="AF46" s="33"/>
    </row>
    <row r="47" spans="2:33" x14ac:dyDescent="0.25">
      <c r="AB47" s="33"/>
      <c r="AC47" s="33"/>
      <c r="AD47" s="33"/>
      <c r="AE47" s="33"/>
      <c r="AF47" s="33"/>
    </row>
    <row r="48" spans="2:33" x14ac:dyDescent="0.25">
      <c r="AB48" s="33"/>
      <c r="AC48" s="33"/>
      <c r="AD48" s="33"/>
      <c r="AE48" s="33"/>
      <c r="AF48" s="33"/>
    </row>
    <row r="49" spans="28:32" x14ac:dyDescent="0.25">
      <c r="AB49" s="33"/>
      <c r="AC49" s="33"/>
      <c r="AD49" s="33"/>
      <c r="AE49" s="33"/>
      <c r="AF49" s="33"/>
    </row>
    <row r="50" spans="28:32" x14ac:dyDescent="0.25">
      <c r="AB50" s="33"/>
      <c r="AC50" s="33"/>
      <c r="AD50" s="33"/>
      <c r="AE50" s="33"/>
      <c r="AF50" s="33"/>
    </row>
    <row r="51" spans="28:32" x14ac:dyDescent="0.25">
      <c r="AB51" s="33"/>
      <c r="AC51" s="33"/>
      <c r="AD51" s="33"/>
      <c r="AE51" s="33"/>
      <c r="AF51" s="33"/>
    </row>
    <row r="52" spans="28:32" x14ac:dyDescent="0.25">
      <c r="AB52" s="33"/>
      <c r="AC52" s="33"/>
      <c r="AD52" s="33"/>
      <c r="AE52" s="33"/>
      <c r="AF52" s="33"/>
    </row>
    <row r="53" spans="28:32" x14ac:dyDescent="0.25">
      <c r="AB53" s="33"/>
      <c r="AC53" s="33"/>
      <c r="AD53" s="33"/>
      <c r="AE53" s="33"/>
      <c r="AF53" s="33"/>
    </row>
    <row r="54" spans="28:32" x14ac:dyDescent="0.25">
      <c r="AB54" s="33"/>
      <c r="AC54" s="33"/>
      <c r="AD54" s="33"/>
      <c r="AE54" s="33"/>
      <c r="AF54" s="33"/>
    </row>
  </sheetData>
  <sortState xmlns:xlrd2="http://schemas.microsoft.com/office/spreadsheetml/2017/richdata2" ref="I41:J45">
    <sortCondition descending="1" ref="J41:J45"/>
  </sortState>
  <mergeCells count="21">
    <mergeCell ref="B32:D32"/>
    <mergeCell ref="F32:H32"/>
    <mergeCell ref="B2:H2"/>
    <mergeCell ref="J3:K3"/>
    <mergeCell ref="J4:K4"/>
    <mergeCell ref="J5:K5"/>
    <mergeCell ref="J2:M2"/>
    <mergeCell ref="R2:AA2"/>
    <mergeCell ref="R17:S17"/>
    <mergeCell ref="R18:S18"/>
    <mergeCell ref="T17:U17"/>
    <mergeCell ref="T18:U18"/>
    <mergeCell ref="J24:K24"/>
    <mergeCell ref="J8:K8"/>
    <mergeCell ref="M8:P8"/>
    <mergeCell ref="J7:K7"/>
    <mergeCell ref="B11:H11"/>
    <mergeCell ref="B19:D19"/>
    <mergeCell ref="F19:H19"/>
    <mergeCell ref="O2:P2"/>
    <mergeCell ref="J6:K6"/>
  </mergeCells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3F1B-EDD9-49B0-83AF-736AABF18860}">
  <dimension ref="A1:V35"/>
  <sheetViews>
    <sheetView showGridLines="0" tabSelected="1" zoomScaleNormal="100" workbookViewId="0">
      <selection activeCell="X4" sqref="X4"/>
    </sheetView>
  </sheetViews>
  <sheetFormatPr defaultRowHeight="15" x14ac:dyDescent="0.25"/>
  <cols>
    <col min="1" max="1" width="1" customWidth="1"/>
    <col min="2" max="2" width="8.5703125" customWidth="1"/>
    <col min="21" max="21" width="9.140625" customWidth="1"/>
    <col min="22" max="22" width="4.28515625" customWidth="1"/>
  </cols>
  <sheetData>
    <row r="1" spans="1:22" ht="9" customHeight="1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ht="30.75" customHeight="1" x14ac:dyDescent="0.25">
      <c r="A2" s="23"/>
      <c r="B2" s="41" t="s">
        <v>128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27"/>
      <c r="Q2" s="27"/>
      <c r="R2" s="27"/>
      <c r="S2" s="27"/>
      <c r="T2" s="27"/>
      <c r="U2" s="27"/>
      <c r="V2" s="27"/>
    </row>
    <row r="3" spans="1:22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</row>
    <row r="7" spans="1:22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</row>
    <row r="8" spans="1:22" x14ac:dyDescent="0.2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</row>
    <row r="9" spans="1:22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</row>
    <row r="10" spans="1:22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</row>
    <row r="11" spans="1:22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</row>
    <row r="12" spans="1:22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</row>
    <row r="13" spans="1:22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</row>
    <row r="14" spans="1:22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</row>
    <row r="15" spans="1:22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spans="1:22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</row>
    <row r="17" spans="1:22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 spans="1:22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</row>
    <row r="19" spans="1:22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r="20" spans="1:22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 spans="1:22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 spans="1:22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 spans="1:22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</row>
    <row r="24" spans="1:22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</row>
    <row r="25" spans="1:22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 spans="1:22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</row>
    <row r="27" spans="1:22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</row>
    <row r="28" spans="1:22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pans="1:22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</row>
    <row r="30" spans="1:22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</row>
    <row r="31" spans="1:22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 spans="1:22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</row>
    <row r="33" spans="1:22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</row>
    <row r="34" spans="1:22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</row>
    <row r="35" spans="1:22" ht="5.2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</row>
  </sheetData>
  <mergeCells count="1">
    <mergeCell ref="B2:O2"/>
  </mergeCells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0" r:id="rId3" name="Drop Down 2">
              <controlPr defaultSize="0" autoLine="0" autoPict="0">
                <anchor moveWithCells="1">
                  <from>
                    <xdr:col>15</xdr:col>
                    <xdr:colOff>190500</xdr:colOff>
                    <xdr:row>1</xdr:row>
                    <xdr:rowOff>76200</xdr:rowOff>
                  </from>
                  <to>
                    <xdr:col>17</xdr:col>
                    <xdr:colOff>209550</xdr:colOff>
                    <xdr:row>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4" name="Drop Down 3">
              <controlPr defaultSize="0" autoLine="0" autoPict="0">
                <anchor moveWithCells="1">
                  <from>
                    <xdr:col>17</xdr:col>
                    <xdr:colOff>428625</xdr:colOff>
                    <xdr:row>1</xdr:row>
                    <xdr:rowOff>76200</xdr:rowOff>
                  </from>
                  <to>
                    <xdr:col>19</xdr:col>
                    <xdr:colOff>447675</xdr:colOff>
                    <xdr:row>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5" name="Drop Down 4">
              <controlPr defaultSize="0" autoLine="0" autoPict="0">
                <anchor moveWithCells="1">
                  <from>
                    <xdr:col>20</xdr:col>
                    <xdr:colOff>47625</xdr:colOff>
                    <xdr:row>1</xdr:row>
                    <xdr:rowOff>76200</xdr:rowOff>
                  </from>
                  <to>
                    <xdr:col>21</xdr:col>
                    <xdr:colOff>152400</xdr:colOff>
                    <xdr:row>1</xdr:row>
                    <xdr:rowOff>295275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16</vt:i4>
      </vt:variant>
    </vt:vector>
  </HeadingPairs>
  <TitlesOfParts>
    <vt:vector size="20" baseType="lpstr">
      <vt:lpstr>Dados</vt:lpstr>
      <vt:lpstr>Lista</vt:lpstr>
      <vt:lpstr>Auxiliar</vt:lpstr>
      <vt:lpstr>Dashboard</vt:lpstr>
      <vt:lpstr>Ano</vt:lpstr>
      <vt:lpstr>Extrusão</vt:lpstr>
      <vt:lpstr>IndiceAno</vt:lpstr>
      <vt:lpstr>IndiceSetor</vt:lpstr>
      <vt:lpstr>ListaAnos</vt:lpstr>
      <vt:lpstr>ListaMes</vt:lpstr>
      <vt:lpstr>ListaMeses</vt:lpstr>
      <vt:lpstr>ListaSetores</vt:lpstr>
      <vt:lpstr>ListaVolProduzido</vt:lpstr>
      <vt:lpstr>Mes</vt:lpstr>
      <vt:lpstr>MesExtenso</vt:lpstr>
      <vt:lpstr>Mistura</vt:lpstr>
      <vt:lpstr>Modelagem</vt:lpstr>
      <vt:lpstr>Prensagem</vt:lpstr>
      <vt:lpstr>Retífica</vt:lpstr>
      <vt:lpstr>Setor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Soares</cp:lastModifiedBy>
  <dcterms:created xsi:type="dcterms:W3CDTF">2020-10-27T22:13:09Z</dcterms:created>
  <dcterms:modified xsi:type="dcterms:W3CDTF">2020-12-27T14:04:21Z</dcterms:modified>
</cp:coreProperties>
</file>