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75" windowWidth="20055" windowHeight="7935" tabRatio="816"/>
  </bookViews>
  <sheets>
    <sheet name="PM" sheetId="3" r:id="rId1"/>
    <sheet name="form par" sheetId="5" r:id="rId2"/>
  </sheets>
  <calcPr calcId="124519"/>
</workbook>
</file>

<file path=xl/calcChain.xml><?xml version="1.0" encoding="utf-8"?>
<calcChain xmlns="http://schemas.openxmlformats.org/spreadsheetml/2006/main">
  <c r="S28" i="3"/>
  <c r="U27"/>
  <c r="T27"/>
  <c r="S27"/>
  <c r="N10"/>
  <c r="N13"/>
  <c r="N12"/>
  <c r="N9"/>
  <c r="N8"/>
  <c r="AG11"/>
  <c r="AG6"/>
  <c r="AG5"/>
  <c r="AG4"/>
  <c r="AJ6"/>
  <c r="AJ4"/>
  <c r="AI6"/>
  <c r="AI5"/>
  <c r="AJ5" s="1"/>
  <c r="AI4"/>
  <c r="AH5"/>
  <c r="AG19"/>
  <c r="R21"/>
  <c r="AH22"/>
  <c r="AH21"/>
  <c r="AE23"/>
  <c r="AF22"/>
  <c r="AF21"/>
  <c r="U11"/>
  <c r="AR24"/>
  <c r="R9"/>
  <c r="D34"/>
  <c r="D33"/>
  <c r="D32"/>
  <c r="D31"/>
  <c r="D30"/>
  <c r="C35"/>
  <c r="C37" s="1"/>
  <c r="A3"/>
  <c r="A4" s="1"/>
  <c r="A5" s="1"/>
  <c r="A6" s="1"/>
  <c r="A7" s="1"/>
  <c r="A8" s="1"/>
  <c r="A9" s="1"/>
  <c r="A10" s="1"/>
  <c r="A11" s="1"/>
  <c r="A12" s="1"/>
  <c r="A13" s="1"/>
  <c r="A14" s="1"/>
  <c r="A15" s="1"/>
  <c r="S6"/>
  <c r="S5"/>
  <c r="C39" l="1"/>
  <c r="C40" s="1"/>
  <c r="S9"/>
  <c r="AN16" i="5"/>
  <c r="N18" i="3" l="1"/>
  <c r="N17"/>
  <c r="N16"/>
  <c r="N7"/>
  <c r="N6"/>
  <c r="O3" l="1"/>
  <c r="O1" s="1"/>
  <c r="C18"/>
  <c r="R8" s="1"/>
  <c r="S8" l="1"/>
  <c r="Q20" s="1"/>
  <c r="R11"/>
  <c r="S11" l="1"/>
  <c r="S20" s="1"/>
</calcChain>
</file>

<file path=xl/comments1.xml><?xml version="1.0" encoding="utf-8"?>
<comments xmlns="http://schemas.openxmlformats.org/spreadsheetml/2006/main">
  <authors>
    <author>AASTORGA</author>
  </authors>
  <commentList>
    <comment ref="N3" authorId="0">
      <text>
        <r>
          <rPr>
            <b/>
            <sz val="9"/>
            <color indexed="81"/>
            <rFont val="Tahoma"/>
            <family val="2"/>
          </rPr>
          <t>AASTORGA:</t>
        </r>
        <r>
          <rPr>
            <sz val="9"/>
            <color indexed="81"/>
            <rFont val="Tahoma"/>
            <family val="2"/>
          </rPr>
          <t xml:space="preserve">
Si y sólo si, fue dado de baja.</t>
        </r>
      </text>
    </comment>
    <comment ref="Q3" authorId="0">
      <text>
        <r>
          <rPr>
            <b/>
            <sz val="9"/>
            <color indexed="81"/>
            <rFont val="Tahoma"/>
            <family val="2"/>
          </rPr>
          <t>AASTORGA:</t>
        </r>
        <r>
          <rPr>
            <sz val="9"/>
            <color indexed="81"/>
            <rFont val="Tahoma"/>
            <family val="2"/>
          </rPr>
          <t xml:space="preserve">
Ingresar valor en negativo
</t>
        </r>
      </text>
    </comment>
    <comment ref="AP3" authorId="0">
      <text>
        <r>
          <rPr>
            <b/>
            <sz val="9"/>
            <color indexed="81"/>
            <rFont val="Tahoma"/>
            <family val="2"/>
          </rPr>
          <t>AASTORGA:</t>
        </r>
        <r>
          <rPr>
            <sz val="9"/>
            <color indexed="81"/>
            <rFont val="Tahoma"/>
            <family val="2"/>
          </rPr>
          <t xml:space="preserve">
Debe entrar en valor negativo</t>
        </r>
      </text>
    </comment>
  </commentList>
</comments>
</file>

<file path=xl/sharedStrings.xml><?xml version="1.0" encoding="utf-8"?>
<sst xmlns="http://schemas.openxmlformats.org/spreadsheetml/2006/main" count="313" uniqueCount="215">
  <si>
    <t xml:space="preserve"> </t>
  </si>
  <si>
    <t>Consultor</t>
  </si>
  <si>
    <t>Nro.</t>
  </si>
  <si>
    <t>PLAN DE TRABAJO</t>
  </si>
  <si>
    <t>HH</t>
  </si>
  <si>
    <t>Desde</t>
  </si>
  <si>
    <t>Hasta</t>
  </si>
  <si>
    <t>Recurso</t>
  </si>
  <si>
    <t>Observaciones</t>
  </si>
  <si>
    <t>Reuniones de coordinación con las partes involucradas</t>
  </si>
  <si>
    <t>Minutas</t>
  </si>
  <si>
    <t>Consultor:  Angelo Astorga P.</t>
  </si>
  <si>
    <t>Estado</t>
  </si>
  <si>
    <t>Nro AF</t>
  </si>
  <si>
    <t>Descripcion</t>
  </si>
  <si>
    <t>Cod Sede</t>
  </si>
  <si>
    <t>Cod Cat</t>
  </si>
  <si>
    <t>SubCategoria</t>
  </si>
  <si>
    <t>Cod Barra prov</t>
  </si>
  <si>
    <t>Fecha Compra</t>
  </si>
  <si>
    <t>Documento</t>
  </si>
  <si>
    <t>Nro Fact</t>
  </si>
  <si>
    <t>Costo neto</t>
  </si>
  <si>
    <t>Costo Total</t>
  </si>
  <si>
    <t>Ubicación</t>
  </si>
  <si>
    <t>Usuario</t>
  </si>
  <si>
    <t>Fecha baja</t>
  </si>
  <si>
    <t>Motivo baja</t>
  </si>
  <si>
    <t>AF grupo contable</t>
  </si>
  <si>
    <t>AF presupuestado?</t>
  </si>
  <si>
    <t>Componente AF</t>
  </si>
  <si>
    <t>Empleado Resp</t>
  </si>
  <si>
    <t>REGISTRO   CONTABLE</t>
  </si>
  <si>
    <t>Nro prov</t>
  </si>
  <si>
    <t>Nro prov mnto</t>
  </si>
  <si>
    <t>Fec Garantia</t>
  </si>
  <si>
    <t>Asegurado?</t>
  </si>
  <si>
    <t>Inactivo?</t>
  </si>
  <si>
    <t>Bloqueado?</t>
  </si>
  <si>
    <t>Fec Ult Modif</t>
  </si>
  <si>
    <t>Bajo Mant?</t>
  </si>
  <si>
    <t>Prox fec servicio</t>
  </si>
  <si>
    <t>REGISTRO MANTENIMIENTO</t>
  </si>
  <si>
    <t>REGISTRO DATOS GENERALES</t>
  </si>
  <si>
    <t>MOBILIARIO</t>
  </si>
  <si>
    <t>Fecha</t>
  </si>
  <si>
    <t>Resumen</t>
  </si>
  <si>
    <t>Hora Ini</t>
  </si>
  <si>
    <t>Hora fin</t>
  </si>
  <si>
    <t>Total</t>
  </si>
  <si>
    <t>Total Acum</t>
  </si>
  <si>
    <t>TIPS</t>
  </si>
  <si>
    <t>https://docs.microsoft.com/es-es/dynamics-nav-app/fa-manage</t>
  </si>
  <si>
    <t>Cod. AF</t>
  </si>
  <si>
    <t>Costo AF</t>
  </si>
  <si>
    <t>Amortiz. Acum.</t>
  </si>
  <si>
    <t>Años Amort.</t>
  </si>
  <si>
    <t>Cta Contab COSTE</t>
  </si>
  <si>
    <t>Cta Contab Amort</t>
  </si>
  <si>
    <t>INFORMACION MIN DE CARGA AF</t>
  </si>
  <si>
    <t>AF Grupo Contab</t>
  </si>
  <si>
    <t>AF0001</t>
  </si>
  <si>
    <t>Berlingo</t>
  </si>
  <si>
    <t>Fec Ini Amortiz.</t>
  </si>
  <si>
    <t>VEHICULO</t>
  </si>
  <si>
    <t>AF0002</t>
  </si>
  <si>
    <t>Central telefonica</t>
  </si>
  <si>
    <t>TELEFONO</t>
  </si>
  <si>
    <t>AF0003</t>
  </si>
  <si>
    <t>80 sillas</t>
  </si>
  <si>
    <t>Las cuentas contab coste son por grupo AF contab</t>
  </si>
  <si>
    <t>El costo total de AF igual suma de los coste de activo en la contabilidad</t>
  </si>
  <si>
    <t>ENTORNO DE DESARROLLO NAV EN OPCION:   HERRAMIENTAS -&gt; OBJECT DESIGNER</t>
  </si>
  <si>
    <t>LAS CLASES AF  AFECTAN LA INFLACION  Y LA CUOTA DE DEPERECIACION</t>
  </si>
  <si>
    <t>LOS LIBROS AFECTAN EL AÑO Y UN TIEMPO DE DEPRECIACION (MES, AÑO, ETC)</t>
  </si>
  <si>
    <t>LA COMBINACION CLASE/LIBRO</t>
  </si>
  <si>
    <t>AF Ppal o Componente</t>
  </si>
  <si>
    <t>Amort. Acum.</t>
  </si>
  <si>
    <t>Fec Ini Amort.</t>
  </si>
  <si>
    <t>AF Grupo Contable</t>
  </si>
  <si>
    <t>Cta Contab Coste</t>
  </si>
  <si>
    <t>Cta Contab Amort.</t>
  </si>
  <si>
    <t>REGISTRO LIBRO AMORT.</t>
  </si>
  <si>
    <t>Firma confidencialidad y entrega requerimiento</t>
  </si>
  <si>
    <t>Reunión inicial</t>
  </si>
  <si>
    <t>Analisis de requerimiento en casa</t>
  </si>
  <si>
    <t>Call con cliente sobre requerimiento + minuta reu</t>
  </si>
  <si>
    <t>Coordinador Cliente:  Oscar Astudillo</t>
  </si>
  <si>
    <t>Desarrollar productos entregables</t>
  </si>
  <si>
    <t>Evaluar compras necesarias (hardware, software, virtual, etc.)</t>
  </si>
  <si>
    <t>Diseñar, crear WBS y diccionarios</t>
  </si>
  <si>
    <t>Analizar requerimientos y establecer alcance del proyecto</t>
  </si>
  <si>
    <t>Pruebas y QA a las piezas de software terminadas</t>
  </si>
  <si>
    <t>Probar integridad del software completo con Cliente</t>
  </si>
  <si>
    <t>Total HH proyecto</t>
  </si>
  <si>
    <t>$</t>
  </si>
  <si>
    <t>Total HH Consultoria</t>
  </si>
  <si>
    <t>Integrar y armar equipo de trabajo</t>
  </si>
  <si>
    <t xml:space="preserve">Desarrollo </t>
  </si>
  <si>
    <t>Consultor/ Cliente</t>
  </si>
  <si>
    <t>Consultor/ QA</t>
  </si>
  <si>
    <t>Consultor/Desarrollo/QA</t>
  </si>
  <si>
    <t>Capacitación funcional sistema, usuarios claves</t>
  </si>
  <si>
    <t>Total HH Desarrollo + QA</t>
  </si>
  <si>
    <t>ESTIMACION DE COSTOS Y HORAS PROYECTO</t>
  </si>
  <si>
    <t>Bitacora de servicios</t>
  </si>
  <si>
    <t>Coordinación con equipo de desarrollo y QA</t>
  </si>
  <si>
    <t>Proyecto:  Reingenieria proceso de facturación grupo empresas DRS.</t>
  </si>
  <si>
    <t>Valor HH Consultoria (en UF)</t>
  </si>
  <si>
    <t>Valor HH Desarrollo (en UF)</t>
  </si>
  <si>
    <t>Observaciones:</t>
  </si>
  <si>
    <t>Desarrollo/ Consultor/Cliente</t>
  </si>
  <si>
    <t>Crear lista de actividades y diagramas de apoyo</t>
  </si>
  <si>
    <t>Identificar, analizar y prevenir posibles riesgos proyecto</t>
  </si>
  <si>
    <t>Mantenedor de proyectos y campos definidos en documento</t>
  </si>
  <si>
    <t>Mantenedor de EEP</t>
  </si>
  <si>
    <t>Adminsitrador de documentos</t>
  </si>
  <si>
    <t>Mantenedor de roles y usuarios</t>
  </si>
  <si>
    <t>Mantenedor de PRE- facturacion</t>
  </si>
  <si>
    <t>Tiempo Invertido x semanas</t>
  </si>
  <si>
    <t>Duración proyecto en meses</t>
  </si>
  <si>
    <t>Sem</t>
  </si>
  <si>
    <t>Costo desarrollo</t>
  </si>
  <si>
    <t>Estimación Jfranco</t>
  </si>
  <si>
    <t>27hh</t>
  </si>
  <si>
    <t>Jefe Proyecto</t>
  </si>
  <si>
    <t>Descuento 20%</t>
  </si>
  <si>
    <t>Especialista Softland de ser necesario</t>
  </si>
  <si>
    <t>6m, 27hh/ Sem +- 1per</t>
  </si>
  <si>
    <t>Documentar y entregar proyecto terminado</t>
  </si>
  <si>
    <t>o- Bajamos en 0,5 UF los valores de Consultoria para hacer más atractiva la propuesta.</t>
  </si>
  <si>
    <t>COSTO EMPRESA CONTRATAR PERSONAL PROYECTO</t>
  </si>
  <si>
    <t>Valor UF</t>
  </si>
  <si>
    <t>o- Desarrolladores part time, de confianza y efectivos.</t>
  </si>
  <si>
    <t>Escenario 1</t>
  </si>
  <si>
    <t>Escenario 2</t>
  </si>
  <si>
    <t>No dispongo de desarrolladores full time, pero podría aprovechar recursos de la empresa si los hay (desarrollo).</t>
  </si>
  <si>
    <t>ESTIMACIÓN DE COSTOS Y HORAS PROYECTO</t>
  </si>
  <si>
    <t>Costo Neto Total Proyecto $</t>
  </si>
  <si>
    <t>o- Son 813 HH total proyecto, entre 5 y 6 meses de trabajo tiempo parcial, 1 Jefe Proyecto + 1 Desarrollador</t>
  </si>
  <si>
    <t>desarrollo y terminarlo antes del tiempo propuesto en escenario 1 (3 a 4 meses).</t>
  </si>
  <si>
    <t>Mis honorarios como mínimo serían  $ 2.300.000 mensual líquido, donde además de gestionar el proyecto, puedo apoyar en labores de</t>
  </si>
  <si>
    <t>Liquido</t>
  </si>
  <si>
    <t>Desarrollador 1</t>
  </si>
  <si>
    <t>Desarrollador 2</t>
  </si>
  <si>
    <t>HH/ Mes</t>
  </si>
  <si>
    <t>Nro</t>
  </si>
  <si>
    <t>Carta Gant</t>
  </si>
  <si>
    <t>F/Inicio</t>
  </si>
  <si>
    <t>F/Fin</t>
  </si>
  <si>
    <t>S1</t>
  </si>
  <si>
    <t>S2</t>
  </si>
  <si>
    <t>S3</t>
  </si>
  <si>
    <t>S4</t>
  </si>
  <si>
    <t>Junio</t>
  </si>
  <si>
    <t>Julio</t>
  </si>
  <si>
    <t>Agosto</t>
  </si>
  <si>
    <t>Septiembre</t>
  </si>
  <si>
    <t>Descripción Tareas</t>
  </si>
  <si>
    <t>Desarrollo + QA proyecto</t>
  </si>
  <si>
    <t>Inicialización proyecto (Reuniones, coordinación, equipos y actores involucrados)</t>
  </si>
  <si>
    <t>3.1</t>
  </si>
  <si>
    <t>Analisis de requerimiento y alcance</t>
  </si>
  <si>
    <t>Planificación de recursos (equipos, compras, riesgos</t>
  </si>
  <si>
    <t>3.2</t>
  </si>
  <si>
    <t>Diseño de WBS y documetación</t>
  </si>
  <si>
    <t>3.3</t>
  </si>
  <si>
    <t>Implementación productos entregables</t>
  </si>
  <si>
    <t>3.4</t>
  </si>
  <si>
    <t>Pruebas y QA piezas entregables</t>
  </si>
  <si>
    <t>Seguimiento y control de avance</t>
  </si>
  <si>
    <t>3.5</t>
  </si>
  <si>
    <t>Pruebas ciclo completo desarrollo</t>
  </si>
  <si>
    <t>Documentación y entrega proyecto</t>
  </si>
  <si>
    <t>Termino proyecto y lecciones aprendidas</t>
  </si>
  <si>
    <t>Ocutbre</t>
  </si>
  <si>
    <t>Noviembre</t>
  </si>
  <si>
    <t>tpo</t>
  </si>
  <si>
    <t>Sem W</t>
  </si>
  <si>
    <t>OJO:  TIEMPO PARCIAL</t>
  </si>
  <si>
    <t>Gano más en este escenario, pero el riesgo es mayor porque desconozco los desarrolladores</t>
  </si>
  <si>
    <t>HH por semana de mi tiempo</t>
  </si>
  <si>
    <t>Riesgo:</t>
  </si>
  <si>
    <t>No tengo claridad 100% de cumplir objetivo, porque desconozco a los desarroladores</t>
  </si>
  <si>
    <t>Presupuesto HH Desarrollo 6m</t>
  </si>
  <si>
    <t>HH Mes</t>
  </si>
  <si>
    <t>HH Sem</t>
  </si>
  <si>
    <t>Neto mensual 5 meses - Escenario 1</t>
  </si>
  <si>
    <t>3m en Sem =</t>
  </si>
  <si>
    <t>HH Sem a Invertir</t>
  </si>
  <si>
    <t>Valor HH en UF</t>
  </si>
  <si>
    <t>Valor HH en $</t>
  </si>
  <si>
    <t>Bruto</t>
  </si>
  <si>
    <t>JP</t>
  </si>
  <si>
    <t>Des 1</t>
  </si>
  <si>
    <t>Des 2</t>
  </si>
  <si>
    <t>Escenario 3:  1 JP + 2 Desarrolladores EN 3 MESES</t>
  </si>
  <si>
    <t>Dura en Meses</t>
  </si>
  <si>
    <t>En SEM -&gt;</t>
  </si>
  <si>
    <t>4m + -</t>
  </si>
  <si>
    <t>Informe + Estimación costo propuestas</t>
  </si>
  <si>
    <t>Corrección informe + agregar gantt detalles tiempos</t>
  </si>
  <si>
    <t>OK</t>
  </si>
  <si>
    <t>20 US/ HH -&gt;   1.000 US / MES</t>
  </si>
  <si>
    <t>en desarrollo</t>
  </si>
  <si>
    <t>Valor Dola</t>
  </si>
  <si>
    <t>Total Desarrollo Indio x Hora</t>
  </si>
  <si>
    <t>Tot HH</t>
  </si>
  <si>
    <t>Tpo Aprox en Meses</t>
  </si>
  <si>
    <t>Total Desarrollo indio x Mes</t>
  </si>
  <si>
    <t>Mes tiene 180 HH laboral</t>
  </si>
  <si>
    <t>Valor UF HH Desar</t>
  </si>
  <si>
    <t>x mes</t>
  </si>
  <si>
    <t>Costo</t>
  </si>
  <si>
    <t>Cambio nuevo para git</t>
  </si>
</sst>
</file>

<file path=xl/styles.xml><?xml version="1.0" encoding="utf-8"?>
<styleSheet xmlns="http://schemas.openxmlformats.org/spreadsheetml/2006/main">
  <numFmts count="5"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_-* #,##0.0_-;\-* #,##0.0_-;_-* &quot;-&quot;??_-;_-@_-"/>
    <numFmt numFmtId="165" formatCode="_-* #,##0_-;\-* #,##0_-;_-* &quot;-&quot;??_-;_-@_-"/>
    <numFmt numFmtId="166" formatCode="0.0"/>
  </numFmts>
  <fonts count="1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9.9"/>
      <color theme="10"/>
      <name val="Calibri"/>
      <family val="2"/>
    </font>
    <font>
      <sz val="10"/>
      <color theme="1"/>
      <name val="Calibri"/>
      <family val="2"/>
      <scheme val="minor"/>
    </font>
    <font>
      <sz val="10"/>
      <color theme="1"/>
      <name val="Arial Narrow"/>
      <family val="2"/>
    </font>
    <font>
      <sz val="11"/>
      <color indexed="8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7" fillId="0" borderId="0"/>
    <xf numFmtId="0" fontId="9" fillId="0" borderId="0"/>
    <xf numFmtId="0" fontId="9" fillId="0" borderId="0"/>
    <xf numFmtId="0" fontId="7" fillId="0" borderId="0"/>
    <xf numFmtId="43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44" fontId="12" fillId="0" borderId="0" applyFont="0" applyFill="0" applyBorder="0" applyAlignment="0" applyProtection="0"/>
  </cellStyleXfs>
  <cellXfs count="70">
    <xf numFmtId="0" fontId="0" fillId="0" borderId="0" xfId="0"/>
    <xf numFmtId="0" fontId="1" fillId="0" borderId="0" xfId="0" applyFont="1"/>
    <xf numFmtId="15" fontId="0" fillId="0" borderId="0" xfId="0" applyNumberFormat="1"/>
    <xf numFmtId="0" fontId="0" fillId="0" borderId="1" xfId="0" applyBorder="1"/>
    <xf numFmtId="15" fontId="0" fillId="0" borderId="1" xfId="0" applyNumberFormat="1" applyBorder="1"/>
    <xf numFmtId="0" fontId="3" fillId="0" borderId="1" xfId="0" applyFont="1" applyBorder="1"/>
    <xf numFmtId="0" fontId="0" fillId="0" borderId="1" xfId="0" applyBorder="1" applyAlignment="1">
      <alignment wrapText="1"/>
    </xf>
    <xf numFmtId="0" fontId="0" fillId="2" borderId="0" xfId="0" applyFill="1"/>
    <xf numFmtId="0" fontId="0" fillId="3" borderId="0" xfId="0" applyFill="1"/>
    <xf numFmtId="0" fontId="4" fillId="2" borderId="0" xfId="0" applyFont="1" applyFill="1"/>
    <xf numFmtId="0" fontId="4" fillId="0" borderId="0" xfId="0" applyFont="1"/>
    <xf numFmtId="0" fontId="4" fillId="3" borderId="0" xfId="0" applyFont="1" applyFill="1"/>
    <xf numFmtId="16" fontId="0" fillId="0" borderId="0" xfId="0" applyNumberFormat="1"/>
    <xf numFmtId="0" fontId="0" fillId="0" borderId="0" xfId="0" applyFill="1"/>
    <xf numFmtId="0" fontId="2" fillId="2" borderId="0" xfId="0" applyFont="1" applyFill="1" applyAlignment="1">
      <alignment horizontal="center"/>
    </xf>
    <xf numFmtId="0" fontId="1" fillId="2" borderId="0" xfId="0" applyFont="1" applyFill="1"/>
    <xf numFmtId="0" fontId="1" fillId="4" borderId="1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left"/>
    </xf>
    <xf numFmtId="0" fontId="5" fillId="0" borderId="0" xfId="1" applyAlignment="1" applyProtection="1"/>
    <xf numFmtId="0" fontId="0" fillId="0" borderId="0" xfId="0"/>
    <xf numFmtId="0" fontId="0" fillId="5" borderId="0" xfId="0" applyFill="1"/>
    <xf numFmtId="14" fontId="0" fillId="0" borderId="0" xfId="0" applyNumberFormat="1"/>
    <xf numFmtId="0" fontId="0" fillId="6" borderId="0" xfId="0" applyFill="1"/>
    <xf numFmtId="0" fontId="1" fillId="6" borderId="0" xfId="0" applyFont="1" applyFill="1"/>
    <xf numFmtId="0" fontId="6" fillId="0" borderId="1" xfId="0" applyFont="1" applyBorder="1"/>
    <xf numFmtId="0" fontId="6" fillId="6" borderId="1" xfId="0" applyFont="1" applyFill="1" applyBorder="1"/>
    <xf numFmtId="0" fontId="13" fillId="0" borderId="1" xfId="0" applyFont="1" applyBorder="1"/>
    <xf numFmtId="164" fontId="1" fillId="0" borderId="0" xfId="8" applyNumberFormat="1" applyFont="1" applyAlignment="1">
      <alignment horizontal="center"/>
    </xf>
    <xf numFmtId="164" fontId="0" fillId="0" borderId="0" xfId="8" applyNumberFormat="1" applyFont="1"/>
    <xf numFmtId="165" fontId="0" fillId="0" borderId="0" xfId="8" applyNumberFormat="1" applyFont="1"/>
    <xf numFmtId="0" fontId="0" fillId="0" borderId="1" xfId="0" applyBorder="1" applyAlignment="1">
      <alignment horizontal="right"/>
    </xf>
    <xf numFmtId="165" fontId="0" fillId="0" borderId="0" xfId="0" applyNumberFormat="1"/>
    <xf numFmtId="0" fontId="0" fillId="0" borderId="0" xfId="0" applyFill="1" applyBorder="1"/>
    <xf numFmtId="0" fontId="2" fillId="0" borderId="1" xfId="0" applyFont="1" applyBorder="1" applyAlignment="1">
      <alignment horizontal="right"/>
    </xf>
    <xf numFmtId="0" fontId="2" fillId="0" borderId="1" xfId="0" applyFont="1" applyBorder="1"/>
    <xf numFmtId="0" fontId="0" fillId="0" borderId="0" xfId="0" applyFill="1" applyBorder="1" applyAlignment="1">
      <alignment horizontal="left"/>
    </xf>
    <xf numFmtId="0" fontId="14" fillId="0" borderId="0" xfId="0" applyFont="1"/>
    <xf numFmtId="0" fontId="14" fillId="0" borderId="0" xfId="0" applyFont="1" applyAlignment="1">
      <alignment wrapText="1"/>
    </xf>
    <xf numFmtId="0" fontId="14" fillId="0" borderId="0" xfId="0" applyFont="1" applyAlignment="1">
      <alignment horizontal="right" wrapText="1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left" indent="6"/>
    </xf>
    <xf numFmtId="2" fontId="0" fillId="0" borderId="0" xfId="0" applyNumberFormat="1"/>
    <xf numFmtId="0" fontId="2" fillId="0" borderId="0" xfId="0" applyFont="1"/>
    <xf numFmtId="0" fontId="0" fillId="0" borderId="0" xfId="0" applyAlignment="1">
      <alignment horizontal="center"/>
    </xf>
    <xf numFmtId="9" fontId="0" fillId="0" borderId="0" xfId="9" applyFont="1"/>
    <xf numFmtId="0" fontId="0" fillId="5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2" fillId="5" borderId="1" xfId="0" applyFont="1" applyFill="1" applyBorder="1"/>
    <xf numFmtId="165" fontId="2" fillId="5" borderId="1" xfId="0" applyNumberFormat="1" applyFont="1" applyFill="1" applyBorder="1"/>
    <xf numFmtId="165" fontId="1" fillId="5" borderId="0" xfId="8" applyNumberFormat="1" applyFont="1" applyFill="1"/>
    <xf numFmtId="0" fontId="3" fillId="0" borderId="0" xfId="0" applyFont="1"/>
    <xf numFmtId="0" fontId="15" fillId="0" borderId="0" xfId="0" applyFont="1"/>
    <xf numFmtId="0" fontId="1" fillId="5" borderId="0" xfId="0" applyFont="1" applyFill="1" applyBorder="1" applyAlignment="1">
      <alignment horizontal="center"/>
    </xf>
    <xf numFmtId="14" fontId="0" fillId="0" borderId="1" xfId="0" applyNumberFormat="1" applyBorder="1"/>
    <xf numFmtId="0" fontId="0" fillId="5" borderId="1" xfId="0" applyFill="1" applyBorder="1"/>
    <xf numFmtId="0" fontId="0" fillId="0" borderId="1" xfId="0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5" borderId="0" xfId="0" applyFont="1" applyFill="1"/>
    <xf numFmtId="0" fontId="4" fillId="5" borderId="0" xfId="0" applyFont="1" applyFill="1"/>
    <xf numFmtId="2" fontId="2" fillId="5" borderId="0" xfId="0" applyNumberFormat="1" applyFont="1" applyFill="1"/>
    <xf numFmtId="44" fontId="1" fillId="0" borderId="0" xfId="10" applyFont="1"/>
    <xf numFmtId="0" fontId="2" fillId="5" borderId="0" xfId="0" applyFont="1" applyFill="1"/>
    <xf numFmtId="166" fontId="0" fillId="0" borderId="0" xfId="0" applyNumberFormat="1"/>
    <xf numFmtId="165" fontId="0" fillId="5" borderId="0" xfId="8" applyNumberFormat="1" applyFont="1" applyFill="1"/>
    <xf numFmtId="2" fontId="0" fillId="5" borderId="0" xfId="0" applyNumberFormat="1" applyFill="1"/>
    <xf numFmtId="43" fontId="0" fillId="0" borderId="0" xfId="0" applyNumberFormat="1"/>
  </cellXfs>
  <cellStyles count="11">
    <cellStyle name="Hipervínculo" xfId="1" builtinId="8"/>
    <cellStyle name="Millares" xfId="8" builtinId="3"/>
    <cellStyle name="Millares 2" xfId="3"/>
    <cellStyle name="Millares 3" xfId="2"/>
    <cellStyle name="Moneda" xfId="10" builtinId="4"/>
    <cellStyle name="Normal" xfId="0" builtinId="0"/>
    <cellStyle name="Normal 2" xfId="4"/>
    <cellStyle name="Normal 3" xfId="7"/>
    <cellStyle name="Normal 6" xfId="5"/>
    <cellStyle name="Normal 6 2" xfId="6"/>
    <cellStyle name="Porcentual" xfId="9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ocs.microsoft.com/es-es/dynamics-nav-app/fa-manage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P46"/>
  <sheetViews>
    <sheetView tabSelected="1" topLeftCell="L12" zoomScale="90" zoomScaleNormal="90" workbookViewId="0">
      <selection activeCell="Q31" sqref="Q31"/>
    </sheetView>
  </sheetViews>
  <sheetFormatPr baseColWidth="10" defaultRowHeight="15"/>
  <cols>
    <col min="1" max="1" width="4.85546875" bestFit="1" customWidth="1"/>
    <col min="2" max="2" width="62.42578125" bestFit="1" customWidth="1"/>
    <col min="3" max="3" width="12.28515625" bestFit="1" customWidth="1"/>
    <col min="4" max="4" width="6.5703125" bestFit="1" customWidth="1"/>
    <col min="5" max="5" width="5.85546875" bestFit="1" customWidth="1"/>
    <col min="6" max="6" width="27.7109375" bestFit="1" customWidth="1"/>
    <col min="7" max="7" width="17.42578125" bestFit="1" customWidth="1"/>
    <col min="8" max="8" width="6.85546875" bestFit="1" customWidth="1"/>
    <col min="9" max="9" width="2.28515625" style="19" customWidth="1"/>
    <col min="10" max="10" width="8.42578125" customWidth="1"/>
    <col min="11" max="11" width="47.42578125" bestFit="1" customWidth="1"/>
    <col min="12" max="12" width="7.85546875" bestFit="1" customWidth="1"/>
    <col min="13" max="13" width="8" bestFit="1" customWidth="1"/>
    <col min="14" max="14" width="9.42578125" bestFit="1" customWidth="1"/>
    <col min="15" max="15" width="12.42578125" bestFit="1" customWidth="1"/>
    <col min="16" max="16" width="3.85546875" customWidth="1"/>
    <col min="17" max="17" width="33.85546875" customWidth="1"/>
    <col min="18" max="18" width="9.5703125" bestFit="1" customWidth="1"/>
    <col min="19" max="19" width="15.85546875" bestFit="1" customWidth="1"/>
    <col min="20" max="20" width="35.7109375" customWidth="1"/>
    <col min="21" max="21" width="16.85546875" bestFit="1" customWidth="1"/>
    <col min="26" max="27" width="11.42578125" style="19"/>
    <col min="28" max="28" width="34.5703125" style="19" customWidth="1"/>
    <col min="29" max="29" width="2" style="20" customWidth="1"/>
    <col min="30" max="30" width="3.7109375" style="19" customWidth="1"/>
    <col min="31" max="31" width="17.85546875" customWidth="1"/>
    <col min="32" max="32" width="11.140625" bestFit="1" customWidth="1"/>
    <col min="33" max="33" width="15.42578125" bestFit="1" customWidth="1"/>
    <col min="34" max="34" width="8.5703125" bestFit="1" customWidth="1"/>
    <col min="35" max="35" width="13" bestFit="1" customWidth="1"/>
    <col min="36" max="36" width="14.140625" style="19" bestFit="1" customWidth="1"/>
    <col min="37" max="37" width="11.140625" style="19" bestFit="1" customWidth="1"/>
    <col min="38" max="38" width="9" style="19" customWidth="1"/>
    <col min="40" max="40" width="1.85546875" style="20" customWidth="1"/>
    <col min="41" max="41" width="4.140625" customWidth="1"/>
    <col min="42" max="42" width="74.7109375" bestFit="1" customWidth="1"/>
    <col min="43" max="44" width="11.28515625" bestFit="1" customWidth="1"/>
    <col min="45" max="45" width="4.7109375" customWidth="1"/>
    <col min="46" max="48" width="3" bestFit="1" customWidth="1"/>
    <col min="49" max="49" width="3.140625" customWidth="1"/>
    <col min="50" max="52" width="3" bestFit="1" customWidth="1"/>
    <col min="53" max="53" width="3.28515625" customWidth="1"/>
    <col min="54" max="56" width="3" bestFit="1" customWidth="1"/>
    <col min="57" max="57" width="3" customWidth="1"/>
    <col min="58" max="60" width="3" bestFit="1" customWidth="1"/>
    <col min="61" max="61" width="3.28515625" customWidth="1"/>
    <col min="62" max="64" width="3.140625" bestFit="1" customWidth="1"/>
    <col min="65" max="65" width="3.42578125" customWidth="1"/>
    <col min="66" max="68" width="3.140625" bestFit="1" customWidth="1"/>
  </cols>
  <sheetData>
    <row r="1" spans="1:68" ht="18.75">
      <c r="A1" s="45" t="s">
        <v>2</v>
      </c>
      <c r="B1" s="46" t="s">
        <v>3</v>
      </c>
      <c r="C1" s="46" t="s">
        <v>4</v>
      </c>
      <c r="D1" s="46" t="s">
        <v>5</v>
      </c>
      <c r="E1" s="46" t="s">
        <v>6</v>
      </c>
      <c r="F1" s="46" t="s">
        <v>7</v>
      </c>
      <c r="G1" s="46" t="s">
        <v>8</v>
      </c>
      <c r="H1" s="47" t="s">
        <v>12</v>
      </c>
      <c r="I1" s="53"/>
      <c r="J1" s="17" t="s">
        <v>105</v>
      </c>
      <c r="K1" s="13"/>
      <c r="N1" s="19" t="s">
        <v>95</v>
      </c>
      <c r="O1" s="31">
        <f>O3*R5*R3</f>
        <v>1443000</v>
      </c>
      <c r="Q1" s="42" t="s">
        <v>137</v>
      </c>
      <c r="T1" s="19" t="s">
        <v>0</v>
      </c>
      <c r="U1" s="42" t="s">
        <v>104</v>
      </c>
      <c r="AJ1" s="19">
        <v>18703500</v>
      </c>
      <c r="AO1" s="19" t="s">
        <v>147</v>
      </c>
      <c r="AS1" s="58" t="s">
        <v>154</v>
      </c>
      <c r="AT1" s="59"/>
      <c r="AU1" s="59"/>
      <c r="AV1" s="60"/>
      <c r="AW1" s="58" t="s">
        <v>155</v>
      </c>
      <c r="AX1" s="59"/>
      <c r="AY1" s="59"/>
      <c r="AZ1" s="60"/>
      <c r="BA1" s="58" t="s">
        <v>156</v>
      </c>
      <c r="BB1" s="59"/>
      <c r="BC1" s="59"/>
      <c r="BD1" s="60"/>
      <c r="BE1" s="58" t="s">
        <v>157</v>
      </c>
      <c r="BF1" s="59"/>
      <c r="BG1" s="59"/>
      <c r="BH1" s="60"/>
      <c r="BI1" s="58" t="s">
        <v>175</v>
      </c>
      <c r="BJ1" s="59"/>
      <c r="BK1" s="59"/>
      <c r="BL1" s="60"/>
      <c r="BM1" s="58" t="s">
        <v>176</v>
      </c>
      <c r="BN1" s="59"/>
      <c r="BO1" s="59"/>
      <c r="BP1" s="60"/>
    </row>
    <row r="2" spans="1:68">
      <c r="A2" s="3">
        <v>1</v>
      </c>
      <c r="B2" s="3" t="s">
        <v>9</v>
      </c>
      <c r="C2" s="3">
        <v>4</v>
      </c>
      <c r="D2" s="4" t="s">
        <v>0</v>
      </c>
      <c r="E2" s="4"/>
      <c r="F2" s="4" t="s">
        <v>1</v>
      </c>
      <c r="G2" s="5" t="s">
        <v>10</v>
      </c>
      <c r="H2" s="19" t="s">
        <v>0</v>
      </c>
      <c r="O2" s="15" t="s">
        <v>50</v>
      </c>
      <c r="T2" s="19" t="s">
        <v>0</v>
      </c>
      <c r="AE2" s="1" t="s">
        <v>131</v>
      </c>
      <c r="AO2" s="57" t="s">
        <v>146</v>
      </c>
      <c r="AP2" s="57" t="s">
        <v>158</v>
      </c>
      <c r="AQ2" s="57" t="s">
        <v>148</v>
      </c>
      <c r="AR2" s="57" t="s">
        <v>149</v>
      </c>
      <c r="AS2" s="57" t="s">
        <v>150</v>
      </c>
      <c r="AT2" s="57" t="s">
        <v>151</v>
      </c>
      <c r="AU2" s="57" t="s">
        <v>152</v>
      </c>
      <c r="AV2" s="57" t="s">
        <v>153</v>
      </c>
      <c r="AW2" s="57" t="s">
        <v>150</v>
      </c>
      <c r="AX2" s="57" t="s">
        <v>151</v>
      </c>
      <c r="AY2" s="57" t="s">
        <v>152</v>
      </c>
      <c r="AZ2" s="57" t="s">
        <v>153</v>
      </c>
      <c r="BA2" s="57" t="s">
        <v>150</v>
      </c>
      <c r="BB2" s="57" t="s">
        <v>151</v>
      </c>
      <c r="BC2" s="57" t="s">
        <v>152</v>
      </c>
      <c r="BD2" s="57" t="s">
        <v>153</v>
      </c>
      <c r="BE2" s="57" t="s">
        <v>150</v>
      </c>
      <c r="BF2" s="57" t="s">
        <v>151</v>
      </c>
      <c r="BG2" s="57" t="s">
        <v>152</v>
      </c>
      <c r="BH2" s="57" t="s">
        <v>153</v>
      </c>
      <c r="BI2" s="57" t="s">
        <v>150</v>
      </c>
      <c r="BJ2" s="57" t="s">
        <v>151</v>
      </c>
      <c r="BK2" s="57" t="s">
        <v>152</v>
      </c>
      <c r="BL2" s="57" t="s">
        <v>153</v>
      </c>
      <c r="BM2" s="57" t="s">
        <v>150</v>
      </c>
      <c r="BN2" s="57" t="s">
        <v>151</v>
      </c>
      <c r="BO2" s="57" t="s">
        <v>152</v>
      </c>
      <c r="BP2" s="57" t="s">
        <v>153</v>
      </c>
    </row>
    <row r="3" spans="1:68" ht="18.75">
      <c r="A3" s="3">
        <f>A2+1</f>
        <v>2</v>
      </c>
      <c r="B3" s="3" t="s">
        <v>97</v>
      </c>
      <c r="C3" s="3">
        <v>8</v>
      </c>
      <c r="D3" s="4"/>
      <c r="E3" s="4"/>
      <c r="F3" s="4" t="s">
        <v>1</v>
      </c>
      <c r="G3" s="5"/>
      <c r="H3" s="19" t="s">
        <v>0</v>
      </c>
      <c r="J3" s="16" t="s">
        <v>45</v>
      </c>
      <c r="K3" s="16" t="s">
        <v>46</v>
      </c>
      <c r="L3" s="16" t="s">
        <v>47</v>
      </c>
      <c r="M3" s="16" t="s">
        <v>48</v>
      </c>
      <c r="N3" s="16" t="s">
        <v>49</v>
      </c>
      <c r="O3" s="14">
        <f>SUM(N4:N25)</f>
        <v>26</v>
      </c>
      <c r="Q3" s="1" t="s">
        <v>132</v>
      </c>
      <c r="R3" s="50">
        <v>27750</v>
      </c>
      <c r="S3" s="27" t="s">
        <v>95</v>
      </c>
      <c r="AF3" s="19" t="s">
        <v>192</v>
      </c>
      <c r="AG3" s="19" t="s">
        <v>142</v>
      </c>
      <c r="AH3" s="19" t="s">
        <v>145</v>
      </c>
      <c r="AI3" s="19" t="s">
        <v>191</v>
      </c>
      <c r="AJ3" s="19" t="s">
        <v>190</v>
      </c>
      <c r="AK3" s="19" t="s">
        <v>0</v>
      </c>
      <c r="AO3" s="3">
        <v>1</v>
      </c>
      <c r="AP3" s="3" t="s">
        <v>160</v>
      </c>
      <c r="AQ3" s="54">
        <v>43617</v>
      </c>
      <c r="AR3" s="54">
        <v>43619</v>
      </c>
      <c r="AS3" s="55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</row>
    <row r="4" spans="1:68">
      <c r="A4" s="3">
        <f t="shared" ref="A4:A15" si="0">A3+1</f>
        <v>3</v>
      </c>
      <c r="B4" s="6" t="s">
        <v>91</v>
      </c>
      <c r="C4" s="26">
        <v>8</v>
      </c>
      <c r="D4" s="4"/>
      <c r="E4" s="4"/>
      <c r="F4" s="4" t="s">
        <v>111</v>
      </c>
      <c r="G4" s="5"/>
      <c r="J4" s="12">
        <v>43598</v>
      </c>
      <c r="K4" s="19" t="s">
        <v>84</v>
      </c>
      <c r="L4">
        <v>10</v>
      </c>
      <c r="M4">
        <v>11</v>
      </c>
      <c r="N4" s="19">
        <v>0</v>
      </c>
      <c r="U4" s="51" t="s">
        <v>136</v>
      </c>
      <c r="AE4" s="19" t="s">
        <v>125</v>
      </c>
      <c r="AF4" s="29">
        <v>7500000</v>
      </c>
      <c r="AG4" s="29">
        <f>AF4/1.24</f>
        <v>6048387.0967741935</v>
      </c>
      <c r="AH4" s="29">
        <v>180</v>
      </c>
      <c r="AI4" s="29">
        <f>AF4/AH4</f>
        <v>41666.666666666664</v>
      </c>
      <c r="AJ4" s="41">
        <f>AI4/$R$3</f>
        <v>1.5015015015015014</v>
      </c>
      <c r="AK4" s="41"/>
      <c r="AL4" s="41"/>
      <c r="AO4" s="3">
        <v>2</v>
      </c>
      <c r="AP4" s="3" t="s">
        <v>163</v>
      </c>
      <c r="AQ4" s="54">
        <v>43617</v>
      </c>
      <c r="AR4" s="54">
        <v>43646</v>
      </c>
      <c r="AS4" s="55"/>
      <c r="AT4" s="55"/>
      <c r="AU4" s="55"/>
      <c r="AV4" s="55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</row>
    <row r="5" spans="1:68">
      <c r="A5" s="3">
        <f t="shared" si="0"/>
        <v>4</v>
      </c>
      <c r="B5" s="3" t="s">
        <v>89</v>
      </c>
      <c r="C5" s="3">
        <v>4</v>
      </c>
      <c r="D5" s="4"/>
      <c r="E5" s="4"/>
      <c r="F5" s="4" t="s">
        <v>99</v>
      </c>
      <c r="G5" s="5"/>
      <c r="J5" s="12">
        <v>43599</v>
      </c>
      <c r="K5" s="19" t="s">
        <v>83</v>
      </c>
      <c r="L5" s="19">
        <v>16</v>
      </c>
      <c r="M5" s="19">
        <v>17</v>
      </c>
      <c r="N5" s="19">
        <v>0</v>
      </c>
      <c r="Q5" s="19" t="s">
        <v>108</v>
      </c>
      <c r="R5" s="28">
        <v>2</v>
      </c>
      <c r="S5" s="29">
        <f>R5*R3</f>
        <v>55500</v>
      </c>
      <c r="U5" s="52" t="s">
        <v>141</v>
      </c>
      <c r="AE5" s="19" t="s">
        <v>143</v>
      </c>
      <c r="AF5" s="29">
        <v>1400000</v>
      </c>
      <c r="AG5" s="29">
        <f t="shared" ref="AG5:AG6" si="1">AF5/1.24</f>
        <v>1129032.2580645161</v>
      </c>
      <c r="AH5" s="29">
        <f>45*4</f>
        <v>180</v>
      </c>
      <c r="AI5" s="29">
        <f t="shared" ref="AI5:AI6" si="2">AF5/AH5</f>
        <v>7777.7777777777774</v>
      </c>
      <c r="AJ5" s="41">
        <f t="shared" ref="AJ5:AJ6" si="3">AI5/$R$3</f>
        <v>0.28028028028028029</v>
      </c>
      <c r="AK5" s="29" t="s">
        <v>0</v>
      </c>
      <c r="AL5" s="41"/>
      <c r="AO5" s="3">
        <v>3</v>
      </c>
      <c r="AP5" s="3" t="s">
        <v>159</v>
      </c>
      <c r="AQ5" s="54">
        <v>43617</v>
      </c>
      <c r="AR5" s="54">
        <v>43783</v>
      </c>
      <c r="AS5" s="55"/>
      <c r="AT5" s="55"/>
      <c r="AU5" s="55"/>
      <c r="AV5" s="55"/>
      <c r="AW5" s="55"/>
      <c r="AX5" s="55"/>
      <c r="AY5" s="55"/>
      <c r="AZ5" s="55"/>
      <c r="BA5" s="55"/>
      <c r="BB5" s="55"/>
      <c r="BC5" s="55"/>
      <c r="BD5" s="55"/>
      <c r="BE5" s="55"/>
      <c r="BF5" s="55"/>
      <c r="BG5" s="55"/>
      <c r="BH5" s="55"/>
      <c r="BI5" s="55"/>
      <c r="BJ5" s="55"/>
      <c r="BK5" s="55"/>
      <c r="BL5" s="55"/>
      <c r="BM5" s="55"/>
      <c r="BN5" s="55"/>
      <c r="BO5" s="3"/>
      <c r="BP5" s="3"/>
    </row>
    <row r="6" spans="1:68">
      <c r="A6" s="3">
        <f t="shared" si="0"/>
        <v>5</v>
      </c>
      <c r="B6" s="3" t="s">
        <v>90</v>
      </c>
      <c r="C6" s="3">
        <v>16</v>
      </c>
      <c r="D6" s="4"/>
      <c r="E6" s="4"/>
      <c r="F6" s="4" t="s">
        <v>1</v>
      </c>
      <c r="G6" s="5"/>
      <c r="J6" s="12">
        <v>43599</v>
      </c>
      <c r="K6" s="19" t="s">
        <v>85</v>
      </c>
      <c r="L6" s="19">
        <v>21</v>
      </c>
      <c r="M6">
        <v>23</v>
      </c>
      <c r="N6">
        <f t="shared" ref="N6:N18" si="4">M6-L6</f>
        <v>2</v>
      </c>
      <c r="Q6" s="35" t="s">
        <v>109</v>
      </c>
      <c r="R6" s="28">
        <v>0.6</v>
      </c>
      <c r="S6" s="29">
        <f>R6*R3</f>
        <v>16650</v>
      </c>
      <c r="U6" s="52" t="s">
        <v>140</v>
      </c>
      <c r="AE6" s="20" t="s">
        <v>144</v>
      </c>
      <c r="AF6" s="67">
        <v>3000000</v>
      </c>
      <c r="AG6" s="67">
        <f t="shared" si="1"/>
        <v>2419354.8387096776</v>
      </c>
      <c r="AH6" s="67">
        <v>180</v>
      </c>
      <c r="AI6" s="67">
        <f t="shared" si="2"/>
        <v>16666.666666666668</v>
      </c>
      <c r="AJ6" s="68">
        <f t="shared" si="3"/>
        <v>0.60060060060060061</v>
      </c>
      <c r="AK6" s="41"/>
      <c r="AL6" s="41"/>
      <c r="AO6" s="3" t="s">
        <v>161</v>
      </c>
      <c r="AP6" s="30" t="s">
        <v>106</v>
      </c>
      <c r="AQ6" s="54">
        <v>43617</v>
      </c>
      <c r="AR6" s="54">
        <v>43776</v>
      </c>
      <c r="AS6" s="55"/>
      <c r="AT6" s="3"/>
      <c r="AU6" s="3"/>
      <c r="AV6" s="3"/>
      <c r="AW6" s="55"/>
      <c r="AX6" s="3"/>
      <c r="AY6" s="3"/>
      <c r="AZ6" s="3"/>
      <c r="BA6" s="55"/>
      <c r="BB6" s="3"/>
      <c r="BC6" s="3"/>
      <c r="BD6" s="3"/>
      <c r="BE6" s="55"/>
      <c r="BF6" s="3"/>
      <c r="BG6" s="3"/>
      <c r="BH6" s="3"/>
      <c r="BI6" s="55"/>
      <c r="BJ6" s="3"/>
      <c r="BK6" s="3"/>
      <c r="BL6" s="3"/>
      <c r="BM6" s="55"/>
      <c r="BN6" s="3"/>
      <c r="BO6" s="3"/>
      <c r="BP6" s="3"/>
    </row>
    <row r="7" spans="1:68">
      <c r="A7" s="3">
        <f t="shared" si="0"/>
        <v>6</v>
      </c>
      <c r="B7" s="3" t="s">
        <v>112</v>
      </c>
      <c r="C7" s="3">
        <v>8</v>
      </c>
      <c r="D7" s="4"/>
      <c r="E7" s="4"/>
      <c r="F7" s="4" t="s">
        <v>1</v>
      </c>
      <c r="G7" s="5"/>
      <c r="H7" s="19" t="s">
        <v>0</v>
      </c>
      <c r="J7" s="12">
        <v>43600</v>
      </c>
      <c r="K7" s="19" t="s">
        <v>86</v>
      </c>
      <c r="L7" s="19">
        <v>9</v>
      </c>
      <c r="M7">
        <v>11</v>
      </c>
      <c r="N7">
        <f t="shared" si="4"/>
        <v>2</v>
      </c>
      <c r="T7" s="19" t="s">
        <v>0</v>
      </c>
      <c r="AF7" s="29"/>
      <c r="AG7" s="29"/>
      <c r="AH7" s="29"/>
      <c r="AO7" s="3" t="s">
        <v>164</v>
      </c>
      <c r="AP7" s="30" t="s">
        <v>162</v>
      </c>
      <c r="AQ7" s="3"/>
      <c r="AR7" s="3"/>
      <c r="AS7" s="3"/>
      <c r="AT7" s="55"/>
      <c r="AU7" s="55"/>
      <c r="AV7" s="55"/>
      <c r="AW7" s="55"/>
      <c r="AX7" s="55"/>
      <c r="AY7" s="55"/>
      <c r="AZ7" s="55"/>
      <c r="BA7" s="55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</row>
    <row r="8" spans="1:68" ht="15.75">
      <c r="A8" s="3">
        <f t="shared" si="0"/>
        <v>7</v>
      </c>
      <c r="B8" s="3" t="s">
        <v>113</v>
      </c>
      <c r="C8" s="3">
        <v>8</v>
      </c>
      <c r="D8" s="4"/>
      <c r="E8" s="4"/>
      <c r="F8" s="4" t="s">
        <v>1</v>
      </c>
      <c r="G8" s="5" t="s">
        <v>0</v>
      </c>
      <c r="J8" s="12">
        <v>43601</v>
      </c>
      <c r="K8" s="32" t="s">
        <v>200</v>
      </c>
      <c r="L8" s="32">
        <v>9</v>
      </c>
      <c r="M8">
        <v>19</v>
      </c>
      <c r="N8" s="19">
        <f t="shared" si="4"/>
        <v>10</v>
      </c>
      <c r="Q8" s="19" t="s">
        <v>96</v>
      </c>
      <c r="R8" s="62">
        <f>C18-R9</f>
        <v>133</v>
      </c>
      <c r="S8" s="31">
        <f>S5*R8</f>
        <v>7381500</v>
      </c>
      <c r="T8" s="64" t="s">
        <v>0</v>
      </c>
      <c r="U8" s="1" t="s">
        <v>179</v>
      </c>
      <c r="AE8" s="19" t="s">
        <v>196</v>
      </c>
      <c r="AF8" s="19"/>
      <c r="AG8" s="19"/>
      <c r="AH8" s="19"/>
      <c r="AI8" s="19" t="s">
        <v>0</v>
      </c>
      <c r="AO8" s="3" t="s">
        <v>166</v>
      </c>
      <c r="AP8" s="30" t="s">
        <v>165</v>
      </c>
      <c r="AQ8" s="3"/>
      <c r="AR8" s="3"/>
      <c r="AS8" s="3" t="s">
        <v>0</v>
      </c>
      <c r="AT8" s="3"/>
      <c r="AU8" s="3"/>
      <c r="AV8" s="3"/>
      <c r="AW8" s="55"/>
      <c r="AX8" s="55"/>
      <c r="AY8" s="55"/>
      <c r="AZ8" s="55"/>
      <c r="BA8" s="55"/>
      <c r="BB8" s="55"/>
      <c r="BC8" s="55"/>
      <c r="BD8" s="55"/>
      <c r="BE8" s="55"/>
      <c r="BF8" s="55"/>
      <c r="BG8" s="3"/>
      <c r="BH8" s="3"/>
      <c r="BI8" s="3"/>
      <c r="BJ8" s="3"/>
      <c r="BK8" s="3"/>
      <c r="BL8" s="3"/>
      <c r="BM8" s="3"/>
      <c r="BN8" s="3"/>
      <c r="BO8" s="3"/>
      <c r="BP8" s="3"/>
    </row>
    <row r="9" spans="1:68" ht="15.75">
      <c r="A9" s="3">
        <f t="shared" si="0"/>
        <v>8</v>
      </c>
      <c r="B9" s="3" t="s">
        <v>88</v>
      </c>
      <c r="C9" s="3">
        <v>680</v>
      </c>
      <c r="D9" s="4" t="s">
        <v>0</v>
      </c>
      <c r="E9" s="4"/>
      <c r="F9" s="4" t="s">
        <v>98</v>
      </c>
      <c r="G9" s="5" t="s">
        <v>128</v>
      </c>
      <c r="J9" s="12">
        <v>43602</v>
      </c>
      <c r="K9" s="32" t="s">
        <v>200</v>
      </c>
      <c r="L9" s="32">
        <v>9</v>
      </c>
      <c r="M9">
        <v>18</v>
      </c>
      <c r="N9" s="19">
        <f t="shared" si="4"/>
        <v>9</v>
      </c>
      <c r="Q9" s="19" t="s">
        <v>103</v>
      </c>
      <c r="R9" s="62">
        <f>C9</f>
        <v>680</v>
      </c>
      <c r="S9" s="31">
        <f>S6*R9</f>
        <v>11322000</v>
      </c>
      <c r="T9" s="1" t="s">
        <v>0</v>
      </c>
      <c r="U9" s="19" t="s">
        <v>180</v>
      </c>
      <c r="AF9" s="29" t="s">
        <v>4</v>
      </c>
      <c r="AG9" s="29" t="s">
        <v>197</v>
      </c>
      <c r="AH9" s="29"/>
      <c r="AO9" s="3" t="s">
        <v>168</v>
      </c>
      <c r="AP9" s="30" t="s">
        <v>167</v>
      </c>
      <c r="AQ9" s="3"/>
      <c r="AR9" s="3"/>
      <c r="AS9" s="3" t="s">
        <v>0</v>
      </c>
      <c r="AT9" s="3"/>
      <c r="AU9" s="55"/>
      <c r="AV9" s="55"/>
      <c r="AW9" s="55"/>
      <c r="AX9" s="55"/>
      <c r="AY9" s="55"/>
      <c r="AZ9" s="55"/>
      <c r="BA9" s="55"/>
      <c r="BB9" s="55"/>
      <c r="BC9" s="55"/>
      <c r="BD9" s="55"/>
      <c r="BE9" s="55"/>
      <c r="BF9" s="55"/>
      <c r="BG9" s="55"/>
      <c r="BH9" s="55"/>
      <c r="BI9" s="55"/>
      <c r="BJ9" s="55"/>
      <c r="BK9" s="55"/>
      <c r="BL9" s="55"/>
      <c r="BM9" s="55"/>
      <c r="BN9" s="55"/>
      <c r="BO9" s="3"/>
      <c r="BP9" s="3"/>
    </row>
    <row r="10" spans="1:68">
      <c r="A10" s="3">
        <f t="shared" si="0"/>
        <v>9</v>
      </c>
      <c r="B10" s="3" t="s">
        <v>92</v>
      </c>
      <c r="C10" s="30">
        <v>27</v>
      </c>
      <c r="D10" s="4"/>
      <c r="E10" s="4"/>
      <c r="F10" s="4" t="s">
        <v>100</v>
      </c>
      <c r="G10" s="5" t="s">
        <v>124</v>
      </c>
      <c r="J10" s="12">
        <v>43605</v>
      </c>
      <c r="K10" s="32" t="s">
        <v>201</v>
      </c>
      <c r="L10" s="32">
        <v>10</v>
      </c>
      <c r="M10">
        <v>13</v>
      </c>
      <c r="N10" s="19">
        <f>M10-L10</f>
        <v>3</v>
      </c>
      <c r="R10" s="43" t="s">
        <v>4</v>
      </c>
      <c r="S10" s="43" t="s">
        <v>95</v>
      </c>
      <c r="U10" s="1" t="s">
        <v>188</v>
      </c>
      <c r="V10">
        <v>12</v>
      </c>
      <c r="AE10" s="19" t="s">
        <v>193</v>
      </c>
      <c r="AF10" s="29">
        <v>133</v>
      </c>
      <c r="AG10" s="29"/>
      <c r="AH10" s="29"/>
      <c r="AO10" s="3" t="s">
        <v>171</v>
      </c>
      <c r="AP10" s="30" t="s">
        <v>169</v>
      </c>
      <c r="AQ10" s="3"/>
      <c r="AR10" s="3"/>
      <c r="AS10" s="3" t="s">
        <v>0</v>
      </c>
      <c r="AT10" s="3"/>
      <c r="AU10" s="55"/>
      <c r="AV10" s="55"/>
      <c r="AW10" s="55"/>
      <c r="AX10" s="55"/>
      <c r="AY10" s="55"/>
      <c r="AZ10" s="55"/>
      <c r="BA10" s="55"/>
      <c r="BB10" s="55"/>
      <c r="BC10" s="55"/>
      <c r="BD10" s="55"/>
      <c r="BE10" s="55"/>
      <c r="BF10" s="55"/>
      <c r="BG10" s="55"/>
      <c r="BH10" s="55"/>
      <c r="BI10" s="55"/>
      <c r="BJ10" s="55"/>
      <c r="BK10" s="55"/>
      <c r="BL10" s="55"/>
      <c r="BM10" s="55"/>
      <c r="BN10" s="55"/>
      <c r="BO10" s="3"/>
      <c r="BP10" s="3"/>
    </row>
    <row r="11" spans="1:68" ht="18.75">
      <c r="A11" s="3">
        <f t="shared" si="0"/>
        <v>10</v>
      </c>
      <c r="B11" s="6" t="s">
        <v>106</v>
      </c>
      <c r="C11" s="3">
        <v>4</v>
      </c>
      <c r="D11" s="4"/>
      <c r="E11" s="4"/>
      <c r="F11" s="4" t="s">
        <v>101</v>
      </c>
      <c r="G11" s="5"/>
      <c r="J11" s="12" t="s">
        <v>0</v>
      </c>
      <c r="K11" s="32" t="s">
        <v>202</v>
      </c>
      <c r="L11" s="32" t="s">
        <v>0</v>
      </c>
      <c r="M11" s="19" t="s">
        <v>0</v>
      </c>
      <c r="N11" s="19" t="s">
        <v>0</v>
      </c>
      <c r="Q11" s="48" t="s">
        <v>138</v>
      </c>
      <c r="R11" s="48">
        <f>SUM(R8:R10)</f>
        <v>813</v>
      </c>
      <c r="S11" s="49">
        <f>SUM(S8:S10)</f>
        <v>18703500</v>
      </c>
      <c r="T11" s="31" t="s">
        <v>0</v>
      </c>
      <c r="U11" s="63">
        <f>R8/V10</f>
        <v>11.083333333333334</v>
      </c>
      <c r="V11" s="1" t="s">
        <v>181</v>
      </c>
      <c r="AE11" s="19" t="s">
        <v>194</v>
      </c>
      <c r="AF11">
        <v>340</v>
      </c>
      <c r="AG11" s="66">
        <f>AF11/180</f>
        <v>1.8888888888888888</v>
      </c>
      <c r="AL11" s="29"/>
      <c r="AO11" s="3">
        <v>4</v>
      </c>
      <c r="AP11" s="3" t="s">
        <v>170</v>
      </c>
      <c r="AQ11" s="3"/>
      <c r="AR11" s="3"/>
      <c r="AS11" s="55"/>
      <c r="AT11" s="3"/>
      <c r="AU11" s="3"/>
      <c r="AV11" s="3"/>
      <c r="AW11" s="55"/>
      <c r="AX11" s="3"/>
      <c r="AY11" s="3"/>
      <c r="AZ11" s="3"/>
      <c r="BA11" s="55"/>
      <c r="BB11" s="3"/>
      <c r="BC11" s="3"/>
      <c r="BD11" s="3"/>
      <c r="BE11" s="55"/>
      <c r="BF11" s="3"/>
      <c r="BG11" s="3"/>
      <c r="BH11" s="3"/>
      <c r="BI11" s="55"/>
      <c r="BJ11" s="3"/>
      <c r="BK11" s="3"/>
      <c r="BL11" s="3"/>
      <c r="BM11" s="55"/>
      <c r="BN11" s="3"/>
      <c r="BO11" s="3"/>
      <c r="BP11" s="55"/>
    </row>
    <row r="12" spans="1:68">
      <c r="A12" s="3">
        <f t="shared" si="0"/>
        <v>11</v>
      </c>
      <c r="B12" s="3" t="s">
        <v>93</v>
      </c>
      <c r="C12" s="3">
        <v>16</v>
      </c>
      <c r="D12" s="4"/>
      <c r="E12" s="4"/>
      <c r="F12" s="4" t="s">
        <v>99</v>
      </c>
      <c r="G12" s="5"/>
      <c r="N12" s="19">
        <f t="shared" si="4"/>
        <v>0</v>
      </c>
      <c r="Q12" s="19"/>
      <c r="R12" s="19"/>
      <c r="S12" s="19"/>
      <c r="U12" s="44" t="s">
        <v>0</v>
      </c>
      <c r="AE12" s="19" t="s">
        <v>195</v>
      </c>
      <c r="AF12">
        <v>340</v>
      </c>
      <c r="AO12" s="3">
        <v>5</v>
      </c>
      <c r="AP12" s="56" t="s">
        <v>172</v>
      </c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55"/>
      <c r="BK12" s="55"/>
      <c r="BL12" s="55"/>
      <c r="BM12" s="55"/>
      <c r="BN12" s="55"/>
      <c r="BO12" s="55"/>
      <c r="BP12" s="55"/>
    </row>
    <row r="13" spans="1:68" ht="15.75">
      <c r="A13" s="3">
        <f t="shared" si="0"/>
        <v>12</v>
      </c>
      <c r="B13" s="3" t="s">
        <v>102</v>
      </c>
      <c r="C13" s="3">
        <v>8</v>
      </c>
      <c r="D13" s="4"/>
      <c r="E13" s="4"/>
      <c r="F13" s="4" t="s">
        <v>1</v>
      </c>
      <c r="G13" s="5"/>
      <c r="N13" s="19">
        <f t="shared" si="4"/>
        <v>0</v>
      </c>
      <c r="Q13" s="10" t="s">
        <v>110</v>
      </c>
      <c r="R13" s="19"/>
      <c r="S13" s="19"/>
      <c r="T13" s="19" t="s">
        <v>0</v>
      </c>
      <c r="AO13" s="3">
        <v>6</v>
      </c>
      <c r="AP13" s="3" t="s">
        <v>173</v>
      </c>
      <c r="AQ13" s="3"/>
      <c r="AR13" s="3"/>
      <c r="AS13" s="3"/>
      <c r="AT13" s="3"/>
      <c r="AU13" s="55"/>
      <c r="AV13" s="55"/>
      <c r="AW13" s="55"/>
      <c r="AX13" s="55"/>
      <c r="AY13" s="55"/>
      <c r="AZ13" s="55"/>
      <c r="BA13" s="55"/>
      <c r="BB13" s="55"/>
      <c r="BC13" s="55"/>
      <c r="BD13" s="55"/>
      <c r="BE13" s="55"/>
      <c r="BF13" s="55"/>
      <c r="BG13" s="55"/>
      <c r="BH13" s="55"/>
      <c r="BI13" s="55"/>
      <c r="BJ13" s="55"/>
      <c r="BK13" s="55"/>
      <c r="BL13" s="55"/>
      <c r="BM13" s="55"/>
      <c r="BN13" s="55"/>
      <c r="BO13" s="55"/>
      <c r="BP13" s="55"/>
    </row>
    <row r="14" spans="1:68" s="19" customFormat="1">
      <c r="A14" s="3">
        <f t="shared" si="0"/>
        <v>13</v>
      </c>
      <c r="B14" s="3" t="s">
        <v>129</v>
      </c>
      <c r="C14" s="3">
        <v>16</v>
      </c>
      <c r="D14" s="4"/>
      <c r="E14" s="4"/>
      <c r="F14" s="4" t="s">
        <v>99</v>
      </c>
      <c r="G14" s="5"/>
      <c r="O14" s="31" t="s">
        <v>0</v>
      </c>
      <c r="Q14" s="19" t="s">
        <v>139</v>
      </c>
      <c r="R14"/>
      <c r="S14"/>
      <c r="AC14" s="20"/>
      <c r="AN14" s="20"/>
      <c r="AO14" s="3">
        <v>7</v>
      </c>
      <c r="AP14" s="3" t="s">
        <v>102</v>
      </c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55"/>
      <c r="BP14" s="55"/>
    </row>
    <row r="15" spans="1:68" s="19" customFormat="1">
      <c r="A15" s="3">
        <f t="shared" si="0"/>
        <v>14</v>
      </c>
      <c r="B15" s="3" t="s">
        <v>127</v>
      </c>
      <c r="C15" s="3">
        <v>6</v>
      </c>
      <c r="D15" s="4"/>
      <c r="E15" s="4"/>
      <c r="F15" s="4" t="s">
        <v>1</v>
      </c>
      <c r="G15" s="5"/>
      <c r="Q15" s="19" t="s">
        <v>130</v>
      </c>
      <c r="R15"/>
      <c r="S15"/>
      <c r="AC15" s="20"/>
      <c r="AN15" s="20"/>
      <c r="AO15" s="3">
        <v>8</v>
      </c>
      <c r="AP15" s="3" t="s">
        <v>174</v>
      </c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55"/>
      <c r="BP15" s="55"/>
    </row>
    <row r="16" spans="1:68">
      <c r="A16" s="3">
        <v>15</v>
      </c>
      <c r="B16" s="3"/>
      <c r="C16" s="3"/>
      <c r="D16" s="4"/>
      <c r="E16" s="4"/>
      <c r="F16" s="4"/>
      <c r="G16" s="5"/>
      <c r="N16">
        <f t="shared" si="4"/>
        <v>0</v>
      </c>
      <c r="Q16" s="19" t="s">
        <v>133</v>
      </c>
      <c r="AO16" s="3">
        <v>9</v>
      </c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</row>
    <row r="17" spans="1:68">
      <c r="A17" s="3" t="s">
        <v>0</v>
      </c>
      <c r="B17" s="3" t="s">
        <v>0</v>
      </c>
      <c r="C17" s="3" t="s">
        <v>0</v>
      </c>
      <c r="D17" s="4"/>
      <c r="E17" s="4"/>
      <c r="F17" s="4"/>
      <c r="G17" s="5"/>
      <c r="N17">
        <f t="shared" si="4"/>
        <v>0</v>
      </c>
      <c r="T17" s="19" t="s">
        <v>0</v>
      </c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</row>
    <row r="18" spans="1:68" ht="18.75">
      <c r="A18" s="3"/>
      <c r="B18" s="33" t="s">
        <v>94</v>
      </c>
      <c r="C18" s="34">
        <f>SUM(C2:C17)</f>
        <v>813</v>
      </c>
      <c r="D18" s="3"/>
      <c r="E18" s="3"/>
      <c r="F18" s="3"/>
      <c r="G18" s="5"/>
      <c r="N18">
        <f t="shared" si="4"/>
        <v>0</v>
      </c>
      <c r="Q18" s="19" t="s">
        <v>0</v>
      </c>
      <c r="R18" s="19"/>
      <c r="T18" s="19" t="s">
        <v>0</v>
      </c>
      <c r="AO18" s="19"/>
      <c r="AP18" s="19"/>
      <c r="AQ18" s="19"/>
      <c r="AR18" s="19"/>
      <c r="AS18" s="19"/>
    </row>
    <row r="19" spans="1:68">
      <c r="Q19" s="31" t="s">
        <v>187</v>
      </c>
      <c r="S19">
        <v>18703500</v>
      </c>
      <c r="AE19" s="19"/>
      <c r="AF19" s="19" t="s">
        <v>198</v>
      </c>
      <c r="AG19" s="19">
        <f>AG20/45</f>
        <v>15.111111111111111</v>
      </c>
      <c r="AH19" s="19" t="s">
        <v>199</v>
      </c>
      <c r="AI19" s="19"/>
      <c r="AO19" s="19"/>
      <c r="AP19" s="19"/>
      <c r="AQ19" s="19"/>
      <c r="AR19" s="19"/>
      <c r="AS19" s="19"/>
    </row>
    <row r="20" spans="1:68">
      <c r="B20" s="1" t="s">
        <v>107</v>
      </c>
      <c r="C20" t="s">
        <v>0</v>
      </c>
      <c r="D20" s="2" t="s">
        <v>0</v>
      </c>
      <c r="Q20" s="31">
        <f>S8/5</f>
        <v>1476300</v>
      </c>
      <c r="R20" s="19"/>
      <c r="S20" s="31">
        <f>S19-S11</f>
        <v>0</v>
      </c>
      <c r="AE20" s="1" t="s">
        <v>184</v>
      </c>
      <c r="AF20" s="19"/>
      <c r="AG20" s="19">
        <v>680</v>
      </c>
      <c r="AH20" s="19">
        <v>133</v>
      </c>
      <c r="AI20" s="19"/>
      <c r="AO20" s="19"/>
      <c r="AP20" s="19"/>
      <c r="AQ20" s="19"/>
      <c r="AR20" s="19"/>
      <c r="AS20" s="19"/>
    </row>
    <row r="21" spans="1:68" ht="18.75">
      <c r="B21" s="19" t="s">
        <v>87</v>
      </c>
      <c r="D21" s="19" t="s">
        <v>0</v>
      </c>
      <c r="E21" s="19" t="s">
        <v>0</v>
      </c>
      <c r="F21" s="19" t="s">
        <v>0</v>
      </c>
      <c r="G21" s="19" t="s">
        <v>0</v>
      </c>
      <c r="P21" s="19" t="s">
        <v>0</v>
      </c>
      <c r="Q21" s="19" t="s">
        <v>189</v>
      </c>
      <c r="R21" s="65">
        <f>R8/5/4</f>
        <v>6.65</v>
      </c>
      <c r="AE21" s="19" t="s">
        <v>185</v>
      </c>
      <c r="AF21" s="29">
        <f>AG20/6</f>
        <v>113.33333333333333</v>
      </c>
      <c r="AG21" s="29" t="s">
        <v>0</v>
      </c>
      <c r="AH21" s="29">
        <f>AH20/6</f>
        <v>22.166666666666668</v>
      </c>
      <c r="AI21" s="19" t="s">
        <v>0</v>
      </c>
      <c r="AJ21" s="29" t="s">
        <v>0</v>
      </c>
      <c r="AK21" s="29"/>
      <c r="AO21" s="19"/>
      <c r="AP21" s="19"/>
      <c r="AQ21" s="19"/>
      <c r="AR21" s="19"/>
      <c r="AS21" s="19" t="s">
        <v>0</v>
      </c>
    </row>
    <row r="22" spans="1:68">
      <c r="B22" t="s">
        <v>11</v>
      </c>
      <c r="D22" s="19" t="s">
        <v>0</v>
      </c>
      <c r="F22" s="19" t="s">
        <v>0</v>
      </c>
      <c r="G22" s="19" t="s">
        <v>0</v>
      </c>
      <c r="Q22" s="19" t="s">
        <v>0</v>
      </c>
      <c r="AE22" s="19" t="s">
        <v>186</v>
      </c>
      <c r="AF22" s="31">
        <f>AF21/4</f>
        <v>28.333333333333332</v>
      </c>
      <c r="AH22" s="31">
        <f>AH21/4</f>
        <v>5.541666666666667</v>
      </c>
      <c r="AO22" s="19"/>
      <c r="AP22" s="19"/>
      <c r="AQ22" s="19"/>
      <c r="AR22" s="19"/>
      <c r="AS22" s="19"/>
    </row>
    <row r="23" spans="1:68">
      <c r="Q23" s="61" t="s">
        <v>134</v>
      </c>
      <c r="U23" s="61" t="s">
        <v>135</v>
      </c>
      <c r="AE23">
        <f>0.6*AG20*27700</f>
        <v>11301600</v>
      </c>
      <c r="AO23" s="19"/>
      <c r="AP23" s="19"/>
      <c r="AQ23" s="19" t="s">
        <v>177</v>
      </c>
      <c r="AR23" s="19" t="s">
        <v>178</v>
      </c>
      <c r="AS23" s="19"/>
    </row>
    <row r="24" spans="1:68">
      <c r="B24" s="1" t="s">
        <v>0</v>
      </c>
      <c r="AF24" s="19"/>
      <c r="AG24" s="19"/>
      <c r="AH24" s="19"/>
      <c r="AI24" s="19"/>
      <c r="AO24" s="19"/>
      <c r="AP24" s="19"/>
      <c r="AQ24" s="19">
        <v>680</v>
      </c>
      <c r="AR24" s="19">
        <f>AQ24/27</f>
        <v>25.185185185185187</v>
      </c>
      <c r="AS24" s="19"/>
    </row>
    <row r="25" spans="1:68">
      <c r="B25" s="19" t="s">
        <v>0</v>
      </c>
      <c r="Q25" s="1" t="s">
        <v>203</v>
      </c>
      <c r="R25" s="19" t="s">
        <v>204</v>
      </c>
      <c r="T25" s="19" t="s">
        <v>205</v>
      </c>
      <c r="U25">
        <v>697</v>
      </c>
      <c r="AO25" s="19"/>
      <c r="AP25" s="19"/>
      <c r="AQ25" s="19"/>
      <c r="AR25" s="19"/>
      <c r="AS25" s="19"/>
    </row>
    <row r="26" spans="1:68">
      <c r="B26" t="s">
        <v>51</v>
      </c>
      <c r="R26" s="19" t="s">
        <v>207</v>
      </c>
      <c r="S26" s="19" t="s">
        <v>213</v>
      </c>
      <c r="T26" s="19" t="s">
        <v>208</v>
      </c>
      <c r="U26" s="19" t="s">
        <v>211</v>
      </c>
      <c r="AE26" s="1" t="s">
        <v>182</v>
      </c>
      <c r="AO26" s="19"/>
      <c r="AP26" s="19"/>
      <c r="AQ26" s="19"/>
      <c r="AR26" s="19"/>
      <c r="AS26" s="19"/>
    </row>
    <row r="27" spans="1:68">
      <c r="B27" s="18" t="s">
        <v>52</v>
      </c>
      <c r="Q27" s="19" t="s">
        <v>206</v>
      </c>
      <c r="R27">
        <v>680</v>
      </c>
      <c r="S27" s="29">
        <f>R27*20*U25</f>
        <v>9479200</v>
      </c>
      <c r="T27">
        <f>R27/45/4</f>
        <v>3.7777777777777777</v>
      </c>
      <c r="U27" s="69">
        <f>S27/R3/R27</f>
        <v>0.50234234234234232</v>
      </c>
      <c r="AE27" s="19" t="s">
        <v>183</v>
      </c>
      <c r="AO27" s="19"/>
      <c r="AP27" s="19"/>
      <c r="AQ27" s="19"/>
      <c r="AR27" s="19"/>
      <c r="AS27" s="19"/>
    </row>
    <row r="28" spans="1:68">
      <c r="Q28" s="19" t="s">
        <v>209</v>
      </c>
      <c r="R28">
        <v>3.8</v>
      </c>
      <c r="S28" s="29">
        <f>1000*U25*R28</f>
        <v>2648600</v>
      </c>
      <c r="T28" s="19" t="s">
        <v>210</v>
      </c>
      <c r="U28" s="19" t="s">
        <v>212</v>
      </c>
      <c r="AO28" s="19"/>
      <c r="AP28" s="19"/>
      <c r="AQ28" s="19"/>
      <c r="AR28" s="19"/>
      <c r="AS28" s="19"/>
    </row>
    <row r="29" spans="1:68">
      <c r="B29" s="19" t="s">
        <v>123</v>
      </c>
      <c r="D29" s="19" t="s">
        <v>121</v>
      </c>
      <c r="AO29" s="19"/>
      <c r="AP29" s="19"/>
      <c r="AQ29" s="19"/>
      <c r="AR29" s="19"/>
      <c r="AS29" s="19"/>
    </row>
    <row r="30" spans="1:68" ht="15.75">
      <c r="B30" s="36" t="s">
        <v>114</v>
      </c>
      <c r="C30">
        <v>150</v>
      </c>
      <c r="D30" s="41">
        <f>C30/45</f>
        <v>3.3333333333333335</v>
      </c>
      <c r="Q30" s="19" t="s">
        <v>214</v>
      </c>
      <c r="AO30" s="19"/>
      <c r="AP30" s="19"/>
      <c r="AQ30" s="19"/>
      <c r="AR30" s="19"/>
      <c r="AS30" s="19"/>
    </row>
    <row r="31" spans="1:68">
      <c r="B31" s="19" t="s">
        <v>115</v>
      </c>
      <c r="C31">
        <v>150</v>
      </c>
      <c r="D31" s="41">
        <f t="shared" ref="D31:D34" si="5">C31/45</f>
        <v>3.3333333333333335</v>
      </c>
      <c r="AO31" s="19"/>
      <c r="AP31" s="19"/>
      <c r="AQ31" s="19"/>
      <c r="AR31" s="19"/>
      <c r="AS31" s="19"/>
    </row>
    <row r="32" spans="1:68" ht="15.75">
      <c r="B32" s="37" t="s">
        <v>116</v>
      </c>
      <c r="C32">
        <v>100</v>
      </c>
      <c r="D32" s="41">
        <f t="shared" si="5"/>
        <v>2.2222222222222223</v>
      </c>
      <c r="AO32" s="19"/>
      <c r="AP32" s="19"/>
      <c r="AQ32" s="19"/>
      <c r="AR32" s="19"/>
      <c r="AS32" s="19"/>
    </row>
    <row r="33" spans="1:45">
      <c r="B33" s="19" t="s">
        <v>117</v>
      </c>
      <c r="C33">
        <v>80</v>
      </c>
      <c r="D33" s="41">
        <f t="shared" si="5"/>
        <v>1.7777777777777777</v>
      </c>
      <c r="E33" s="41" t="s">
        <v>0</v>
      </c>
      <c r="AO33" s="19"/>
      <c r="AP33" s="19"/>
      <c r="AQ33" s="19"/>
      <c r="AR33" s="19"/>
      <c r="AS33" s="19"/>
    </row>
    <row r="34" spans="1:45">
      <c r="B34" s="19" t="s">
        <v>118</v>
      </c>
      <c r="C34">
        <v>200</v>
      </c>
      <c r="D34" s="41">
        <f t="shared" si="5"/>
        <v>4.4444444444444446</v>
      </c>
      <c r="AO34" s="19"/>
      <c r="AP34" s="19"/>
      <c r="AQ34" s="19"/>
      <c r="AR34" s="19"/>
      <c r="AS34" s="19"/>
    </row>
    <row r="35" spans="1:45" ht="15.75">
      <c r="B35" s="38" t="s">
        <v>49</v>
      </c>
      <c r="C35" s="1">
        <f>SUM(C30:C34)</f>
        <v>680</v>
      </c>
      <c r="D35" s="41" t="s">
        <v>0</v>
      </c>
    </row>
    <row r="36" spans="1:45">
      <c r="B36" s="39" t="s">
        <v>119</v>
      </c>
      <c r="C36">
        <v>27</v>
      </c>
    </row>
    <row r="37" spans="1:45">
      <c r="B37" s="39" t="s">
        <v>120</v>
      </c>
      <c r="C37" s="40">
        <f>(C35/C36)/4</f>
        <v>6.2962962962962967</v>
      </c>
    </row>
    <row r="39" spans="1:45">
      <c r="B39" s="39" t="s">
        <v>122</v>
      </c>
      <c r="C39" s="29">
        <f>0.6*C35*27725</f>
        <v>11311800</v>
      </c>
    </row>
    <row r="40" spans="1:45" ht="15.75">
      <c r="B40" s="37" t="s">
        <v>126</v>
      </c>
      <c r="C40" s="31">
        <f>C39*0.2</f>
        <v>2262360</v>
      </c>
    </row>
    <row r="44" spans="1:45">
      <c r="B44" s="19" t="s">
        <v>0</v>
      </c>
    </row>
    <row r="46" spans="1:45">
      <c r="A46" s="19" t="s">
        <v>0</v>
      </c>
      <c r="B46" s="19" t="s">
        <v>0</v>
      </c>
    </row>
  </sheetData>
  <hyperlinks>
    <hyperlink ref="B27" r:id="rId1"/>
  </hyperlinks>
  <pageMargins left="0.7" right="0.7" top="0.75" bottom="0.75" header="0.3" footer="0.3"/>
  <pageSetup paperSize="9" orientation="portrait" horizontalDpi="0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V36"/>
  <sheetViews>
    <sheetView workbookViewId="0">
      <selection activeCell="A4" sqref="A4"/>
    </sheetView>
  </sheetViews>
  <sheetFormatPr baseColWidth="10" defaultRowHeight="15"/>
  <cols>
    <col min="1" max="1" width="7" bestFit="1" customWidth="1"/>
    <col min="2" max="2" width="10.42578125" bestFit="1" customWidth="1"/>
    <col min="3" max="3" width="8" bestFit="1" customWidth="1"/>
    <col min="4" max="4" width="7" bestFit="1" customWidth="1"/>
    <col min="5" max="5" width="11.42578125" bestFit="1" customWidth="1"/>
    <col min="6" max="6" width="12.85546875" bestFit="1" customWidth="1"/>
    <col min="7" max="7" width="12.140625" bestFit="1" customWidth="1"/>
    <col min="8" max="8" width="7.5703125" bestFit="1" customWidth="1"/>
    <col min="9" max="9" width="9.85546875" bestFit="1" customWidth="1"/>
    <col min="10" max="10" width="9.28515625" bestFit="1" customWidth="1"/>
    <col min="11" max="11" width="9.85546875" bestFit="1" customWidth="1"/>
    <col min="12" max="12" width="9" bestFit="1" customWidth="1"/>
    <col min="13" max="13" width="7.85546875" customWidth="1"/>
    <col min="14" max="14" width="9.5703125" bestFit="1" customWidth="1"/>
    <col min="15" max="15" width="10.5703125" bestFit="1" customWidth="1"/>
    <col min="16" max="16" width="9.7109375" style="22" customWidth="1"/>
    <col min="17" max="17" width="11.28515625" style="22" bestFit="1" customWidth="1"/>
    <col min="18" max="18" width="11.7109375" style="22" bestFit="1" customWidth="1"/>
    <col min="19" max="19" width="10.42578125" style="22" bestFit="1" customWidth="1"/>
    <col min="20" max="20" width="15.5703125" style="22" bestFit="1" customWidth="1"/>
    <col min="21" max="21" width="14.28515625" style="22" bestFit="1" customWidth="1"/>
    <col min="22" max="22" width="15.140625" style="22" bestFit="1" customWidth="1"/>
    <col min="23" max="23" width="16.140625" customWidth="1"/>
    <col min="24" max="24" width="15.85546875" bestFit="1" customWidth="1"/>
    <col min="25" max="25" width="18.5703125" bestFit="1" customWidth="1"/>
    <col min="26" max="26" width="13" bestFit="1" customWidth="1"/>
    <col min="27" max="27" width="12.85546875" bestFit="1" customWidth="1"/>
    <col min="28" max="28" width="8.7109375" bestFit="1" customWidth="1"/>
    <col min="29" max="29" width="12.28515625" bestFit="1" customWidth="1"/>
    <col min="30" max="30" width="10" bestFit="1" customWidth="1"/>
    <col min="31" max="31" width="14" bestFit="1" customWidth="1"/>
    <col min="32" max="32" width="11" bestFit="1" customWidth="1"/>
    <col min="33" max="33" width="10.140625" bestFit="1" customWidth="1"/>
    <col min="34" max="34" width="8.28515625" bestFit="1" customWidth="1"/>
    <col min="35" max="35" width="10.28515625" bestFit="1" customWidth="1"/>
    <col min="36" max="36" width="11.42578125" bestFit="1" customWidth="1"/>
    <col min="38" max="38" width="2.42578125" style="20" customWidth="1"/>
    <col min="39" max="39" width="7.7109375" bestFit="1" customWidth="1"/>
    <col min="40" max="40" width="17" bestFit="1" customWidth="1"/>
    <col min="41" max="41" width="8.7109375" bestFit="1" customWidth="1"/>
    <col min="42" max="42" width="14.5703125" bestFit="1" customWidth="1"/>
    <col min="43" max="43" width="14.7109375" bestFit="1" customWidth="1"/>
    <col min="44" max="44" width="12" bestFit="1" customWidth="1"/>
    <col min="45" max="45" width="16.140625" bestFit="1" customWidth="1"/>
    <col min="46" max="47" width="16.7109375" bestFit="1" customWidth="1"/>
  </cols>
  <sheetData>
    <row r="1" spans="1:48">
      <c r="AM1" s="1" t="s">
        <v>59</v>
      </c>
    </row>
    <row r="2" spans="1:48" ht="15.75">
      <c r="A2" s="9" t="s">
        <v>43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15" t="s">
        <v>82</v>
      </c>
      <c r="Q2" s="7"/>
      <c r="R2" s="7"/>
      <c r="S2" s="7"/>
      <c r="T2" s="7"/>
      <c r="U2" s="7"/>
      <c r="V2" s="7"/>
      <c r="W2" s="11" t="s">
        <v>32</v>
      </c>
      <c r="X2" s="8"/>
      <c r="Y2" s="8"/>
      <c r="Z2" s="8"/>
      <c r="AA2" s="8"/>
      <c r="AB2" s="10" t="s">
        <v>42</v>
      </c>
    </row>
    <row r="3" spans="1:48">
      <c r="A3" s="24" t="s">
        <v>13</v>
      </c>
      <c r="B3" s="24" t="s">
        <v>14</v>
      </c>
      <c r="C3" s="24" t="s">
        <v>15</v>
      </c>
      <c r="D3" s="24" t="s">
        <v>16</v>
      </c>
      <c r="E3" s="24" t="s">
        <v>17</v>
      </c>
      <c r="F3" s="24" t="s">
        <v>18</v>
      </c>
      <c r="G3" s="24" t="s">
        <v>19</v>
      </c>
      <c r="H3" s="24" t="s">
        <v>21</v>
      </c>
      <c r="I3" s="24" t="s">
        <v>20</v>
      </c>
      <c r="J3" s="24" t="s">
        <v>22</v>
      </c>
      <c r="K3" s="24" t="s">
        <v>23</v>
      </c>
      <c r="L3" s="24" t="s">
        <v>24</v>
      </c>
      <c r="M3" s="24" t="s">
        <v>25</v>
      </c>
      <c r="N3" s="24" t="s">
        <v>26</v>
      </c>
      <c r="O3" s="24" t="s">
        <v>27</v>
      </c>
      <c r="P3" s="25" t="s">
        <v>54</v>
      </c>
      <c r="Q3" s="25" t="s">
        <v>77</v>
      </c>
      <c r="R3" s="25" t="s">
        <v>78</v>
      </c>
      <c r="S3" s="25" t="s">
        <v>56</v>
      </c>
      <c r="T3" s="25" t="s">
        <v>79</v>
      </c>
      <c r="U3" s="25" t="s">
        <v>80</v>
      </c>
      <c r="V3" s="25" t="s">
        <v>81</v>
      </c>
      <c r="W3" s="24" t="s">
        <v>28</v>
      </c>
      <c r="X3" s="24" t="s">
        <v>29</v>
      </c>
      <c r="Y3" s="24" t="s">
        <v>76</v>
      </c>
      <c r="Z3" s="24" t="s">
        <v>30</v>
      </c>
      <c r="AA3" s="24" t="s">
        <v>31</v>
      </c>
      <c r="AB3" s="24" t="s">
        <v>33</v>
      </c>
      <c r="AC3" s="24" t="s">
        <v>34</v>
      </c>
      <c r="AD3" s="24" t="s">
        <v>40</v>
      </c>
      <c r="AE3" s="24" t="s">
        <v>41</v>
      </c>
      <c r="AF3" s="24" t="s">
        <v>35</v>
      </c>
      <c r="AG3" s="24" t="s">
        <v>36</v>
      </c>
      <c r="AH3" s="24" t="s">
        <v>37</v>
      </c>
      <c r="AI3" s="24" t="s">
        <v>38</v>
      </c>
      <c r="AJ3" s="24" t="s">
        <v>39</v>
      </c>
      <c r="AK3" s="24"/>
      <c r="AM3" s="1" t="s">
        <v>53</v>
      </c>
      <c r="AN3" s="1" t="s">
        <v>14</v>
      </c>
      <c r="AO3" s="1" t="s">
        <v>54</v>
      </c>
      <c r="AP3" s="1" t="s">
        <v>55</v>
      </c>
      <c r="AQ3" s="1" t="s">
        <v>63</v>
      </c>
      <c r="AR3" s="1" t="s">
        <v>56</v>
      </c>
      <c r="AS3" s="1" t="s">
        <v>60</v>
      </c>
      <c r="AT3" s="1" t="s">
        <v>57</v>
      </c>
      <c r="AU3" s="1" t="s">
        <v>58</v>
      </c>
      <c r="AV3" s="1"/>
    </row>
    <row r="4" spans="1:48">
      <c r="AJ4" t="s">
        <v>0</v>
      </c>
      <c r="AM4" s="19" t="s">
        <v>61</v>
      </c>
      <c r="AN4" s="19" t="s">
        <v>62</v>
      </c>
      <c r="AO4">
        <v>9000000</v>
      </c>
      <c r="AP4">
        <v>-2500000</v>
      </c>
      <c r="AQ4" s="21">
        <v>43101</v>
      </c>
      <c r="AR4">
        <v>5</v>
      </c>
      <c r="AS4" s="19" t="s">
        <v>64</v>
      </c>
      <c r="AT4">
        <v>2180001</v>
      </c>
      <c r="AU4">
        <v>2818001</v>
      </c>
    </row>
    <row r="5" spans="1:48">
      <c r="AM5" s="19" t="s">
        <v>65</v>
      </c>
      <c r="AN5" s="19" t="s">
        <v>66</v>
      </c>
      <c r="AO5">
        <v>4500000</v>
      </c>
      <c r="AP5">
        <v>-4000000</v>
      </c>
      <c r="AQ5" s="21">
        <v>42005</v>
      </c>
      <c r="AR5">
        <v>7</v>
      </c>
      <c r="AS5" s="19" t="s">
        <v>67</v>
      </c>
      <c r="AT5">
        <v>2190001</v>
      </c>
      <c r="AU5">
        <v>2819001</v>
      </c>
    </row>
    <row r="6" spans="1:48">
      <c r="AM6" s="19" t="s">
        <v>68</v>
      </c>
      <c r="AN6" s="19" t="s">
        <v>69</v>
      </c>
      <c r="AO6">
        <v>800000</v>
      </c>
      <c r="AP6">
        <v>-700000</v>
      </c>
      <c r="AQ6" s="21">
        <v>42370</v>
      </c>
      <c r="AR6">
        <v>5</v>
      </c>
      <c r="AS6" s="19" t="s">
        <v>44</v>
      </c>
      <c r="AT6">
        <v>2160001</v>
      </c>
      <c r="AU6">
        <v>2816001</v>
      </c>
    </row>
    <row r="8" spans="1:48">
      <c r="O8" s="1" t="s">
        <v>0</v>
      </c>
      <c r="P8" s="23" t="s">
        <v>0</v>
      </c>
      <c r="Q8" s="23" t="s">
        <v>0</v>
      </c>
      <c r="R8" s="23" t="s">
        <v>0</v>
      </c>
      <c r="S8" s="23" t="s">
        <v>0</v>
      </c>
    </row>
    <row r="9" spans="1:48">
      <c r="AN9" s="19" t="s">
        <v>70</v>
      </c>
    </row>
    <row r="10" spans="1:48">
      <c r="AN10" s="19" t="s">
        <v>71</v>
      </c>
    </row>
    <row r="11" spans="1:48">
      <c r="AN11" s="19" t="s">
        <v>72</v>
      </c>
    </row>
    <row r="12" spans="1:48">
      <c r="AN12" s="1" t="s">
        <v>73</v>
      </c>
    </row>
    <row r="13" spans="1:48">
      <c r="AN13" s="1" t="s">
        <v>74</v>
      </c>
    </row>
    <row r="14" spans="1:48">
      <c r="AN14" s="19" t="s">
        <v>75</v>
      </c>
    </row>
    <row r="16" spans="1:48">
      <c r="AN16">
        <f>12*5</f>
        <v>60</v>
      </c>
    </row>
    <row r="36" spans="43:43">
      <c r="AQ36" s="19" t="s">
        <v>0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PM</vt:lpstr>
      <vt:lpstr>form par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AASTORGA</dc:creator>
  <cp:lastModifiedBy>AASTORGA</cp:lastModifiedBy>
  <dcterms:created xsi:type="dcterms:W3CDTF">2019-04-08T04:46:42Z</dcterms:created>
  <dcterms:modified xsi:type="dcterms:W3CDTF">2019-06-21T20:13:04Z</dcterms:modified>
</cp:coreProperties>
</file>