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-HAMARAG\Documents\Marine Lab\Monitoring\Monitoring\"/>
    </mc:Choice>
  </mc:AlternateContent>
  <bookViews>
    <workbookView xWindow="0" yWindow="360" windowWidth="15090" windowHeight="6150" tabRatio="782" activeTab="6"/>
  </bookViews>
  <sheets>
    <sheet name="resultsAug2017" sheetId="7" r:id="rId1"/>
    <sheet name="פלטה18.8.15" sheetId="2" r:id="rId2"/>
    <sheet name="8.7.15פלטה" sheetId="1" r:id="rId3"/>
    <sheet name="Calculating" sheetId="3" r:id="rId4"/>
    <sheet name="BOD bottles" sheetId="4" r:id="rId5"/>
    <sheet name="Chlorophyll in SW" sheetId="5" r:id="rId6"/>
    <sheet name="MonitoringChl" sheetId="9" r:id="rId7"/>
  </sheets>
  <definedNames>
    <definedName name="_xlnm._FilterDatabase" localSheetId="6" hidden="1">MonitoringChl!$A$6:$O$43</definedName>
    <definedName name="BlankAug17" localSheetId="0">resultsAug2017!$C$5</definedName>
    <definedName name="BlankAug17">'Chlorophyll in SW'!$C$5</definedName>
    <definedName name="Chl_BTL_1">'BOD bottles'!$B$3</definedName>
    <definedName name="Chl_BTL_2">'BOD bottles'!$B$4</definedName>
    <definedName name="Chl_BTL_3">'BOD bottles'!$B$5</definedName>
    <definedName name="Chl_BTL_4">'BOD bottles'!$B$6</definedName>
    <definedName name="CHL_BTL_6">'BOD bottles'!$B$8</definedName>
    <definedName name="ChlBTL_5">'BOD bottles'!$B$7</definedName>
    <definedName name="LabBkank" localSheetId="0">resultsAug2017!$C$4</definedName>
    <definedName name="LabBkank">'Chlorophyll in SW'!$C$4</definedName>
    <definedName name="LabBlank" localSheetId="0">resultsAug2017!$C$4</definedName>
    <definedName name="LabBlank">'Chlorophyll in SW'!$C$4</definedName>
    <definedName name="LabSlope" localSheetId="0">resultsAug2017!$D$4</definedName>
    <definedName name="LabSlope">'Chlorophyll in SW'!$D$4</definedName>
  </definedNames>
  <calcPr calcId="162913"/>
</workbook>
</file>

<file path=xl/calcChain.xml><?xml version="1.0" encoding="utf-8"?>
<calcChain xmlns="http://schemas.openxmlformats.org/spreadsheetml/2006/main">
  <c r="M18" i="9" l="1"/>
  <c r="K20" i="9"/>
  <c r="K33" i="9"/>
  <c r="K22" i="9"/>
  <c r="C8" i="4"/>
  <c r="K37" i="9" s="1"/>
  <c r="K42" i="9"/>
  <c r="K36" i="9"/>
  <c r="N36" i="9" s="1"/>
  <c r="K32" i="9"/>
  <c r="K41" i="9"/>
  <c r="K26" i="9"/>
  <c r="N26" i="9" s="1"/>
  <c r="K35" i="9"/>
  <c r="K31" i="9"/>
  <c r="K23" i="9"/>
  <c r="K28" i="9"/>
  <c r="K34" i="9"/>
  <c r="M8" i="9"/>
  <c r="N8" i="9" s="1"/>
  <c r="M9" i="9"/>
  <c r="M10" i="9"/>
  <c r="M11" i="9"/>
  <c r="M12" i="9"/>
  <c r="M13" i="9"/>
  <c r="M14" i="9"/>
  <c r="M15" i="9"/>
  <c r="M16" i="9"/>
  <c r="N16" i="9" s="1"/>
  <c r="M17" i="9"/>
  <c r="M19" i="9"/>
  <c r="M20" i="9"/>
  <c r="N20" i="9"/>
  <c r="M21" i="9"/>
  <c r="M22" i="9"/>
  <c r="N22" i="9" s="1"/>
  <c r="M23" i="9"/>
  <c r="N23" i="9" s="1"/>
  <c r="M24" i="9"/>
  <c r="M25" i="9"/>
  <c r="M26" i="9"/>
  <c r="M27" i="9"/>
  <c r="N27" i="9" s="1"/>
  <c r="M28" i="9"/>
  <c r="M29" i="9"/>
  <c r="M30" i="9"/>
  <c r="M31" i="9"/>
  <c r="M32" i="9"/>
  <c r="M33" i="9"/>
  <c r="N33" i="9"/>
  <c r="M34" i="9"/>
  <c r="M35" i="9"/>
  <c r="M36" i="9"/>
  <c r="M37" i="9"/>
  <c r="N37" i="9" s="1"/>
  <c r="M38" i="9"/>
  <c r="M39" i="9"/>
  <c r="M40" i="9"/>
  <c r="N40" i="9" s="1"/>
  <c r="M41" i="9"/>
  <c r="M42" i="9"/>
  <c r="N42" i="9" s="1"/>
  <c r="M43" i="9"/>
  <c r="M7" i="9"/>
  <c r="K8" i="9"/>
  <c r="K9" i="9"/>
  <c r="N9" i="9" s="1"/>
  <c r="K10" i="9"/>
  <c r="N10" i="9" s="1"/>
  <c r="K11" i="9"/>
  <c r="K12" i="9"/>
  <c r="K13" i="9"/>
  <c r="N13" i="9" s="1"/>
  <c r="K14" i="9"/>
  <c r="N14" i="9" s="1"/>
  <c r="K15" i="9"/>
  <c r="K16" i="9"/>
  <c r="K17" i="9"/>
  <c r="K18" i="9"/>
  <c r="N18" i="9" s="1"/>
  <c r="K19" i="9"/>
  <c r="K24" i="9"/>
  <c r="K27" i="9"/>
  <c r="K38" i="9"/>
  <c r="N38" i="9" s="1"/>
  <c r="K39" i="9"/>
  <c r="K40" i="9"/>
  <c r="K7" i="9"/>
  <c r="N7" i="9" s="1"/>
  <c r="N35" i="9"/>
  <c r="N34" i="9"/>
  <c r="N32" i="9"/>
  <c r="N28" i="9"/>
  <c r="N41" i="9"/>
  <c r="N31" i="9"/>
  <c r="N17" i="9"/>
  <c r="N24" i="9"/>
  <c r="N39" i="9"/>
  <c r="N19" i="9"/>
  <c r="N15" i="9"/>
  <c r="N12" i="9"/>
  <c r="N11" i="9"/>
  <c r="N7" i="5"/>
  <c r="O25" i="5"/>
  <c r="N51" i="5"/>
  <c r="O51" i="5" s="1"/>
  <c r="M52" i="5"/>
  <c r="N52" i="5" s="1"/>
  <c r="O52" i="5" s="1"/>
  <c r="M42" i="5"/>
  <c r="N42" i="5"/>
  <c r="O42" i="5" s="1"/>
  <c r="M43" i="5"/>
  <c r="N43" i="5" s="1"/>
  <c r="O43" i="5" s="1"/>
  <c r="M33" i="5"/>
  <c r="N33" i="5"/>
  <c r="O33" i="5" s="1"/>
  <c r="M37" i="5"/>
  <c r="N37" i="5" s="1"/>
  <c r="O37" i="5" s="1"/>
  <c r="M39" i="5"/>
  <c r="N39" i="5"/>
  <c r="O39" i="5" s="1"/>
  <c r="M34" i="5"/>
  <c r="N34" i="5" s="1"/>
  <c r="O34" i="5" s="1"/>
  <c r="M40" i="5"/>
  <c r="N40" i="5"/>
  <c r="O40" i="5" s="1"/>
  <c r="M47" i="5"/>
  <c r="N47" i="5" s="1"/>
  <c r="O47" i="5" s="1"/>
  <c r="M44" i="5"/>
  <c r="N44" i="5"/>
  <c r="O44" i="5" s="1"/>
  <c r="M53" i="5"/>
  <c r="N53" i="5" s="1"/>
  <c r="O53" i="5" s="1"/>
  <c r="M35" i="5"/>
  <c r="N35" i="5"/>
  <c r="O35" i="5" s="1"/>
  <c r="M38" i="5"/>
  <c r="N38" i="5" s="1"/>
  <c r="O38" i="5" s="1"/>
  <c r="M41" i="5"/>
  <c r="N41" i="5"/>
  <c r="O41" i="5" s="1"/>
  <c r="M54" i="5"/>
  <c r="N54" i="5" s="1"/>
  <c r="M32" i="5"/>
  <c r="N32" i="5" s="1"/>
  <c r="O32" i="5" s="1"/>
  <c r="M30" i="5"/>
  <c r="N30" i="5"/>
  <c r="O30" i="5" s="1"/>
  <c r="M31" i="5"/>
  <c r="N31" i="5" s="1"/>
  <c r="O31" i="5" s="1"/>
  <c r="M50" i="5"/>
  <c r="N50" i="5"/>
  <c r="O50" i="5" s="1"/>
  <c r="M36" i="5"/>
  <c r="N36" i="5" s="1"/>
  <c r="O36" i="5" s="1"/>
  <c r="M49" i="5"/>
  <c r="N49" i="5"/>
  <c r="O49" i="5" s="1"/>
  <c r="M46" i="5"/>
  <c r="N46" i="5" s="1"/>
  <c r="O46" i="5" s="1"/>
  <c r="M45" i="5"/>
  <c r="N45" i="5"/>
  <c r="O45" i="5" s="1"/>
  <c r="M29" i="5"/>
  <c r="N29" i="5" s="1"/>
  <c r="M24" i="5"/>
  <c r="N24" i="5" s="1"/>
  <c r="O24" i="5" s="1"/>
  <c r="M27" i="5"/>
  <c r="N27" i="5"/>
  <c r="O27" i="5" s="1"/>
  <c r="M28" i="5"/>
  <c r="N28" i="5" s="1"/>
  <c r="O28" i="5" s="1"/>
  <c r="M48" i="5"/>
  <c r="N48" i="5"/>
  <c r="O48" i="5" s="1"/>
  <c r="M23" i="5"/>
  <c r="N23" i="5" s="1"/>
  <c r="O23" i="5" s="1"/>
  <c r="M26" i="5"/>
  <c r="N26" i="5"/>
  <c r="O26" i="5" s="1"/>
  <c r="N20" i="5"/>
  <c r="O20" i="5" s="1"/>
  <c r="N13" i="5"/>
  <c r="O13" i="5" s="1"/>
  <c r="N21" i="5"/>
  <c r="O21" i="5" s="1"/>
  <c r="O7" i="5"/>
  <c r="N8" i="5"/>
  <c r="O8" i="5"/>
  <c r="N10" i="5"/>
  <c r="O10" i="5"/>
  <c r="N11" i="5"/>
  <c r="O11" i="5"/>
  <c r="N12" i="5"/>
  <c r="O12" i="5"/>
  <c r="N16" i="5"/>
  <c r="O16" i="5"/>
  <c r="N17" i="5"/>
  <c r="O17" i="5"/>
  <c r="N14" i="5"/>
  <c r="O14" i="5"/>
  <c r="N15" i="5"/>
  <c r="O15" i="5"/>
  <c r="N18" i="5"/>
  <c r="O18" i="5"/>
  <c r="N19" i="5"/>
  <c r="O19" i="5"/>
  <c r="E2" i="2"/>
  <c r="E12" i="2"/>
  <c r="F12" i="2" s="1"/>
  <c r="D17" i="2"/>
  <c r="F8" i="2" s="1"/>
  <c r="C17" i="2"/>
  <c r="E7" i="2"/>
  <c r="F7" i="2"/>
  <c r="E8" i="2"/>
  <c r="E4" i="2"/>
  <c r="F4" i="2" s="1"/>
  <c r="E10" i="2"/>
  <c r="F10" i="2" s="1"/>
  <c r="E13" i="2"/>
  <c r="E14" i="2"/>
  <c r="F14" i="2"/>
  <c r="E5" i="2"/>
  <c r="E3" i="2"/>
  <c r="F3" i="2"/>
  <c r="E9" i="2"/>
  <c r="E11" i="2"/>
  <c r="F11" i="2" s="1"/>
  <c r="E6" i="2"/>
  <c r="E3" i="1"/>
  <c r="F3" i="1" s="1"/>
  <c r="E4" i="1"/>
  <c r="E5" i="1"/>
  <c r="E6" i="1"/>
  <c r="E7" i="1"/>
  <c r="F7" i="1"/>
  <c r="E8" i="1"/>
  <c r="E9" i="1"/>
  <c r="F9" i="1" s="1"/>
  <c r="E10" i="1"/>
  <c r="F10" i="1" s="1"/>
  <c r="E11" i="1"/>
  <c r="E12" i="1"/>
  <c r="E13" i="1"/>
  <c r="F13" i="1" s="1"/>
  <c r="E2" i="1"/>
  <c r="F2" i="1" s="1"/>
  <c r="C17" i="1"/>
  <c r="F4" i="1"/>
  <c r="D17" i="1"/>
  <c r="F11" i="1" s="1"/>
  <c r="F6" i="1"/>
  <c r="F12" i="1"/>
  <c r="F5" i="1"/>
  <c r="F6" i="2"/>
  <c r="N43" i="9" l="1"/>
  <c r="F9" i="2"/>
  <c r="K29" i="9"/>
  <c r="N29" i="9" s="1"/>
  <c r="F8" i="1"/>
  <c r="F2" i="2"/>
  <c r="F5" i="2"/>
  <c r="F13" i="2"/>
  <c r="K30" i="9"/>
  <c r="N30" i="9" s="1"/>
  <c r="K43" i="9"/>
  <c r="K21" i="9"/>
  <c r="N21" i="9" s="1"/>
  <c r="K25" i="9"/>
  <c r="N25" i="9" s="1"/>
</calcChain>
</file>

<file path=xl/sharedStrings.xml><?xml version="1.0" encoding="utf-8"?>
<sst xmlns="http://schemas.openxmlformats.org/spreadsheetml/2006/main" count="508" uniqueCount="85">
  <si>
    <t>#</t>
  </si>
  <si>
    <t>E664</t>
  </si>
  <si>
    <t>E647</t>
  </si>
  <si>
    <t>E630</t>
  </si>
  <si>
    <t>פקטור דילול</t>
  </si>
  <si>
    <t xml:space="preserve">שטח לוחית </t>
  </si>
  <si>
    <t>כלורופיל מ"ג לסמ"ר</t>
  </si>
  <si>
    <t>כלורופיל קריאה</t>
  </si>
  <si>
    <t>#plate</t>
  </si>
  <si>
    <t>BOD bottle volumes</t>
  </si>
  <si>
    <t>Bottle #</t>
  </si>
  <si>
    <t>Volume (ml)</t>
  </si>
  <si>
    <t>Site</t>
  </si>
  <si>
    <t>Date of collection</t>
  </si>
  <si>
    <t>Turner designs</t>
  </si>
  <si>
    <t>נגעתי בכפפה</t>
  </si>
  <si>
    <t>SY_45</t>
  </si>
  <si>
    <t>SY_10</t>
  </si>
  <si>
    <t>נשפכה מעט</t>
  </si>
  <si>
    <t>Ach_10</t>
  </si>
  <si>
    <t>Ach_25</t>
  </si>
  <si>
    <t>SY_25</t>
  </si>
  <si>
    <t>Sdot Yam</t>
  </si>
  <si>
    <t>Achziv</t>
  </si>
  <si>
    <t xml:space="preserve">collection depth </t>
  </si>
  <si>
    <t>Surface</t>
  </si>
  <si>
    <t>BOD Bottle #</t>
  </si>
  <si>
    <t>Remarks</t>
  </si>
  <si>
    <t>Instrument</t>
  </si>
  <si>
    <t>hour</t>
  </si>
  <si>
    <t>niskin #</t>
  </si>
  <si>
    <t>Water depth at site</t>
  </si>
  <si>
    <t>Site name</t>
  </si>
  <si>
    <t>Chlorophyll conc. In solvent
(ug Chl/ mL acetone)</t>
  </si>
  <si>
    <t>solvent volume</t>
  </si>
  <si>
    <t>Chlorophyll conc. In Sea water
(ug Chl/ mL acetone)</t>
  </si>
  <si>
    <t>Blank</t>
  </si>
  <si>
    <t>Slope</t>
  </si>
  <si>
    <t>last modified</t>
  </si>
  <si>
    <t>1/30/2017</t>
  </si>
  <si>
    <t>גליון זה מחשב את ריכוז כלורופיל a בדוגמאות שנלקחו בעזרת בקבוקים מכויילים (גיליון BOD bottles)</t>
  </si>
  <si>
    <t xml:space="preserve"> הריכוזים נתונים במיקרומול לליטר</t>
  </si>
  <si>
    <t>Ach_45</t>
  </si>
  <si>
    <t>Na_45</t>
  </si>
  <si>
    <t>Nahariya</t>
  </si>
  <si>
    <t>Number</t>
  </si>
  <si>
    <t>0.0358g</t>
  </si>
  <si>
    <t>Ashdod</t>
  </si>
  <si>
    <t>S0-2-20-4</t>
  </si>
  <si>
    <t xml:space="preserve">Michmoret </t>
  </si>
  <si>
    <t>FF</t>
  </si>
  <si>
    <t>s0-2-10-2</t>
  </si>
  <si>
    <t>s0-2-15-3</t>
  </si>
  <si>
    <t>Ashqelon</t>
  </si>
  <si>
    <t>blank</t>
  </si>
  <si>
    <t>back</t>
  </si>
  <si>
    <t>מדידה 1</t>
  </si>
  <si>
    <t>מדידה 2</t>
  </si>
  <si>
    <t>ממוצע</t>
  </si>
  <si>
    <t>after break</t>
  </si>
  <si>
    <t>sample spilled</t>
  </si>
  <si>
    <t xml:space="preserve"> (RFU)Fluormeter reading</t>
  </si>
  <si>
    <t>הדגימות לא עורבבו והן תוצאה של ממוצע משני החלקים. החריגה מבין החזרות הוסרה</t>
  </si>
  <si>
    <t>Ash_30</t>
  </si>
  <si>
    <t>Ashq_30</t>
  </si>
  <si>
    <t>11/15/17</t>
  </si>
  <si>
    <t>SYT_45</t>
  </si>
  <si>
    <t>Calibration Coefficient [RFUxL/mg Chl-a]</t>
  </si>
  <si>
    <t>AC25</t>
  </si>
  <si>
    <t>Ach45</t>
  </si>
  <si>
    <t>Ach25</t>
  </si>
  <si>
    <t>AC10</t>
  </si>
  <si>
    <t>Ach10</t>
  </si>
  <si>
    <t>AC45</t>
  </si>
  <si>
    <t>SY10</t>
  </si>
  <si>
    <t>SY45</t>
  </si>
  <si>
    <t>SY25</t>
  </si>
  <si>
    <t>Flitered SW Vol. [L]</t>
  </si>
  <si>
    <t>Chlorophyll conc. In Sea water
(ug Chl/ L sw)</t>
  </si>
  <si>
    <t>Chlorophyll conc. In solvent
(ug Chl/ L acetone)</t>
  </si>
  <si>
    <t>solvent volume [L]</t>
  </si>
  <si>
    <t>Ash 30</t>
  </si>
  <si>
    <t>Shq 30</t>
  </si>
  <si>
    <t>SY 45</t>
  </si>
  <si>
    <t>Ach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</si>
</sst>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10000]d/m/yy;@"/>
    <numFmt numFmtId="168" formatCode="0.00000"/>
  </numFmts>
  <fonts count="8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FFFFFF"/>
      <name val="Calibri"/>
      <family val="2"/>
      <scheme val="minor"/>
    </font>
    <font>
      <sz val="12.1"/>
      <color theme="1"/>
      <name val="Calibri"/>
      <family val="2"/>
      <scheme val="minor"/>
    </font>
    <font>
      <sz val="12.1"/>
      <color rgb="FF01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readingOrder="1"/>
    </xf>
    <xf numFmtId="0" fontId="3" fillId="2" borderId="1" xfId="0" applyFont="1" applyFill="1" applyBorder="1" applyAlignment="1">
      <alignment horizontal="right" wrapText="1" readingOrder="2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5" fontId="0" fillId="0" borderId="0" xfId="0" applyNumberFormat="1"/>
    <xf numFmtId="0" fontId="6" fillId="3" borderId="0" xfId="0" applyFont="1" applyFill="1" applyBorder="1" applyAlignment="1">
      <alignment horizontal="right" wrapText="1"/>
    </xf>
    <xf numFmtId="0" fontId="7" fillId="3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64" fontId="0" fillId="0" borderId="0" xfId="0" applyNumberFormat="1"/>
    <xf numFmtId="168" fontId="0" fillId="0" borderId="0" xfId="0" applyNumberFormat="1"/>
    <xf numFmtId="0" fontId="5" fillId="0" borderId="2" xfId="0" applyFont="1" applyBorder="1" applyAlignment="1">
      <alignment horizontal="right" wrapText="1" readingOrder="2"/>
    </xf>
    <xf numFmtId="0" fontId="5" fillId="0" borderId="3" xfId="0" applyFont="1" applyBorder="1" applyAlignment="1">
      <alignment horizontal="right" wrapText="1" readingOrder="2"/>
    </xf>
    <xf numFmtId="0" fontId="5" fillId="0" borderId="4" xfId="0" applyFont="1" applyBorder="1" applyAlignment="1">
      <alignment horizontal="right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12</xdr:col>
      <xdr:colOff>279400</xdr:colOff>
      <xdr:row>26</xdr:row>
      <xdr:rowOff>158026</xdr:rowOff>
    </xdr:to>
    <xdr:pic>
      <xdr:nvPicPr>
        <xdr:cNvPr id="2" name="Picture 1" descr="https://owas.haifa.ac.il/owa/attachment.ashx?id=RgAAAAD%2b2PtlfcPuTYV%2bMlLGkd6XBwA43DB5q2JpRacX9bpdWAV9AAAAiytdAAA43DB5q2JpRacX9bpdWAV9AAAh7gmfAAAJ&amp;attcnt=1&amp;attid0=BAAAAAAA&amp;attcid0=image001.png%4001D0BCA1.FE3DBD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24300"/>
          <a:ext cx="7794625" cy="106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4"/>
  <sheetViews>
    <sheetView topLeftCell="A19" workbookViewId="0">
      <selection activeCell="E12" sqref="E12:H17"/>
    </sheetView>
  </sheetViews>
  <sheetFormatPr defaultRowHeight="15" x14ac:dyDescent="0.25"/>
  <cols>
    <col min="1" max="1" width="15" bestFit="1" customWidth="1"/>
    <col min="2" max="2" width="9.7109375" bestFit="1" customWidth="1"/>
    <col min="6" max="6" width="11.5703125" bestFit="1" customWidth="1"/>
    <col min="7" max="7" width="16.42578125" bestFit="1" customWidth="1"/>
    <col min="13" max="13" width="12.28515625" bestFit="1" customWidth="1"/>
  </cols>
  <sheetData>
    <row r="1" spans="1:18" ht="14.25" customHeight="1" thickBot="1" x14ac:dyDescent="0.3">
      <c r="A1" s="24" t="s">
        <v>40</v>
      </c>
      <c r="B1" s="25"/>
      <c r="C1" s="25"/>
      <c r="D1" s="25"/>
      <c r="E1" s="25"/>
      <c r="F1" s="25"/>
      <c r="G1" s="25"/>
      <c r="H1" s="25"/>
    </row>
    <row r="2" spans="1:18" ht="16.5" thickBot="1" x14ac:dyDescent="0.3">
      <c r="A2" s="24" t="s">
        <v>41</v>
      </c>
      <c r="B2" s="25"/>
      <c r="C2" s="25"/>
      <c r="D2" s="25"/>
      <c r="E2" s="25"/>
      <c r="F2" s="26"/>
      <c r="G2" s="7"/>
      <c r="H2" s="8"/>
    </row>
    <row r="3" spans="1:18" ht="15.75" thickBot="1" x14ac:dyDescent="0.3">
      <c r="C3" s="9" t="s">
        <v>36</v>
      </c>
      <c r="D3" s="9" t="s">
        <v>37</v>
      </c>
      <c r="E3" s="8"/>
      <c r="F3" s="8"/>
      <c r="G3" s="8"/>
      <c r="H3" s="8"/>
    </row>
    <row r="4" spans="1:18" ht="15.75" thickBot="1" x14ac:dyDescent="0.3">
      <c r="A4" s="9" t="s">
        <v>38</v>
      </c>
      <c r="B4" s="12" t="s">
        <v>39</v>
      </c>
      <c r="C4" s="10">
        <v>0.34</v>
      </c>
      <c r="D4" s="10">
        <v>10.33</v>
      </c>
      <c r="E4" s="11"/>
      <c r="F4" s="11"/>
      <c r="G4" s="11"/>
      <c r="H4" s="11"/>
    </row>
    <row r="5" spans="1:18" ht="15.75" thickBot="1" x14ac:dyDescent="0.3">
      <c r="A5" s="18"/>
      <c r="B5" s="4">
        <v>43016</v>
      </c>
      <c r="C5" s="19">
        <v>1.175</v>
      </c>
      <c r="D5" s="19"/>
      <c r="E5" s="19"/>
      <c r="F5" s="19"/>
      <c r="G5" s="19"/>
      <c r="H5" s="19"/>
    </row>
    <row r="6" spans="1:18" ht="78" thickBot="1" x14ac:dyDescent="0.3">
      <c r="A6" s="5" t="s">
        <v>13</v>
      </c>
      <c r="B6" t="s">
        <v>29</v>
      </c>
      <c r="C6" t="s">
        <v>30</v>
      </c>
      <c r="D6" t="s">
        <v>26</v>
      </c>
      <c r="E6" t="s">
        <v>24</v>
      </c>
      <c r="F6" t="s">
        <v>32</v>
      </c>
      <c r="G6" t="s">
        <v>12</v>
      </c>
      <c r="H6" t="s">
        <v>31</v>
      </c>
      <c r="I6" s="6" t="s">
        <v>35</v>
      </c>
      <c r="J6" t="s">
        <v>28</v>
      </c>
      <c r="K6" t="s">
        <v>27</v>
      </c>
    </row>
    <row r="7" spans="1:18" x14ac:dyDescent="0.25">
      <c r="A7" s="4">
        <v>42703</v>
      </c>
      <c r="D7">
        <v>1</v>
      </c>
      <c r="E7" t="s">
        <v>25</v>
      </c>
      <c r="F7" t="s">
        <v>19</v>
      </c>
      <c r="G7" t="s">
        <v>23</v>
      </c>
      <c r="H7">
        <v>10</v>
      </c>
      <c r="I7" s="16">
        <v>0.16766414344099914</v>
      </c>
      <c r="J7" t="s">
        <v>14</v>
      </c>
      <c r="M7" s="4"/>
      <c r="P7" s="16"/>
      <c r="Q7" s="16"/>
      <c r="R7" s="16"/>
    </row>
    <row r="8" spans="1:18" x14ac:dyDescent="0.25">
      <c r="A8" s="4">
        <v>42703</v>
      </c>
      <c r="D8">
        <v>2</v>
      </c>
      <c r="E8" t="s">
        <v>25</v>
      </c>
      <c r="F8" t="s">
        <v>19</v>
      </c>
      <c r="G8" t="s">
        <v>23</v>
      </c>
      <c r="H8">
        <v>10</v>
      </c>
      <c r="I8" s="16">
        <v>0.17841724046787685</v>
      </c>
      <c r="J8" t="s">
        <v>14</v>
      </c>
      <c r="K8" t="s">
        <v>15</v>
      </c>
      <c r="M8" s="4"/>
      <c r="P8" s="16"/>
      <c r="Q8" s="16"/>
      <c r="R8" s="16"/>
    </row>
    <row r="9" spans="1:18" x14ac:dyDescent="0.25">
      <c r="A9" s="4">
        <v>42703</v>
      </c>
      <c r="D9">
        <v>4</v>
      </c>
      <c r="E9" t="s">
        <v>25</v>
      </c>
      <c r="F9" t="s">
        <v>20</v>
      </c>
      <c r="G9" t="s">
        <v>23</v>
      </c>
      <c r="H9">
        <v>25</v>
      </c>
      <c r="I9" s="16">
        <v>0.12699380517891398</v>
      </c>
      <c r="J9" t="s">
        <v>14</v>
      </c>
      <c r="M9" s="4"/>
      <c r="P9" s="16"/>
      <c r="Q9" s="16"/>
      <c r="R9" s="16"/>
    </row>
    <row r="10" spans="1:18" x14ac:dyDescent="0.25">
      <c r="A10" s="4">
        <v>42703</v>
      </c>
      <c r="D10">
        <v>5</v>
      </c>
      <c r="E10" t="s">
        <v>25</v>
      </c>
      <c r="F10" t="s">
        <v>20</v>
      </c>
      <c r="G10" t="s">
        <v>23</v>
      </c>
      <c r="H10">
        <v>25</v>
      </c>
      <c r="I10" s="16">
        <v>0.17382611643688176</v>
      </c>
      <c r="J10" t="s">
        <v>14</v>
      </c>
      <c r="M10" s="4"/>
      <c r="P10" s="16"/>
      <c r="Q10" s="16"/>
      <c r="R10" s="16"/>
    </row>
    <row r="11" spans="1:18" x14ac:dyDescent="0.25">
      <c r="A11" s="4">
        <v>42703</v>
      </c>
      <c r="D11">
        <v>6</v>
      </c>
      <c r="E11" t="s">
        <v>25</v>
      </c>
      <c r="F11" t="s">
        <v>20</v>
      </c>
      <c r="G11" t="s">
        <v>23</v>
      </c>
      <c r="H11">
        <v>25</v>
      </c>
      <c r="I11" s="16">
        <v>0.16318754655384216</v>
      </c>
      <c r="J11" t="s">
        <v>14</v>
      </c>
      <c r="M11" s="4"/>
      <c r="P11" s="16"/>
      <c r="Q11" s="16"/>
      <c r="R11" s="16"/>
    </row>
    <row r="12" spans="1:18" x14ac:dyDescent="0.25">
      <c r="A12" s="4">
        <v>42668</v>
      </c>
      <c r="D12">
        <v>5</v>
      </c>
      <c r="E12" t="s">
        <v>25</v>
      </c>
      <c r="F12" t="s">
        <v>17</v>
      </c>
      <c r="G12" t="s">
        <v>22</v>
      </c>
      <c r="H12">
        <v>10</v>
      </c>
      <c r="I12" s="16">
        <v>0.21388353206595007</v>
      </c>
      <c r="J12" t="s">
        <v>14</v>
      </c>
      <c r="M12" s="4"/>
      <c r="P12" s="16"/>
      <c r="Q12" s="16"/>
      <c r="R12" s="16"/>
    </row>
    <row r="13" spans="1:18" x14ac:dyDescent="0.25">
      <c r="A13" s="4">
        <v>42668</v>
      </c>
      <c r="D13">
        <v>4</v>
      </c>
      <c r="E13" t="s">
        <v>25</v>
      </c>
      <c r="F13" t="s">
        <v>17</v>
      </c>
      <c r="G13" t="s">
        <v>22</v>
      </c>
      <c r="H13">
        <v>10</v>
      </c>
      <c r="I13" s="16">
        <v>0.18876813354695418</v>
      </c>
      <c r="J13" t="s">
        <v>14</v>
      </c>
      <c r="M13" s="4"/>
      <c r="P13" s="16"/>
      <c r="Q13" s="16"/>
      <c r="R13" s="16"/>
    </row>
    <row r="14" spans="1:18" x14ac:dyDescent="0.25">
      <c r="A14" s="4">
        <v>42668</v>
      </c>
      <c r="D14">
        <v>6</v>
      </c>
      <c r="E14" t="s">
        <v>25</v>
      </c>
      <c r="F14" t="s">
        <v>17</v>
      </c>
      <c r="G14" t="s">
        <v>22</v>
      </c>
      <c r="H14">
        <v>10</v>
      </c>
      <c r="I14" s="16">
        <v>0.20151558496424926</v>
      </c>
      <c r="J14" t="s">
        <v>14</v>
      </c>
      <c r="M14" s="4"/>
      <c r="P14" s="16"/>
      <c r="Q14" s="16"/>
      <c r="R14" s="16"/>
    </row>
    <row r="15" spans="1:18" x14ac:dyDescent="0.25">
      <c r="A15" s="4">
        <v>42668</v>
      </c>
      <c r="D15">
        <v>3</v>
      </c>
      <c r="E15" t="s">
        <v>25</v>
      </c>
      <c r="F15" t="s">
        <v>21</v>
      </c>
      <c r="G15" t="s">
        <v>22</v>
      </c>
      <c r="H15">
        <v>25</v>
      </c>
      <c r="I15" s="16">
        <v>0.19542049433225181</v>
      </c>
      <c r="J15" t="s">
        <v>14</v>
      </c>
      <c r="M15" s="4"/>
      <c r="P15" s="16"/>
      <c r="Q15" s="16"/>
      <c r="R15" s="16"/>
    </row>
    <row r="16" spans="1:18" x14ac:dyDescent="0.25">
      <c r="A16" s="4">
        <v>42668</v>
      </c>
      <c r="D16">
        <v>2</v>
      </c>
      <c r="E16" t="s">
        <v>25</v>
      </c>
      <c r="F16" t="s">
        <v>21</v>
      </c>
      <c r="G16" t="s">
        <v>22</v>
      </c>
      <c r="H16">
        <v>25</v>
      </c>
      <c r="I16" s="16">
        <v>0.21068019724759685</v>
      </c>
      <c r="J16" t="s">
        <v>14</v>
      </c>
      <c r="M16" s="4"/>
      <c r="Q16" s="16"/>
      <c r="R16" s="16"/>
    </row>
    <row r="17" spans="1:18" x14ac:dyDescent="0.25">
      <c r="A17" s="4">
        <v>42668</v>
      </c>
      <c r="D17">
        <v>1</v>
      </c>
      <c r="E17" t="s">
        <v>25</v>
      </c>
      <c r="F17" t="s">
        <v>21</v>
      </c>
      <c r="G17" t="s">
        <v>22</v>
      </c>
      <c r="H17">
        <v>25</v>
      </c>
      <c r="I17" s="16">
        <v>0.22756166398602656</v>
      </c>
      <c r="J17" t="s">
        <v>14</v>
      </c>
      <c r="M17" s="4"/>
      <c r="Q17" s="16"/>
      <c r="R17" s="16"/>
    </row>
    <row r="18" spans="1:18" x14ac:dyDescent="0.25">
      <c r="A18" s="4">
        <v>42712</v>
      </c>
      <c r="D18">
        <v>2</v>
      </c>
      <c r="E18" t="s">
        <v>25</v>
      </c>
      <c r="F18" t="s">
        <v>16</v>
      </c>
      <c r="G18" t="s">
        <v>22</v>
      </c>
      <c r="H18">
        <v>45</v>
      </c>
      <c r="I18" s="16">
        <v>0.25519071969950874</v>
      </c>
      <c r="J18" t="s">
        <v>14</v>
      </c>
      <c r="M18" s="4"/>
      <c r="R18" s="16"/>
    </row>
    <row r="19" spans="1:18" x14ac:dyDescent="0.25">
      <c r="A19" s="4">
        <v>42712</v>
      </c>
      <c r="D19">
        <v>1</v>
      </c>
      <c r="E19" t="s">
        <v>25</v>
      </c>
      <c r="F19" t="s">
        <v>16</v>
      </c>
      <c r="G19" t="s">
        <v>22</v>
      </c>
      <c r="H19">
        <v>45</v>
      </c>
      <c r="I19" s="16">
        <v>0.26051197038830226</v>
      </c>
      <c r="J19" t="s">
        <v>14</v>
      </c>
      <c r="M19" s="4"/>
    </row>
    <row r="20" spans="1:18" x14ac:dyDescent="0.25">
      <c r="A20" s="4">
        <v>42712</v>
      </c>
      <c r="D20">
        <v>3</v>
      </c>
      <c r="E20" t="s">
        <v>25</v>
      </c>
      <c r="F20" t="s">
        <v>16</v>
      </c>
      <c r="G20" t="s">
        <v>22</v>
      </c>
      <c r="H20">
        <v>45</v>
      </c>
      <c r="I20" s="16">
        <v>0.25293452914414583</v>
      </c>
      <c r="J20" t="s">
        <v>14</v>
      </c>
      <c r="M20" s="4"/>
    </row>
    <row r="21" spans="1:18" ht="14.25" customHeight="1" x14ac:dyDescent="0.25">
      <c r="A21" s="4">
        <v>42478</v>
      </c>
      <c r="D21">
        <v>1</v>
      </c>
      <c r="E21" t="s">
        <v>25</v>
      </c>
      <c r="F21" t="s">
        <v>19</v>
      </c>
      <c r="G21" t="s">
        <v>23</v>
      </c>
      <c r="H21">
        <v>10</v>
      </c>
      <c r="I21" s="16">
        <v>0.11343621002996657</v>
      </c>
      <c r="L21" t="s">
        <v>62</v>
      </c>
      <c r="M21" s="4"/>
    </row>
    <row r="22" spans="1:18" x14ac:dyDescent="0.25">
      <c r="A22" s="4">
        <v>42478</v>
      </c>
      <c r="D22">
        <v>2</v>
      </c>
      <c r="E22" t="s">
        <v>25</v>
      </c>
      <c r="F22" t="s">
        <v>19</v>
      </c>
      <c r="G22" t="s">
        <v>23</v>
      </c>
      <c r="H22">
        <v>10</v>
      </c>
      <c r="I22" s="16">
        <v>0.12389902246220093</v>
      </c>
      <c r="L22" t="s">
        <v>62</v>
      </c>
      <c r="M22" s="4"/>
    </row>
    <row r="23" spans="1:18" x14ac:dyDescent="0.25">
      <c r="A23" s="4">
        <v>42478</v>
      </c>
      <c r="D23">
        <v>4</v>
      </c>
      <c r="E23" t="s">
        <v>25</v>
      </c>
      <c r="F23" t="s">
        <v>20</v>
      </c>
      <c r="G23" t="s">
        <v>23</v>
      </c>
      <c r="H23">
        <v>25</v>
      </c>
      <c r="I23" s="16">
        <v>8.9053837107206338E-2</v>
      </c>
      <c r="L23" t="s">
        <v>62</v>
      </c>
      <c r="M23" s="4"/>
    </row>
    <row r="24" spans="1:18" x14ac:dyDescent="0.25">
      <c r="A24" s="4">
        <v>42478</v>
      </c>
      <c r="D24">
        <v>5</v>
      </c>
      <c r="E24" t="s">
        <v>25</v>
      </c>
      <c r="F24" t="s">
        <v>20</v>
      </c>
      <c r="G24" t="s">
        <v>23</v>
      </c>
      <c r="H24">
        <v>25</v>
      </c>
      <c r="I24" s="16">
        <v>0.10554441432498428</v>
      </c>
      <c r="L24" t="s">
        <v>62</v>
      </c>
      <c r="M24" s="4"/>
    </row>
    <row r="25" spans="1:18" x14ac:dyDescent="0.25">
      <c r="A25" s="4">
        <v>42478</v>
      </c>
      <c r="D25">
        <v>6</v>
      </c>
      <c r="E25" t="s">
        <v>25</v>
      </c>
      <c r="F25" t="s">
        <v>20</v>
      </c>
      <c r="G25" t="s">
        <v>23</v>
      </c>
      <c r="H25">
        <v>25</v>
      </c>
      <c r="I25" s="16">
        <v>0.10060279752610336</v>
      </c>
      <c r="L25" t="s">
        <v>62</v>
      </c>
      <c r="M25" s="4"/>
    </row>
    <row r="26" spans="1:18" x14ac:dyDescent="0.25">
      <c r="A26" s="17">
        <v>42859</v>
      </c>
      <c r="D26">
        <v>1</v>
      </c>
      <c r="E26" t="s">
        <v>25</v>
      </c>
      <c r="F26" t="s">
        <v>42</v>
      </c>
      <c r="G26" t="s">
        <v>23</v>
      </c>
      <c r="H26">
        <v>45</v>
      </c>
      <c r="I26" s="16">
        <v>7.1436797888334472E-2</v>
      </c>
      <c r="L26" t="s">
        <v>62</v>
      </c>
      <c r="M26" s="17"/>
    </row>
    <row r="27" spans="1:18" x14ac:dyDescent="0.25">
      <c r="A27" s="17">
        <v>42859</v>
      </c>
      <c r="D27">
        <v>2</v>
      </c>
      <c r="E27" t="s">
        <v>25</v>
      </c>
      <c r="F27" t="s">
        <v>42</v>
      </c>
      <c r="G27" t="s">
        <v>23</v>
      </c>
      <c r="H27">
        <v>45</v>
      </c>
      <c r="I27" s="16">
        <v>6.5993414671513387E-2</v>
      </c>
      <c r="L27" t="s">
        <v>62</v>
      </c>
      <c r="M27" s="17"/>
      <c r="P27" s="16"/>
    </row>
    <row r="28" spans="1:18" x14ac:dyDescent="0.25">
      <c r="A28" s="17">
        <v>42859</v>
      </c>
      <c r="D28">
        <v>3</v>
      </c>
      <c r="E28" t="s">
        <v>25</v>
      </c>
      <c r="F28" t="s">
        <v>42</v>
      </c>
      <c r="G28" t="s">
        <v>23</v>
      </c>
      <c r="H28">
        <v>45</v>
      </c>
      <c r="I28" s="16">
        <v>6.6781647210073028E-2</v>
      </c>
      <c r="L28" t="s">
        <v>62</v>
      </c>
      <c r="M28" s="17"/>
      <c r="P28" s="16"/>
    </row>
    <row r="29" spans="1:18" x14ac:dyDescent="0.25">
      <c r="A29" s="17">
        <v>42860</v>
      </c>
      <c r="D29">
        <v>4</v>
      </c>
      <c r="E29" t="s">
        <v>25</v>
      </c>
      <c r="F29" t="s">
        <v>17</v>
      </c>
      <c r="G29" t="s">
        <v>22</v>
      </c>
      <c r="H29">
        <v>10</v>
      </c>
      <c r="I29" s="16">
        <v>0.18806393653819886</v>
      </c>
      <c r="L29" t="s">
        <v>62</v>
      </c>
      <c r="M29" s="17"/>
      <c r="P29" s="16"/>
    </row>
    <row r="30" spans="1:18" x14ac:dyDescent="0.25">
      <c r="A30" s="17">
        <v>42860</v>
      </c>
      <c r="D30">
        <v>6</v>
      </c>
      <c r="E30" t="s">
        <v>25</v>
      </c>
      <c r="F30" t="s">
        <v>17</v>
      </c>
      <c r="G30" t="s">
        <v>22</v>
      </c>
      <c r="H30">
        <v>10</v>
      </c>
      <c r="I30" s="16">
        <v>0.19217160332982305</v>
      </c>
      <c r="J30" t="s">
        <v>59</v>
      </c>
      <c r="L30" t="s">
        <v>62</v>
      </c>
      <c r="M30" s="17"/>
      <c r="P30" s="16"/>
    </row>
    <row r="31" spans="1:18" x14ac:dyDescent="0.25">
      <c r="A31" s="17">
        <v>42860</v>
      </c>
      <c r="D31">
        <v>2</v>
      </c>
      <c r="E31" t="s">
        <v>25</v>
      </c>
      <c r="F31" t="s">
        <v>21</v>
      </c>
      <c r="G31" t="s">
        <v>22</v>
      </c>
      <c r="H31">
        <v>25</v>
      </c>
      <c r="I31" s="16">
        <v>0.24692637133151615</v>
      </c>
      <c r="L31" t="s">
        <v>62</v>
      </c>
      <c r="M31" s="17"/>
      <c r="P31" s="16"/>
    </row>
    <row r="32" spans="1:18" x14ac:dyDescent="0.25">
      <c r="A32" s="17">
        <v>42860</v>
      </c>
      <c r="D32">
        <v>1</v>
      </c>
      <c r="E32" t="s">
        <v>25</v>
      </c>
      <c r="F32" t="s">
        <v>21</v>
      </c>
      <c r="G32" t="s">
        <v>22</v>
      </c>
      <c r="H32">
        <v>25</v>
      </c>
      <c r="I32" s="16">
        <v>0.2380670754401934</v>
      </c>
      <c r="L32" t="s">
        <v>62</v>
      </c>
      <c r="M32" s="17"/>
    </row>
    <row r="33" spans="1:13" x14ac:dyDescent="0.25">
      <c r="A33" s="17">
        <v>42866</v>
      </c>
      <c r="D33">
        <v>2</v>
      </c>
      <c r="E33" t="s">
        <v>25</v>
      </c>
      <c r="F33" t="s">
        <v>16</v>
      </c>
      <c r="G33" t="s">
        <v>22</v>
      </c>
      <c r="H33">
        <v>45</v>
      </c>
      <c r="I33" s="16">
        <v>7.5184605847131269E-2</v>
      </c>
      <c r="L33" t="s">
        <v>62</v>
      </c>
      <c r="M33" s="17"/>
    </row>
    <row r="34" spans="1:13" x14ac:dyDescent="0.25">
      <c r="A34" s="17">
        <v>42866</v>
      </c>
      <c r="D34">
        <v>3</v>
      </c>
      <c r="E34" t="s">
        <v>25</v>
      </c>
      <c r="F34" t="s">
        <v>16</v>
      </c>
      <c r="G34" t="s">
        <v>22</v>
      </c>
      <c r="H34">
        <v>45</v>
      </c>
      <c r="I34" s="16">
        <v>7.9460179674327308E-2</v>
      </c>
      <c r="L34" t="s">
        <v>62</v>
      </c>
      <c r="M34" s="17"/>
    </row>
    <row r="35" spans="1:13" x14ac:dyDescent="0.25">
      <c r="A35" s="17">
        <v>42866</v>
      </c>
      <c r="D35">
        <v>1</v>
      </c>
      <c r="E35" t="s">
        <v>25</v>
      </c>
      <c r="F35" t="s">
        <v>16</v>
      </c>
      <c r="G35" t="s">
        <v>22</v>
      </c>
      <c r="H35">
        <v>45</v>
      </c>
      <c r="I35" s="16">
        <v>7.7728927923316926E-2</v>
      </c>
      <c r="L35" t="s">
        <v>62</v>
      </c>
      <c r="M35" s="17"/>
    </row>
    <row r="36" spans="1:13" x14ac:dyDescent="0.25">
      <c r="A36" s="4">
        <v>42871</v>
      </c>
      <c r="D36">
        <v>1</v>
      </c>
      <c r="E36" t="s">
        <v>25</v>
      </c>
      <c r="F36" t="s">
        <v>63</v>
      </c>
      <c r="G36" t="s">
        <v>47</v>
      </c>
      <c r="H36">
        <v>30</v>
      </c>
      <c r="I36" s="16">
        <v>5.4628139561667545E-2</v>
      </c>
      <c r="L36" t="s">
        <v>62</v>
      </c>
      <c r="M36" s="4"/>
    </row>
    <row r="37" spans="1:13" x14ac:dyDescent="0.25">
      <c r="A37" s="4">
        <v>42871</v>
      </c>
      <c r="D37">
        <v>2</v>
      </c>
      <c r="E37" t="s">
        <v>25</v>
      </c>
      <c r="F37" t="s">
        <v>63</v>
      </c>
      <c r="G37" t="s">
        <v>47</v>
      </c>
      <c r="H37">
        <v>30</v>
      </c>
      <c r="I37" s="16">
        <v>6.2959107860835209E-2</v>
      </c>
      <c r="L37" t="s">
        <v>62</v>
      </c>
      <c r="M37" s="4"/>
    </row>
    <row r="38" spans="1:13" x14ac:dyDescent="0.25">
      <c r="A38" s="4">
        <v>42871</v>
      </c>
      <c r="D38">
        <v>3</v>
      </c>
      <c r="E38" t="s">
        <v>25</v>
      </c>
      <c r="F38" t="s">
        <v>63</v>
      </c>
      <c r="G38" t="s">
        <v>47</v>
      </c>
      <c r="H38">
        <v>30</v>
      </c>
      <c r="I38" s="16">
        <v>7.2923496846736005E-2</v>
      </c>
      <c r="L38" t="s">
        <v>62</v>
      </c>
      <c r="M38" s="4"/>
    </row>
    <row r="39" spans="1:13" x14ac:dyDescent="0.25">
      <c r="A39" s="4">
        <v>42880</v>
      </c>
      <c r="D39">
        <v>6</v>
      </c>
      <c r="E39" t="s">
        <v>25</v>
      </c>
      <c r="F39" t="s">
        <v>43</v>
      </c>
      <c r="G39" t="s">
        <v>44</v>
      </c>
      <c r="H39">
        <v>45</v>
      </c>
      <c r="I39" s="16">
        <v>8.5081159787400065E-2</v>
      </c>
      <c r="L39" t="s">
        <v>62</v>
      </c>
      <c r="M39" s="4"/>
    </row>
    <row r="40" spans="1:13" x14ac:dyDescent="0.25">
      <c r="A40" s="4">
        <v>42880</v>
      </c>
      <c r="D40">
        <v>4</v>
      </c>
      <c r="E40" t="s">
        <v>25</v>
      </c>
      <c r="F40" t="s">
        <v>43</v>
      </c>
      <c r="G40" t="s">
        <v>44</v>
      </c>
      <c r="H40">
        <v>45</v>
      </c>
      <c r="I40" s="16">
        <v>8.5413680261948288E-2</v>
      </c>
      <c r="L40" t="s">
        <v>62</v>
      </c>
      <c r="M40" s="4"/>
    </row>
    <row r="41" spans="1:13" x14ac:dyDescent="0.25">
      <c r="A41" s="4">
        <v>42880</v>
      </c>
      <c r="D41">
        <v>5</v>
      </c>
      <c r="E41" t="s">
        <v>25</v>
      </c>
      <c r="F41" t="s">
        <v>43</v>
      </c>
      <c r="G41" t="s">
        <v>44</v>
      </c>
      <c r="H41">
        <v>45</v>
      </c>
      <c r="I41" s="16">
        <v>9.7581727608021099E-2</v>
      </c>
      <c r="L41" t="s">
        <v>62</v>
      </c>
      <c r="M41" s="4"/>
    </row>
    <row r="42" spans="1:13" x14ac:dyDescent="0.25">
      <c r="A42" s="4">
        <v>42885</v>
      </c>
      <c r="D42">
        <v>1</v>
      </c>
      <c r="E42" t="s">
        <v>25</v>
      </c>
      <c r="F42" t="s">
        <v>64</v>
      </c>
      <c r="G42" t="s">
        <v>53</v>
      </c>
      <c r="H42">
        <v>30</v>
      </c>
      <c r="I42" s="16">
        <v>0.2048833154500474</v>
      </c>
      <c r="L42" t="s">
        <v>62</v>
      </c>
      <c r="M42" s="4"/>
    </row>
    <row r="43" spans="1:13" x14ac:dyDescent="0.25">
      <c r="A43" s="4">
        <v>42885</v>
      </c>
      <c r="D43">
        <v>2</v>
      </c>
      <c r="E43" t="s">
        <v>25</v>
      </c>
      <c r="F43" t="s">
        <v>64</v>
      </c>
      <c r="G43" t="s">
        <v>53</v>
      </c>
      <c r="H43">
        <v>30</v>
      </c>
      <c r="I43" s="16">
        <v>0.19738441649535243</v>
      </c>
      <c r="L43" t="s">
        <v>62</v>
      </c>
      <c r="M43" s="4"/>
    </row>
    <row r="44" spans="1:13" x14ac:dyDescent="0.25">
      <c r="I44" s="16"/>
    </row>
  </sheetData>
  <sortState ref="O7:P43">
    <sortCondition ref="O7:O43"/>
  </sortState>
  <mergeCells count="2">
    <mergeCell ref="A1:H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1" sqref="B11"/>
    </sheetView>
  </sheetViews>
  <sheetFormatPr defaultRowHeight="15" x14ac:dyDescent="0.25"/>
  <cols>
    <col min="5" max="5" width="11.5703125" bestFit="1" customWidth="1"/>
    <col min="6" max="6" width="15" bestFit="1" customWidth="1"/>
  </cols>
  <sheetData>
    <row r="1" spans="1:6" x14ac:dyDescent="0.25">
      <c r="A1" t="s">
        <v>8</v>
      </c>
      <c r="B1" t="s">
        <v>1</v>
      </c>
      <c r="C1" t="s">
        <v>2</v>
      </c>
      <c r="D1" t="s">
        <v>3</v>
      </c>
      <c r="E1" t="s">
        <v>7</v>
      </c>
      <c r="F1" s="1" t="s">
        <v>6</v>
      </c>
    </row>
    <row r="2" spans="1:6" x14ac:dyDescent="0.25">
      <c r="A2">
        <v>30</v>
      </c>
      <c r="B2">
        <v>1.7999999999999999E-2</v>
      </c>
      <c r="C2">
        <v>8.9999999999999993E-3</v>
      </c>
      <c r="D2">
        <v>1.4999999999999999E-2</v>
      </c>
      <c r="E2">
        <f t="shared" ref="E2:E14" si="0">((11.85*B2)-(1.54*C2)-(0.08*D2))*0.3</f>
        <v>5.947199999999999E-2</v>
      </c>
      <c r="F2" s="2">
        <f t="shared" ref="F2:F14" si="1">E2/$C$17/$D$17</f>
        <v>2.9735999999999992E-2</v>
      </c>
    </row>
    <row r="3" spans="1:6" x14ac:dyDescent="0.25">
      <c r="A3">
        <v>31</v>
      </c>
      <c r="B3">
        <v>0.13</v>
      </c>
      <c r="C3">
        <v>6.0000000000000001E-3</v>
      </c>
      <c r="D3">
        <v>1.0999999999999999E-2</v>
      </c>
      <c r="E3">
        <f t="shared" si="0"/>
        <v>0.45911400000000002</v>
      </c>
      <c r="F3" s="2">
        <f t="shared" si="1"/>
        <v>0.22955700000000001</v>
      </c>
    </row>
    <row r="4" spans="1:6" x14ac:dyDescent="0.25">
      <c r="A4">
        <v>32</v>
      </c>
      <c r="B4">
        <v>1.7000000000000001E-2</v>
      </c>
      <c r="C4">
        <v>8.9999999999999993E-3</v>
      </c>
      <c r="D4">
        <v>1.6E-2</v>
      </c>
      <c r="E4">
        <f t="shared" si="0"/>
        <v>5.5892999999999998E-2</v>
      </c>
      <c r="F4" s="2">
        <f t="shared" si="1"/>
        <v>2.7946499999999999E-2</v>
      </c>
    </row>
    <row r="5" spans="1:6" x14ac:dyDescent="0.25">
      <c r="A5">
        <v>33</v>
      </c>
      <c r="B5">
        <v>1.6E-2</v>
      </c>
      <c r="C5">
        <v>8.0000000000000002E-3</v>
      </c>
      <c r="D5">
        <v>0.01</v>
      </c>
      <c r="E5">
        <f t="shared" si="0"/>
        <v>5.2943999999999998E-2</v>
      </c>
      <c r="F5" s="2">
        <f t="shared" si="1"/>
        <v>2.6471999999999996E-2</v>
      </c>
    </row>
    <row r="6" spans="1:6" x14ac:dyDescent="0.25">
      <c r="A6">
        <v>34</v>
      </c>
      <c r="B6">
        <v>2.1000000000000001E-2</v>
      </c>
      <c r="C6">
        <v>1.2E-2</v>
      </c>
      <c r="D6">
        <v>1.4999999999999999E-2</v>
      </c>
      <c r="E6">
        <f t="shared" si="0"/>
        <v>6.8751000000000007E-2</v>
      </c>
      <c r="F6" s="2">
        <f t="shared" si="1"/>
        <v>3.4375500000000003E-2</v>
      </c>
    </row>
    <row r="7" spans="1:6" x14ac:dyDescent="0.25">
      <c r="A7">
        <v>34</v>
      </c>
      <c r="B7">
        <v>1.7999999999999999E-2</v>
      </c>
      <c r="C7">
        <v>8.9999999999999993E-3</v>
      </c>
      <c r="D7">
        <v>1.4E-2</v>
      </c>
      <c r="E7">
        <f t="shared" si="0"/>
        <v>5.9495999999999986E-2</v>
      </c>
      <c r="F7" s="2">
        <f t="shared" si="1"/>
        <v>2.9747999999999993E-2</v>
      </c>
    </row>
    <row r="8" spans="1:6" x14ac:dyDescent="0.25">
      <c r="A8">
        <v>36</v>
      </c>
      <c r="B8">
        <v>1.7000000000000001E-2</v>
      </c>
      <c r="C8">
        <v>8.0000000000000002E-3</v>
      </c>
      <c r="D8">
        <v>1.4999999999999999E-2</v>
      </c>
      <c r="E8">
        <f t="shared" si="0"/>
        <v>5.6378999999999999E-2</v>
      </c>
      <c r="F8" s="2">
        <f t="shared" si="1"/>
        <v>2.8189499999999999E-2</v>
      </c>
    </row>
    <row r="9" spans="1:6" x14ac:dyDescent="0.25">
      <c r="A9">
        <v>37</v>
      </c>
      <c r="B9">
        <v>1.4999999999999999E-2</v>
      </c>
      <c r="C9">
        <v>7.0000000000000001E-3</v>
      </c>
      <c r="D9">
        <v>0.01</v>
      </c>
      <c r="E9">
        <f t="shared" si="0"/>
        <v>4.9850999999999993E-2</v>
      </c>
      <c r="F9" s="2">
        <f t="shared" si="1"/>
        <v>2.4925499999999996E-2</v>
      </c>
    </row>
    <row r="10" spans="1:6" x14ac:dyDescent="0.25">
      <c r="A10">
        <v>38</v>
      </c>
      <c r="B10">
        <v>0.02</v>
      </c>
      <c r="C10">
        <v>0.09</v>
      </c>
      <c r="D10">
        <v>1.7000000000000001E-2</v>
      </c>
      <c r="E10">
        <f t="shared" si="0"/>
        <v>2.9111999999999996E-2</v>
      </c>
      <c r="F10" s="2">
        <f t="shared" si="1"/>
        <v>1.4555999999999998E-2</v>
      </c>
    </row>
    <row r="11" spans="1:6" x14ac:dyDescent="0.25">
      <c r="A11">
        <v>39</v>
      </c>
      <c r="B11">
        <v>1.4999999999999999E-2</v>
      </c>
      <c r="C11">
        <v>4.0000000000000001E-3</v>
      </c>
      <c r="D11">
        <v>7.0000000000000001E-3</v>
      </c>
      <c r="E11">
        <f t="shared" si="0"/>
        <v>5.1308999999999994E-2</v>
      </c>
      <c r="F11" s="2">
        <f t="shared" si="1"/>
        <v>2.5654499999999993E-2</v>
      </c>
    </row>
    <row r="12" spans="1:6" x14ac:dyDescent="0.25">
      <c r="A12">
        <v>40</v>
      </c>
      <c r="B12">
        <v>1.2999999999999999E-2</v>
      </c>
      <c r="C12">
        <v>7.0000000000000001E-3</v>
      </c>
      <c r="D12">
        <v>8.9999999999999993E-3</v>
      </c>
      <c r="E12">
        <f t="shared" si="0"/>
        <v>4.2764999999999991E-2</v>
      </c>
      <c r="F12" s="2">
        <f t="shared" si="1"/>
        <v>2.1382499999999995E-2</v>
      </c>
    </row>
    <row r="13" spans="1:6" x14ac:dyDescent="0.25">
      <c r="A13">
        <v>41</v>
      </c>
      <c r="B13">
        <v>0.02</v>
      </c>
      <c r="C13">
        <v>1.0999999999999999E-2</v>
      </c>
      <c r="D13">
        <v>1.6E-2</v>
      </c>
      <c r="E13">
        <f t="shared" si="0"/>
        <v>6.5633999999999984E-2</v>
      </c>
      <c r="F13" s="2">
        <f t="shared" si="1"/>
        <v>3.2816999999999992E-2</v>
      </c>
    </row>
    <row r="14" spans="1:6" x14ac:dyDescent="0.25">
      <c r="A14">
        <v>53</v>
      </c>
      <c r="B14">
        <v>1.7999999999999999E-2</v>
      </c>
      <c r="C14">
        <v>8.0000000000000002E-3</v>
      </c>
      <c r="D14">
        <v>0.01</v>
      </c>
      <c r="E14">
        <f t="shared" si="0"/>
        <v>6.0053999999999996E-2</v>
      </c>
      <c r="F14" s="2">
        <f t="shared" si="1"/>
        <v>3.0026999999999998E-2</v>
      </c>
    </row>
    <row r="16" spans="1:6" x14ac:dyDescent="0.25">
      <c r="C16" t="s">
        <v>5</v>
      </c>
      <c r="D16" t="s">
        <v>4</v>
      </c>
    </row>
    <row r="17" spans="3:4" x14ac:dyDescent="0.25">
      <c r="C17">
        <f>10*10</f>
        <v>100</v>
      </c>
      <c r="D17">
        <f>0.1/5</f>
        <v>0.02</v>
      </c>
    </row>
  </sheetData>
  <sortState ref="A2:F14">
    <sortCondition ref="A2:A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2" sqref="C22"/>
    </sheetView>
  </sheetViews>
  <sheetFormatPr defaultRowHeight="15" x14ac:dyDescent="0.25"/>
  <cols>
    <col min="5" max="5" width="11.5703125" bestFit="1" customWidth="1"/>
    <col min="6" max="6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6</v>
      </c>
    </row>
    <row r="2" spans="1:6" x14ac:dyDescent="0.25">
      <c r="A2">
        <v>14</v>
      </c>
      <c r="B2">
        <v>1E-3</v>
      </c>
      <c r="C2">
        <v>6.0000000000000001E-3</v>
      </c>
      <c r="D2">
        <v>7.0000000000000001E-3</v>
      </c>
      <c r="E2">
        <f>((11.85*B2)-(1.54*C2)-(0.08*D2))*0.3</f>
        <v>6.1499999999999977E-4</v>
      </c>
      <c r="F2" s="2">
        <f t="shared" ref="F2:F13" si="0">E2/$C$17/$D$17</f>
        <v>3.0749999999999988E-4</v>
      </c>
    </row>
    <row r="3" spans="1:6" x14ac:dyDescent="0.25">
      <c r="A3">
        <v>1</v>
      </c>
      <c r="B3">
        <v>0.05</v>
      </c>
      <c r="C3">
        <v>2.5000000000000001E-2</v>
      </c>
      <c r="D3">
        <v>1.6E-2</v>
      </c>
      <c r="E3">
        <f t="shared" ref="E3:E13" si="1">((11.85*B3)-(1.54*C3)-(0.08*D3))*0.3</f>
        <v>0.16581600000000002</v>
      </c>
      <c r="F3" s="2">
        <f t="shared" si="0"/>
        <v>8.2908000000000009E-2</v>
      </c>
    </row>
    <row r="4" spans="1:6" x14ac:dyDescent="0.25">
      <c r="A4">
        <v>2</v>
      </c>
      <c r="B4">
        <v>0.22700000000000001</v>
      </c>
      <c r="C4">
        <v>0.106</v>
      </c>
      <c r="D4">
        <v>8.1000000000000003E-2</v>
      </c>
      <c r="E4">
        <f t="shared" si="1"/>
        <v>0.75606899999999999</v>
      </c>
      <c r="F4" s="2">
        <f t="shared" si="0"/>
        <v>0.3780345</v>
      </c>
    </row>
    <row r="5" spans="1:6" x14ac:dyDescent="0.25">
      <c r="A5">
        <v>7</v>
      </c>
      <c r="B5">
        <v>5.6000000000000001E-2</v>
      </c>
      <c r="C5">
        <v>2.8000000000000001E-2</v>
      </c>
      <c r="D5">
        <v>1.9E-2</v>
      </c>
      <c r="E5">
        <f t="shared" si="1"/>
        <v>0.18568799999999999</v>
      </c>
      <c r="F5" s="2">
        <f t="shared" si="0"/>
        <v>9.2843999999999996E-2</v>
      </c>
    </row>
    <row r="6" spans="1:6" x14ac:dyDescent="0.25">
      <c r="A6">
        <v>19</v>
      </c>
      <c r="B6">
        <v>3.9E-2</v>
      </c>
      <c r="C6">
        <v>2.8000000000000001E-2</v>
      </c>
      <c r="D6">
        <v>1.9E-2</v>
      </c>
      <c r="E6">
        <f t="shared" si="1"/>
        <v>0.125253</v>
      </c>
      <c r="F6" s="2">
        <f t="shared" si="0"/>
        <v>6.2626500000000002E-2</v>
      </c>
    </row>
    <row r="7" spans="1:6" x14ac:dyDescent="0.25">
      <c r="A7">
        <v>20</v>
      </c>
      <c r="B7">
        <v>2.5999999999999999E-2</v>
      </c>
      <c r="C7">
        <v>1.7999999999999999E-2</v>
      </c>
      <c r="D7">
        <v>1.2999999999999999E-2</v>
      </c>
      <c r="E7">
        <f t="shared" si="1"/>
        <v>8.3801999999999988E-2</v>
      </c>
      <c r="F7" s="2">
        <f t="shared" si="0"/>
        <v>4.1900999999999994E-2</v>
      </c>
    </row>
    <row r="8" spans="1:6" x14ac:dyDescent="0.25">
      <c r="A8">
        <v>27</v>
      </c>
      <c r="B8">
        <v>2.3E-2</v>
      </c>
      <c r="C8">
        <v>1.4999999999999999E-2</v>
      </c>
      <c r="D8">
        <v>7.0000000000000001E-3</v>
      </c>
      <c r="E8">
        <f t="shared" si="1"/>
        <v>7.4666999999999997E-2</v>
      </c>
      <c r="F8" s="2">
        <f t="shared" si="0"/>
        <v>3.7333499999999999E-2</v>
      </c>
    </row>
    <row r="9" spans="1:6" x14ac:dyDescent="0.25">
      <c r="A9">
        <v>12</v>
      </c>
      <c r="B9">
        <v>4.9000000000000002E-2</v>
      </c>
      <c r="C9">
        <v>2.8000000000000001E-2</v>
      </c>
      <c r="D9">
        <v>1.6E-2</v>
      </c>
      <c r="E9">
        <f t="shared" si="1"/>
        <v>0.16087499999999999</v>
      </c>
      <c r="F9" s="2">
        <f t="shared" si="0"/>
        <v>8.0437499999999995E-2</v>
      </c>
    </row>
    <row r="10" spans="1:6" x14ac:dyDescent="0.25">
      <c r="A10">
        <v>11</v>
      </c>
      <c r="B10">
        <v>0.11600000000000001</v>
      </c>
      <c r="C10">
        <v>5.1999999999999998E-2</v>
      </c>
      <c r="D10">
        <v>3.5999999999999997E-2</v>
      </c>
      <c r="E10">
        <f t="shared" si="1"/>
        <v>0.387492</v>
      </c>
      <c r="F10" s="2">
        <f t="shared" si="0"/>
        <v>0.193746</v>
      </c>
    </row>
    <row r="11" spans="1:6" x14ac:dyDescent="0.25">
      <c r="A11">
        <v>8</v>
      </c>
      <c r="B11">
        <v>0.23100000000000001</v>
      </c>
      <c r="C11">
        <v>0.10199999999999999</v>
      </c>
      <c r="D11">
        <v>6.8000000000000005E-2</v>
      </c>
      <c r="E11">
        <f t="shared" si="1"/>
        <v>0.77244899999999994</v>
      </c>
      <c r="F11" s="2">
        <f t="shared" si="0"/>
        <v>0.38622449999999997</v>
      </c>
    </row>
    <row r="12" spans="1:6" x14ac:dyDescent="0.25">
      <c r="A12">
        <v>13</v>
      </c>
      <c r="B12">
        <v>0.125</v>
      </c>
      <c r="C12">
        <v>6.8000000000000005E-2</v>
      </c>
      <c r="D12">
        <v>0.04</v>
      </c>
      <c r="E12">
        <f t="shared" si="1"/>
        <v>0.41199899999999995</v>
      </c>
      <c r="F12" s="2">
        <f t="shared" si="0"/>
        <v>0.20599949999999997</v>
      </c>
    </row>
    <row r="13" spans="1:6" x14ac:dyDescent="0.25">
      <c r="A13">
        <v>28</v>
      </c>
      <c r="B13">
        <v>1.2999999999999999E-2</v>
      </c>
      <c r="C13">
        <v>1.0999999999999999E-2</v>
      </c>
      <c r="D13">
        <v>7.0000000000000007E-2</v>
      </c>
      <c r="E13">
        <f t="shared" si="1"/>
        <v>3.9452999999999995E-2</v>
      </c>
      <c r="F13" s="2">
        <f t="shared" si="0"/>
        <v>1.9726499999999998E-2</v>
      </c>
    </row>
    <row r="16" spans="1:6" x14ac:dyDescent="0.25">
      <c r="C16" t="s">
        <v>5</v>
      </c>
      <c r="D16" t="s">
        <v>4</v>
      </c>
    </row>
    <row r="17" spans="3:4" x14ac:dyDescent="0.25">
      <c r="C17">
        <f>10*10</f>
        <v>100</v>
      </c>
      <c r="D17">
        <f>1/50</f>
        <v>0.02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view="pageBreakPreview" zoomScale="60" zoomScaleNormal="100" workbookViewId="0">
      <selection activeCell="N65" sqref="N65"/>
    </sheetView>
  </sheetViews>
  <sheetFormatPr defaultRowHeight="15" x14ac:dyDescent="0.25"/>
  <sheetData>
    <row r="1" spans="1:1" ht="15.75" x14ac:dyDescent="0.25">
      <c r="A1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 t="s">
        <v>11</v>
      </c>
    </row>
    <row r="3" spans="1:3" x14ac:dyDescent="0.25">
      <c r="A3">
        <v>1</v>
      </c>
      <c r="B3">
        <v>174.16</v>
      </c>
    </row>
    <row r="4" spans="1:3" x14ac:dyDescent="0.25">
      <c r="A4">
        <v>2</v>
      </c>
      <c r="B4">
        <v>175.47</v>
      </c>
    </row>
    <row r="5" spans="1:3" x14ac:dyDescent="0.25">
      <c r="A5">
        <v>3</v>
      </c>
      <c r="B5">
        <v>176.53</v>
      </c>
    </row>
    <row r="6" spans="1:3" x14ac:dyDescent="0.25">
      <c r="A6">
        <v>4</v>
      </c>
      <c r="B6">
        <v>178.71</v>
      </c>
    </row>
    <row r="7" spans="1:3" x14ac:dyDescent="0.25">
      <c r="A7">
        <v>5</v>
      </c>
      <c r="B7">
        <v>174.58</v>
      </c>
    </row>
    <row r="8" spans="1:3" x14ac:dyDescent="0.25">
      <c r="A8">
        <v>6</v>
      </c>
      <c r="B8">
        <v>174.88</v>
      </c>
      <c r="C8">
        <f>AVERAGE(B3:B8)</f>
        <v>175.72166666666666</v>
      </c>
    </row>
    <row r="9" spans="1:3" x14ac:dyDescent="0.25">
      <c r="A9">
        <v>11</v>
      </c>
    </row>
    <row r="10" spans="1:3" x14ac:dyDescent="0.25">
      <c r="A10">
        <v>12</v>
      </c>
    </row>
    <row r="11" spans="1:3" x14ac:dyDescent="0.25">
      <c r="A11">
        <v>13</v>
      </c>
    </row>
    <row r="12" spans="1:3" x14ac:dyDescent="0.25">
      <c r="A12">
        <v>14</v>
      </c>
    </row>
    <row r="13" spans="1:3" x14ac:dyDescent="0.25">
      <c r="A1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pane ySplit="6" topLeftCell="A61" activePane="bottomLeft" state="frozen"/>
      <selection pane="bottomLeft" activeCell="A51" sqref="A51"/>
    </sheetView>
  </sheetViews>
  <sheetFormatPr defaultRowHeight="15" x14ac:dyDescent="0.25"/>
  <cols>
    <col min="1" max="1" width="15" bestFit="1" customWidth="1"/>
    <col min="2" max="2" width="9.7109375" bestFit="1" customWidth="1"/>
    <col min="6" max="6" width="11.5703125" bestFit="1" customWidth="1"/>
    <col min="7" max="7" width="16.42578125" bestFit="1" customWidth="1"/>
    <col min="11" max="11" width="9.28515625" customWidth="1"/>
    <col min="13" max="13" width="22.140625" bestFit="1" customWidth="1"/>
  </cols>
  <sheetData>
    <row r="1" spans="1:17" ht="16.5" thickBot="1" x14ac:dyDescent="0.3">
      <c r="A1" s="24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13"/>
      <c r="M1" s="14"/>
    </row>
    <row r="2" spans="1:17" ht="16.5" thickBot="1" x14ac:dyDescent="0.3">
      <c r="A2" s="24" t="s">
        <v>41</v>
      </c>
      <c r="B2" s="25"/>
      <c r="C2" s="25"/>
      <c r="D2" s="25"/>
      <c r="E2" s="25"/>
      <c r="F2" s="26"/>
      <c r="G2" s="7"/>
      <c r="H2" s="8"/>
      <c r="I2" s="8"/>
      <c r="J2" s="8"/>
      <c r="K2" s="8"/>
      <c r="M2" s="15"/>
    </row>
    <row r="3" spans="1:17" ht="15.75" thickBot="1" x14ac:dyDescent="0.3">
      <c r="C3" s="9" t="s">
        <v>36</v>
      </c>
      <c r="D3" s="9" t="s">
        <v>37</v>
      </c>
      <c r="E3" s="8"/>
      <c r="F3" s="8"/>
      <c r="G3" s="8"/>
      <c r="H3" s="8"/>
      <c r="I3" s="8"/>
      <c r="J3" s="8"/>
      <c r="K3" s="8"/>
      <c r="L3" s="8"/>
      <c r="M3" s="8"/>
    </row>
    <row r="4" spans="1:17" ht="15.75" thickBot="1" x14ac:dyDescent="0.3">
      <c r="A4" s="9" t="s">
        <v>38</v>
      </c>
      <c r="B4" s="12" t="s">
        <v>39</v>
      </c>
      <c r="C4" s="10">
        <v>0.34</v>
      </c>
      <c r="D4" s="10">
        <v>10.33</v>
      </c>
      <c r="E4" s="11"/>
      <c r="F4" s="11"/>
      <c r="G4" s="11"/>
      <c r="H4" s="11"/>
      <c r="I4" s="11"/>
      <c r="J4" s="8"/>
      <c r="K4" s="8"/>
    </row>
    <row r="5" spans="1:17" ht="15.75" thickBot="1" x14ac:dyDescent="0.3">
      <c r="A5" s="18"/>
      <c r="B5" s="4">
        <v>43016</v>
      </c>
      <c r="C5" s="19">
        <v>1.175</v>
      </c>
      <c r="D5" s="19"/>
      <c r="E5" s="19"/>
      <c r="F5" s="19"/>
      <c r="G5" s="19"/>
      <c r="H5" s="19"/>
      <c r="I5" s="19"/>
      <c r="J5" s="20"/>
      <c r="K5" s="20"/>
      <c r="L5" s="9"/>
      <c r="M5" s="12"/>
    </row>
    <row r="6" spans="1:17" ht="78" thickBot="1" x14ac:dyDescent="0.3">
      <c r="A6" s="5" t="s">
        <v>13</v>
      </c>
      <c r="B6" t="s">
        <v>29</v>
      </c>
      <c r="C6" t="s">
        <v>30</v>
      </c>
      <c r="D6" t="s">
        <v>26</v>
      </c>
      <c r="E6" t="s">
        <v>24</v>
      </c>
      <c r="F6" t="s">
        <v>32</v>
      </c>
      <c r="G6" t="s">
        <v>12</v>
      </c>
      <c r="H6" t="s">
        <v>31</v>
      </c>
      <c r="I6" t="s">
        <v>45</v>
      </c>
      <c r="J6" t="s">
        <v>34</v>
      </c>
      <c r="M6" t="s">
        <v>61</v>
      </c>
      <c r="N6" s="6" t="s">
        <v>33</v>
      </c>
      <c r="O6" s="6" t="s">
        <v>35</v>
      </c>
      <c r="P6" t="s">
        <v>28</v>
      </c>
      <c r="Q6" t="s">
        <v>27</v>
      </c>
    </row>
    <row r="7" spans="1:17" x14ac:dyDescent="0.25">
      <c r="A7" s="4">
        <v>42703</v>
      </c>
      <c r="D7">
        <v>1</v>
      </c>
      <c r="E7" t="s">
        <v>25</v>
      </c>
      <c r="F7" t="s">
        <v>19</v>
      </c>
      <c r="G7" t="s">
        <v>23</v>
      </c>
      <c r="H7">
        <v>10</v>
      </c>
      <c r="J7">
        <v>4</v>
      </c>
      <c r="M7">
        <v>75.75</v>
      </c>
      <c r="N7" s="16">
        <f>(M7-LabBkank)/LabSlope</f>
        <v>7.3000968054211031</v>
      </c>
      <c r="O7" s="16">
        <f>N7*J7/(VLOOKUP(D7,'BOD bottles'!$A$3:$B$8,2,1))</f>
        <v>0.16766414344099914</v>
      </c>
      <c r="P7" t="s">
        <v>14</v>
      </c>
    </row>
    <row r="8" spans="1:17" x14ac:dyDescent="0.25">
      <c r="A8" s="4">
        <v>42703</v>
      </c>
      <c r="D8">
        <v>2</v>
      </c>
      <c r="E8" t="s">
        <v>25</v>
      </c>
      <c r="F8" t="s">
        <v>19</v>
      </c>
      <c r="G8" t="s">
        <v>23</v>
      </c>
      <c r="H8">
        <v>10</v>
      </c>
      <c r="J8">
        <v>4</v>
      </c>
      <c r="M8">
        <v>81.19</v>
      </c>
      <c r="N8" s="16">
        <f>(M8-LabBkank)/LabSlope</f>
        <v>7.8267182962245876</v>
      </c>
      <c r="O8" s="16">
        <f>N8*J8/(VLOOKUP(D8,'BOD bottles'!$A$3:$B$8,2,1))</f>
        <v>0.17841724046787685</v>
      </c>
      <c r="P8" t="s">
        <v>14</v>
      </c>
      <c r="Q8" t="s">
        <v>15</v>
      </c>
    </row>
    <row r="9" spans="1:17" x14ac:dyDescent="0.25">
      <c r="A9" s="4">
        <v>42703</v>
      </c>
      <c r="D9">
        <v>3</v>
      </c>
      <c r="E9" t="s">
        <v>25</v>
      </c>
      <c r="F9" t="s">
        <v>19</v>
      </c>
      <c r="G9" t="s">
        <v>23</v>
      </c>
      <c r="H9">
        <v>10</v>
      </c>
      <c r="J9">
        <v>4</v>
      </c>
      <c r="N9" s="16"/>
      <c r="O9" s="16"/>
      <c r="P9" t="s">
        <v>14</v>
      </c>
      <c r="Q9" t="s">
        <v>18</v>
      </c>
    </row>
    <row r="10" spans="1:17" x14ac:dyDescent="0.25">
      <c r="A10" s="4">
        <v>42703</v>
      </c>
      <c r="D10">
        <v>4</v>
      </c>
      <c r="E10" t="s">
        <v>25</v>
      </c>
      <c r="F10" t="s">
        <v>20</v>
      </c>
      <c r="G10" t="s">
        <v>23</v>
      </c>
      <c r="H10">
        <v>25</v>
      </c>
      <c r="J10">
        <v>4</v>
      </c>
      <c r="M10">
        <v>58.95</v>
      </c>
      <c r="N10" s="16">
        <f t="shared" ref="N10:N21" si="0">(M10-LabBkank)/LabSlope</f>
        <v>5.6737657308809295</v>
      </c>
      <c r="O10" s="16">
        <f>N10*J10/(VLOOKUP(D10,'BOD bottles'!$A$3:$B$8,2,1))</f>
        <v>0.12699380517891398</v>
      </c>
      <c r="P10" t="s">
        <v>14</v>
      </c>
    </row>
    <row r="11" spans="1:17" x14ac:dyDescent="0.25">
      <c r="A11" s="4">
        <v>42703</v>
      </c>
      <c r="D11">
        <v>5</v>
      </c>
      <c r="E11" t="s">
        <v>25</v>
      </c>
      <c r="F11" t="s">
        <v>20</v>
      </c>
      <c r="G11" t="s">
        <v>23</v>
      </c>
      <c r="H11">
        <v>25</v>
      </c>
      <c r="J11">
        <v>4</v>
      </c>
      <c r="M11">
        <v>78.709999999999994</v>
      </c>
      <c r="N11" s="16">
        <f t="shared" si="0"/>
        <v>7.5866408518877044</v>
      </c>
      <c r="O11" s="16">
        <f>N11*J11/(VLOOKUP(D11,'BOD bottles'!$A$3:$B$8,2,1))</f>
        <v>0.17382611643688176</v>
      </c>
      <c r="P11" t="s">
        <v>14</v>
      </c>
    </row>
    <row r="12" spans="1:17" x14ac:dyDescent="0.25">
      <c r="A12" s="4">
        <v>42703</v>
      </c>
      <c r="D12">
        <v>6</v>
      </c>
      <c r="E12" t="s">
        <v>25</v>
      </c>
      <c r="F12" t="s">
        <v>20</v>
      </c>
      <c r="G12" t="s">
        <v>23</v>
      </c>
      <c r="H12">
        <v>25</v>
      </c>
      <c r="J12">
        <v>4</v>
      </c>
      <c r="M12">
        <v>74.040000000000006</v>
      </c>
      <c r="N12" s="16">
        <f t="shared" si="0"/>
        <v>7.1345595353339792</v>
      </c>
      <c r="O12" s="16">
        <f>N12*J12/(VLOOKUP(D12,'BOD bottles'!$A$3:$B$8,2,1))</f>
        <v>0.16318754655384216</v>
      </c>
      <c r="P12" t="s">
        <v>14</v>
      </c>
    </row>
    <row r="13" spans="1:17" x14ac:dyDescent="0.25">
      <c r="A13" s="4">
        <v>42668</v>
      </c>
      <c r="D13">
        <v>5</v>
      </c>
      <c r="E13" t="s">
        <v>25</v>
      </c>
      <c r="F13" t="s">
        <v>17</v>
      </c>
      <c r="G13" t="s">
        <v>22</v>
      </c>
      <c r="H13">
        <v>10</v>
      </c>
      <c r="J13">
        <v>4</v>
      </c>
      <c r="M13">
        <v>96.77</v>
      </c>
      <c r="N13" s="16">
        <f t="shared" si="0"/>
        <v>9.3349467570183915</v>
      </c>
      <c r="O13" s="16">
        <f>N13*J13/(VLOOKUP(D13,'BOD bottles'!$A$3:$B$8,2,1))</f>
        <v>0.21388353206595007</v>
      </c>
      <c r="P13" t="s">
        <v>14</v>
      </c>
    </row>
    <row r="14" spans="1:17" x14ac:dyDescent="0.25">
      <c r="A14" s="4">
        <v>42668</v>
      </c>
      <c r="D14">
        <v>4</v>
      </c>
      <c r="E14" t="s">
        <v>25</v>
      </c>
      <c r="F14" t="s">
        <v>17</v>
      </c>
      <c r="G14" t="s">
        <v>22</v>
      </c>
      <c r="H14">
        <v>10</v>
      </c>
      <c r="J14">
        <v>4</v>
      </c>
      <c r="M14">
        <v>87.46</v>
      </c>
      <c r="N14" s="16">
        <f t="shared" si="0"/>
        <v>8.4336882865440455</v>
      </c>
      <c r="O14" s="16">
        <f>N14*J14/(VLOOKUP(D14,'BOD bottles'!$A$3:$B$8,2,1))</f>
        <v>0.18876813354695418</v>
      </c>
      <c r="P14" t="s">
        <v>14</v>
      </c>
    </row>
    <row r="15" spans="1:17" x14ac:dyDescent="0.25">
      <c r="A15" s="4">
        <v>42668</v>
      </c>
      <c r="D15">
        <v>6</v>
      </c>
      <c r="E15" t="s">
        <v>25</v>
      </c>
      <c r="F15" t="s">
        <v>17</v>
      </c>
      <c r="G15" t="s">
        <v>22</v>
      </c>
      <c r="H15">
        <v>10</v>
      </c>
      <c r="J15">
        <v>4</v>
      </c>
      <c r="M15">
        <v>91.35</v>
      </c>
      <c r="N15" s="16">
        <f t="shared" si="0"/>
        <v>8.810261374636978</v>
      </c>
      <c r="O15" s="16">
        <f>N15*J15/(VLOOKUP(D15,'BOD bottles'!$A$3:$B$8,2,1))</f>
        <v>0.20151558496424926</v>
      </c>
      <c r="P15" t="s">
        <v>14</v>
      </c>
    </row>
    <row r="16" spans="1:17" x14ac:dyDescent="0.25">
      <c r="A16" s="4">
        <v>42668</v>
      </c>
      <c r="D16">
        <v>3</v>
      </c>
      <c r="E16" t="s">
        <v>25</v>
      </c>
      <c r="F16" t="s">
        <v>21</v>
      </c>
      <c r="G16" t="s">
        <v>22</v>
      </c>
      <c r="H16">
        <v>25</v>
      </c>
      <c r="J16">
        <v>4</v>
      </c>
      <c r="M16">
        <v>89.43</v>
      </c>
      <c r="N16" s="16">
        <f t="shared" si="0"/>
        <v>8.6243949661181034</v>
      </c>
      <c r="O16" s="16">
        <f>N16*J16/(VLOOKUP(D16,'BOD bottles'!$A$3:$B$8,2,1))</f>
        <v>0.19542049433225181</v>
      </c>
      <c r="P16" t="s">
        <v>14</v>
      </c>
    </row>
    <row r="17" spans="1:16" x14ac:dyDescent="0.25">
      <c r="A17" s="4">
        <v>42668</v>
      </c>
      <c r="D17">
        <v>2</v>
      </c>
      <c r="E17" t="s">
        <v>25</v>
      </c>
      <c r="F17" t="s">
        <v>21</v>
      </c>
      <c r="G17" t="s">
        <v>22</v>
      </c>
      <c r="H17">
        <v>25</v>
      </c>
      <c r="J17">
        <v>4</v>
      </c>
      <c r="M17">
        <v>95.81</v>
      </c>
      <c r="N17" s="16">
        <f t="shared" si="0"/>
        <v>9.2420135527589551</v>
      </c>
      <c r="O17" s="16">
        <f>N17*J17/(VLOOKUP(D17,'BOD bottles'!$A$3:$B$8,2,1))</f>
        <v>0.21068019724759685</v>
      </c>
      <c r="P17" t="s">
        <v>14</v>
      </c>
    </row>
    <row r="18" spans="1:16" x14ac:dyDescent="0.25">
      <c r="A18" s="4">
        <v>42668</v>
      </c>
      <c r="D18">
        <v>1</v>
      </c>
      <c r="E18" t="s">
        <v>25</v>
      </c>
      <c r="F18" t="s">
        <v>21</v>
      </c>
      <c r="G18" t="s">
        <v>22</v>
      </c>
      <c r="H18">
        <v>25</v>
      </c>
      <c r="J18">
        <v>4</v>
      </c>
      <c r="M18">
        <v>102.69</v>
      </c>
      <c r="N18" s="16">
        <f t="shared" si="0"/>
        <v>9.908034849951596</v>
      </c>
      <c r="O18" s="16">
        <f>N18*J18/(VLOOKUP(D18,'BOD bottles'!$A$3:$B$8,2,1))</f>
        <v>0.22756166398602656</v>
      </c>
      <c r="P18" t="s">
        <v>14</v>
      </c>
    </row>
    <row r="19" spans="1:16" x14ac:dyDescent="0.25">
      <c r="A19" s="4">
        <v>42712</v>
      </c>
      <c r="D19">
        <v>2</v>
      </c>
      <c r="E19" t="s">
        <v>25</v>
      </c>
      <c r="F19" t="s">
        <v>16</v>
      </c>
      <c r="G19" t="s">
        <v>22</v>
      </c>
      <c r="H19">
        <v>45</v>
      </c>
      <c r="J19">
        <v>4</v>
      </c>
      <c r="M19">
        <v>115.98</v>
      </c>
      <c r="N19" s="16">
        <f t="shared" si="0"/>
        <v>11.1945788964182</v>
      </c>
      <c r="O19" s="16">
        <f>N19*J19/(VLOOKUP(D19,'BOD bottles'!$A$3:$B$8,2,1))</f>
        <v>0.25519071969950874</v>
      </c>
      <c r="P19" t="s">
        <v>14</v>
      </c>
    </row>
    <row r="20" spans="1:16" x14ac:dyDescent="0.25">
      <c r="A20" s="4">
        <v>42712</v>
      </c>
      <c r="D20">
        <v>1</v>
      </c>
      <c r="E20" t="s">
        <v>25</v>
      </c>
      <c r="F20" t="s">
        <v>16</v>
      </c>
      <c r="G20" t="s">
        <v>22</v>
      </c>
      <c r="H20">
        <v>45</v>
      </c>
      <c r="J20">
        <v>4</v>
      </c>
      <c r="M20">
        <v>117.51</v>
      </c>
      <c r="N20" s="16">
        <f t="shared" si="0"/>
        <v>11.342691190706679</v>
      </c>
      <c r="O20" s="16">
        <f>N20*J20/(VLOOKUP(D20,'BOD bottles'!$A$3:$B$8,2,1))</f>
        <v>0.26051197038830226</v>
      </c>
      <c r="P20" t="s">
        <v>14</v>
      </c>
    </row>
    <row r="21" spans="1:16" x14ac:dyDescent="0.25">
      <c r="A21" s="4">
        <v>42712</v>
      </c>
      <c r="D21">
        <v>3</v>
      </c>
      <c r="E21" t="s">
        <v>25</v>
      </c>
      <c r="F21" t="s">
        <v>16</v>
      </c>
      <c r="G21" t="s">
        <v>22</v>
      </c>
      <c r="H21">
        <v>45</v>
      </c>
      <c r="J21">
        <v>4</v>
      </c>
      <c r="M21">
        <v>115.65</v>
      </c>
      <c r="N21" s="16">
        <f t="shared" si="0"/>
        <v>11.162633107454017</v>
      </c>
      <c r="O21" s="16">
        <f>N21*J21/(VLOOKUP(D21,'BOD bottles'!$A$3:$B$8,2,1))</f>
        <v>0.25293452914414583</v>
      </c>
      <c r="P21" t="s">
        <v>14</v>
      </c>
    </row>
    <row r="22" spans="1:16" x14ac:dyDescent="0.25">
      <c r="A22" s="4"/>
      <c r="K22" t="s">
        <v>56</v>
      </c>
      <c r="L22" s="16" t="s">
        <v>57</v>
      </c>
      <c r="M22" s="16" t="s">
        <v>58</v>
      </c>
      <c r="N22" s="16"/>
      <c r="O22" s="16"/>
    </row>
    <row r="23" spans="1:16" ht="14.25" customHeight="1" x14ac:dyDescent="0.25">
      <c r="A23" s="4">
        <v>42478</v>
      </c>
      <c r="D23">
        <v>1</v>
      </c>
      <c r="E23" t="s">
        <v>25</v>
      </c>
      <c r="F23" t="s">
        <v>19</v>
      </c>
      <c r="G23" t="s">
        <v>23</v>
      </c>
      <c r="H23">
        <v>10</v>
      </c>
      <c r="I23">
        <v>2</v>
      </c>
      <c r="J23">
        <v>4</v>
      </c>
      <c r="K23">
        <v>41.86</v>
      </c>
      <c r="L23">
        <v>62.53</v>
      </c>
      <c r="M23">
        <f>AVERAGE(K23:L23)</f>
        <v>52.195</v>
      </c>
      <c r="N23" s="16">
        <f>(M23-BlankAug17)/LabSlope</f>
        <v>4.9390125847047441</v>
      </c>
      <c r="O23" s="16">
        <f>N23*J23/(VLOOKUP(D23,'BOD bottles'!$A$3:$B$8,2,1))</f>
        <v>0.11343621002996657</v>
      </c>
    </row>
    <row r="24" spans="1:16" x14ac:dyDescent="0.25">
      <c r="A24" s="4">
        <v>42478</v>
      </c>
      <c r="D24">
        <v>2</v>
      </c>
      <c r="E24" t="s">
        <v>25</v>
      </c>
      <c r="F24" t="s">
        <v>19</v>
      </c>
      <c r="G24" t="s">
        <v>23</v>
      </c>
      <c r="H24">
        <v>10</v>
      </c>
      <c r="I24">
        <v>6</v>
      </c>
      <c r="J24">
        <v>4</v>
      </c>
      <c r="K24">
        <v>42.42</v>
      </c>
      <c r="L24">
        <v>70.55</v>
      </c>
      <c r="M24">
        <f>AVERAGE(K24:L24)</f>
        <v>56.484999999999999</v>
      </c>
      <c r="N24" s="16">
        <f>(M24-LabBkank)/LabSlope</f>
        <v>5.4351403678605994</v>
      </c>
      <c r="O24" s="16">
        <f>N24*J24/(VLOOKUP(D24,'BOD bottles'!$A$3:$B$8,2,1))</f>
        <v>0.12389902246220093</v>
      </c>
    </row>
    <row r="25" spans="1:16" x14ac:dyDescent="0.25">
      <c r="A25" s="4">
        <v>42478</v>
      </c>
      <c r="D25">
        <v>3</v>
      </c>
      <c r="E25" t="s">
        <v>25</v>
      </c>
      <c r="F25" t="s">
        <v>19</v>
      </c>
      <c r="G25" t="s">
        <v>23</v>
      </c>
      <c r="H25">
        <v>10</v>
      </c>
      <c r="N25" s="16"/>
      <c r="O25" s="16">
        <f>N25*J25/(VLOOKUP(D25,'BOD bottles'!$A$3:$B$8,2,1))</f>
        <v>0</v>
      </c>
      <c r="P25" t="s">
        <v>60</v>
      </c>
    </row>
    <row r="26" spans="1:16" x14ac:dyDescent="0.25">
      <c r="A26" s="4">
        <v>42478</v>
      </c>
      <c r="D26">
        <v>4</v>
      </c>
      <c r="E26" t="s">
        <v>25</v>
      </c>
      <c r="F26" t="s">
        <v>20</v>
      </c>
      <c r="G26" t="s">
        <v>23</v>
      </c>
      <c r="H26">
        <v>25</v>
      </c>
      <c r="I26">
        <v>3</v>
      </c>
      <c r="J26">
        <v>4</v>
      </c>
      <c r="K26">
        <v>31.2</v>
      </c>
      <c r="L26">
        <v>51.68</v>
      </c>
      <c r="M26">
        <f t="shared" ref="M26:M50" si="1">AVERAGE(K26:L26)</f>
        <v>41.44</v>
      </c>
      <c r="N26" s="16">
        <f t="shared" ref="N26:N47" si="2">(M26-LabBkank)/LabSlope</f>
        <v>3.9787028073572115</v>
      </c>
      <c r="O26" s="16">
        <f>N26*J26/(VLOOKUP(D26,'BOD bottles'!$A$3:$B$8,2,1))</f>
        <v>8.9053837107206338E-2</v>
      </c>
    </row>
    <row r="27" spans="1:16" x14ac:dyDescent="0.25">
      <c r="A27" s="4">
        <v>42478</v>
      </c>
      <c r="D27">
        <v>5</v>
      </c>
      <c r="E27" t="s">
        <v>25</v>
      </c>
      <c r="F27" t="s">
        <v>20</v>
      </c>
      <c r="G27" t="s">
        <v>23</v>
      </c>
      <c r="H27">
        <v>25</v>
      </c>
      <c r="I27">
        <v>4</v>
      </c>
      <c r="J27">
        <v>4</v>
      </c>
      <c r="K27">
        <v>42.56</v>
      </c>
      <c r="L27">
        <v>53.29</v>
      </c>
      <c r="M27">
        <f t="shared" si="1"/>
        <v>47.924999999999997</v>
      </c>
      <c r="N27" s="16">
        <f t="shared" si="2"/>
        <v>4.606485963213939</v>
      </c>
      <c r="O27" s="16">
        <f>N27*J27/(VLOOKUP(D27,'BOD bottles'!$A$3:$B$8,2,1))</f>
        <v>0.10554441432498428</v>
      </c>
    </row>
    <row r="28" spans="1:16" x14ac:dyDescent="0.25">
      <c r="A28" s="4">
        <v>42478</v>
      </c>
      <c r="D28">
        <v>6</v>
      </c>
      <c r="E28" t="s">
        <v>25</v>
      </c>
      <c r="F28" t="s">
        <v>20</v>
      </c>
      <c r="G28" t="s">
        <v>23</v>
      </c>
      <c r="H28">
        <v>25</v>
      </c>
      <c r="I28">
        <v>5</v>
      </c>
      <c r="J28">
        <v>4</v>
      </c>
      <c r="K28">
        <v>38.11</v>
      </c>
      <c r="L28">
        <v>53.44</v>
      </c>
      <c r="M28">
        <f t="shared" si="1"/>
        <v>45.774999999999999</v>
      </c>
      <c r="N28" s="16">
        <f t="shared" si="2"/>
        <v>4.398354307841239</v>
      </c>
      <c r="O28" s="16">
        <f>N28*J28/(VLOOKUP(D28,'BOD bottles'!$A$3:$B$8,2,1))</f>
        <v>0.10060279752610336</v>
      </c>
    </row>
    <row r="29" spans="1:16" x14ac:dyDescent="0.25">
      <c r="A29" s="4">
        <v>42508</v>
      </c>
      <c r="F29" t="s">
        <v>46</v>
      </c>
      <c r="I29">
        <v>7</v>
      </c>
      <c r="J29">
        <v>4</v>
      </c>
      <c r="K29">
        <v>33.590000000000003</v>
      </c>
      <c r="L29">
        <v>33.5</v>
      </c>
      <c r="M29">
        <f t="shared" si="1"/>
        <v>33.545000000000002</v>
      </c>
      <c r="N29" s="16">
        <f t="shared" si="2"/>
        <v>3.2144240077444337</v>
      </c>
      <c r="O29" s="16"/>
    </row>
    <row r="30" spans="1:16" x14ac:dyDescent="0.25">
      <c r="A30" s="4">
        <v>42715</v>
      </c>
      <c r="D30">
        <v>132</v>
      </c>
      <c r="F30" t="s">
        <v>51</v>
      </c>
      <c r="H30" t="s">
        <v>50</v>
      </c>
      <c r="J30">
        <v>10</v>
      </c>
      <c r="K30">
        <v>16.010000000000002</v>
      </c>
      <c r="L30">
        <v>16.079999999999998</v>
      </c>
      <c r="M30">
        <f t="shared" si="1"/>
        <v>16.045000000000002</v>
      </c>
      <c r="N30" s="16">
        <f t="shared" si="2"/>
        <v>1.5203291384317523</v>
      </c>
      <c r="O30" s="16">
        <f>N30*J30/(VLOOKUP(D30,'BOD bottles'!$A$3:$B$8,2,1))</f>
        <v>8.6935563725511922E-2</v>
      </c>
    </row>
    <row r="31" spans="1:16" x14ac:dyDescent="0.25">
      <c r="A31" s="4">
        <v>42715</v>
      </c>
      <c r="D31">
        <v>151</v>
      </c>
      <c r="F31" t="s">
        <v>52</v>
      </c>
      <c r="H31" t="s">
        <v>50</v>
      </c>
      <c r="J31">
        <v>10</v>
      </c>
      <c r="K31">
        <v>15.85</v>
      </c>
      <c r="L31">
        <v>15.88</v>
      </c>
      <c r="M31">
        <f t="shared" si="1"/>
        <v>15.865</v>
      </c>
      <c r="N31" s="16">
        <f t="shared" si="2"/>
        <v>1.5029041626331074</v>
      </c>
      <c r="O31" s="16">
        <f>N31*J31/(VLOOKUP(D31,'BOD bottles'!$A$3:$B$8,2,1))</f>
        <v>8.5939167579660775E-2</v>
      </c>
    </row>
    <row r="32" spans="1:16" x14ac:dyDescent="0.25">
      <c r="A32" s="4">
        <v>42715</v>
      </c>
      <c r="D32">
        <v>172</v>
      </c>
      <c r="F32" t="s">
        <v>48</v>
      </c>
      <c r="G32" t="s">
        <v>49</v>
      </c>
      <c r="H32" t="s">
        <v>50</v>
      </c>
      <c r="J32">
        <v>10</v>
      </c>
      <c r="K32">
        <v>19.3</v>
      </c>
      <c r="L32">
        <v>19.350000000000001</v>
      </c>
      <c r="M32">
        <f t="shared" si="1"/>
        <v>19.325000000000003</v>
      </c>
      <c r="N32" s="16">
        <f t="shared" si="2"/>
        <v>1.8378509196515007</v>
      </c>
      <c r="O32" s="16">
        <f>N32*J32/(VLOOKUP(D32,'BOD bottles'!$A$3:$B$8,2,1))</f>
        <v>0.10509211571657713</v>
      </c>
    </row>
    <row r="33" spans="1:16" x14ac:dyDescent="0.25">
      <c r="A33" s="17">
        <v>42859</v>
      </c>
      <c r="D33">
        <v>1</v>
      </c>
      <c r="E33" t="s">
        <v>25</v>
      </c>
      <c r="F33" t="s">
        <v>42</v>
      </c>
      <c r="G33" t="s">
        <v>23</v>
      </c>
      <c r="H33">
        <v>45</v>
      </c>
      <c r="I33">
        <v>17</v>
      </c>
      <c r="J33">
        <v>4</v>
      </c>
      <c r="K33">
        <v>27.26</v>
      </c>
      <c r="L33">
        <v>37.68</v>
      </c>
      <c r="M33">
        <f t="shared" si="1"/>
        <v>32.47</v>
      </c>
      <c r="N33" s="16">
        <f t="shared" si="2"/>
        <v>3.1103581800580828</v>
      </c>
      <c r="O33" s="16">
        <f>N33*J33/(VLOOKUP(D33,'BOD bottles'!$A$3:$B$8,2,1))</f>
        <v>7.1436797888334472E-2</v>
      </c>
    </row>
    <row r="34" spans="1:16" x14ac:dyDescent="0.25">
      <c r="A34" s="17">
        <v>42859</v>
      </c>
      <c r="D34">
        <v>2</v>
      </c>
      <c r="E34" t="s">
        <v>25</v>
      </c>
      <c r="F34" t="s">
        <v>42</v>
      </c>
      <c r="G34" t="s">
        <v>23</v>
      </c>
      <c r="H34">
        <v>45</v>
      </c>
      <c r="I34">
        <v>20</v>
      </c>
      <c r="J34">
        <v>4</v>
      </c>
      <c r="K34">
        <v>16.32</v>
      </c>
      <c r="L34">
        <v>44.17</v>
      </c>
      <c r="M34">
        <f t="shared" si="1"/>
        <v>30.245000000000001</v>
      </c>
      <c r="N34" s="16">
        <f t="shared" si="2"/>
        <v>2.8949661181026136</v>
      </c>
      <c r="O34" s="16">
        <f>N34*J34/(VLOOKUP(D34,'BOD bottles'!$A$3:$B$8,2,1))</f>
        <v>6.5993414671513387E-2</v>
      </c>
    </row>
    <row r="35" spans="1:16" x14ac:dyDescent="0.25">
      <c r="A35" s="17">
        <v>42859</v>
      </c>
      <c r="D35">
        <v>3</v>
      </c>
      <c r="E35" t="s">
        <v>25</v>
      </c>
      <c r="F35" t="s">
        <v>42</v>
      </c>
      <c r="G35" t="s">
        <v>23</v>
      </c>
      <c r="H35">
        <v>45</v>
      </c>
      <c r="I35">
        <v>25</v>
      </c>
      <c r="J35">
        <v>4</v>
      </c>
      <c r="K35">
        <v>20.11</v>
      </c>
      <c r="L35">
        <v>41.46</v>
      </c>
      <c r="M35">
        <f t="shared" si="1"/>
        <v>30.785</v>
      </c>
      <c r="N35" s="16">
        <f t="shared" si="2"/>
        <v>2.947241045498548</v>
      </c>
      <c r="O35" s="16">
        <f>N35*J35/(VLOOKUP(D35,'BOD bottles'!$A$3:$B$8,2,1))</f>
        <v>6.6781647210073028E-2</v>
      </c>
    </row>
    <row r="36" spans="1:16" x14ac:dyDescent="0.25">
      <c r="A36" s="17">
        <v>42860</v>
      </c>
      <c r="D36">
        <v>4</v>
      </c>
      <c r="E36" t="s">
        <v>25</v>
      </c>
      <c r="F36" t="s">
        <v>17</v>
      </c>
      <c r="G36" t="s">
        <v>22</v>
      </c>
      <c r="H36">
        <v>10</v>
      </c>
      <c r="I36">
        <v>11</v>
      </c>
      <c r="J36">
        <v>4</v>
      </c>
      <c r="K36">
        <v>48.58</v>
      </c>
      <c r="L36">
        <v>125.69</v>
      </c>
      <c r="M36">
        <f t="shared" si="1"/>
        <v>87.134999999999991</v>
      </c>
      <c r="N36" s="16">
        <f t="shared" si="2"/>
        <v>8.4022265246853802</v>
      </c>
      <c r="O36" s="16">
        <f>N36*J36/(VLOOKUP(D36,'BOD bottles'!$A$3:$B$8,2,1))</f>
        <v>0.18806393653819886</v>
      </c>
    </row>
    <row r="37" spans="1:16" x14ac:dyDescent="0.25">
      <c r="A37" s="17">
        <v>42860</v>
      </c>
      <c r="D37">
        <v>6</v>
      </c>
      <c r="E37" t="s">
        <v>25</v>
      </c>
      <c r="F37" t="s">
        <v>17</v>
      </c>
      <c r="G37" t="s">
        <v>22</v>
      </c>
      <c r="H37">
        <v>10</v>
      </c>
      <c r="I37">
        <v>18</v>
      </c>
      <c r="J37">
        <v>4</v>
      </c>
      <c r="K37">
        <v>51.49</v>
      </c>
      <c r="L37">
        <v>122.77</v>
      </c>
      <c r="M37">
        <f t="shared" si="1"/>
        <v>87.13</v>
      </c>
      <c r="N37" s="16">
        <f t="shared" si="2"/>
        <v>8.401742497579864</v>
      </c>
      <c r="O37" s="16">
        <f>N37*J37/(VLOOKUP(D37,'BOD bottles'!$A$3:$B$8,2,1))</f>
        <v>0.19217160332982305</v>
      </c>
      <c r="P37" t="s">
        <v>59</v>
      </c>
    </row>
    <row r="38" spans="1:16" x14ac:dyDescent="0.25">
      <c r="A38" s="17">
        <v>42860</v>
      </c>
      <c r="D38">
        <v>5</v>
      </c>
      <c r="E38" t="s">
        <v>25</v>
      </c>
      <c r="F38" t="s">
        <v>17</v>
      </c>
      <c r="G38" t="s">
        <v>22</v>
      </c>
      <c r="H38">
        <v>10</v>
      </c>
      <c r="I38">
        <v>26</v>
      </c>
      <c r="J38">
        <v>4</v>
      </c>
      <c r="K38">
        <v>93.43</v>
      </c>
      <c r="L38">
        <v>94.13</v>
      </c>
      <c r="M38">
        <f t="shared" si="1"/>
        <v>93.78</v>
      </c>
      <c r="N38" s="16">
        <f t="shared" si="2"/>
        <v>9.0454985479186831</v>
      </c>
      <c r="O38" s="16">
        <f>N38*J38/(VLOOKUP(D38,'BOD bottles'!$A$3:$B$8,2,1))</f>
        <v>0.20725165649945429</v>
      </c>
    </row>
    <row r="39" spans="1:16" x14ac:dyDescent="0.25">
      <c r="A39" s="17">
        <v>42860</v>
      </c>
      <c r="D39">
        <v>2</v>
      </c>
      <c r="E39" t="s">
        <v>25</v>
      </c>
      <c r="F39" t="s">
        <v>21</v>
      </c>
      <c r="G39" t="s">
        <v>22</v>
      </c>
      <c r="H39">
        <v>25</v>
      </c>
      <c r="I39">
        <v>19</v>
      </c>
      <c r="J39">
        <v>4</v>
      </c>
      <c r="K39">
        <v>80.150000000000006</v>
      </c>
      <c r="L39">
        <v>144.32</v>
      </c>
      <c r="M39">
        <f t="shared" si="1"/>
        <v>112.235</v>
      </c>
      <c r="N39" s="16">
        <f t="shared" si="2"/>
        <v>10.832042594385285</v>
      </c>
      <c r="O39" s="16">
        <f>N39*J39/(VLOOKUP(D39,'BOD bottles'!$A$3:$B$8,2,1))</f>
        <v>0.24692637133151615</v>
      </c>
    </row>
    <row r="40" spans="1:16" x14ac:dyDescent="0.25">
      <c r="A40" s="17">
        <v>42860</v>
      </c>
      <c r="D40">
        <v>1</v>
      </c>
      <c r="E40" t="s">
        <v>25</v>
      </c>
      <c r="F40" t="s">
        <v>21</v>
      </c>
      <c r="G40" t="s">
        <v>22</v>
      </c>
      <c r="H40">
        <v>25</v>
      </c>
      <c r="I40">
        <v>21</v>
      </c>
      <c r="J40">
        <v>4</v>
      </c>
      <c r="K40">
        <v>59.84</v>
      </c>
      <c r="L40">
        <v>154.99</v>
      </c>
      <c r="M40">
        <f t="shared" si="1"/>
        <v>107.41500000000001</v>
      </c>
      <c r="N40" s="16">
        <f t="shared" si="2"/>
        <v>10.365440464666021</v>
      </c>
      <c r="O40" s="16">
        <f>N40*J40/(VLOOKUP(D40,'BOD bottles'!$A$3:$B$8,2,1))</f>
        <v>0.2380670754401934</v>
      </c>
    </row>
    <row r="41" spans="1:16" x14ac:dyDescent="0.25">
      <c r="A41" s="17">
        <v>42860</v>
      </c>
      <c r="D41">
        <v>3</v>
      </c>
      <c r="E41" t="s">
        <v>25</v>
      </c>
      <c r="F41" t="s">
        <v>21</v>
      </c>
      <c r="G41" t="s">
        <v>22</v>
      </c>
      <c r="H41">
        <v>25</v>
      </c>
      <c r="I41">
        <v>27</v>
      </c>
      <c r="J41">
        <v>4</v>
      </c>
      <c r="K41">
        <v>125.82</v>
      </c>
      <c r="L41">
        <v>129.88</v>
      </c>
      <c r="M41">
        <f t="shared" si="1"/>
        <v>127.85</v>
      </c>
      <c r="N41" s="16">
        <f t="shared" si="2"/>
        <v>12.343659244917715</v>
      </c>
      <c r="O41" s="16">
        <f>N41*J41/(VLOOKUP(D41,'BOD bottles'!$A$3:$B$8,2,1))</f>
        <v>0.27969544541817742</v>
      </c>
    </row>
    <row r="42" spans="1:16" x14ac:dyDescent="0.25">
      <c r="A42" s="17">
        <v>42866</v>
      </c>
      <c r="D42">
        <v>2</v>
      </c>
      <c r="E42" t="s">
        <v>25</v>
      </c>
      <c r="F42" t="s">
        <v>16</v>
      </c>
      <c r="G42" t="s">
        <v>22</v>
      </c>
      <c r="H42">
        <v>45</v>
      </c>
      <c r="I42">
        <v>15</v>
      </c>
      <c r="J42">
        <v>4</v>
      </c>
      <c r="K42">
        <v>32.17</v>
      </c>
      <c r="L42">
        <v>36.65</v>
      </c>
      <c r="M42">
        <f t="shared" si="1"/>
        <v>34.409999999999997</v>
      </c>
      <c r="N42" s="16">
        <f t="shared" si="2"/>
        <v>3.2981606969990311</v>
      </c>
      <c r="O42" s="16">
        <f>N42*J42/(VLOOKUP(D42,'BOD bottles'!$A$3:$B$8,2,1))</f>
        <v>7.5184605847131269E-2</v>
      </c>
    </row>
    <row r="43" spans="1:16" x14ac:dyDescent="0.25">
      <c r="A43" s="17">
        <v>42866</v>
      </c>
      <c r="D43">
        <v>3</v>
      </c>
      <c r="E43" t="s">
        <v>25</v>
      </c>
      <c r="F43" t="s">
        <v>16</v>
      </c>
      <c r="G43" t="s">
        <v>22</v>
      </c>
      <c r="H43">
        <v>45</v>
      </c>
      <c r="I43">
        <v>16</v>
      </c>
      <c r="J43">
        <v>4</v>
      </c>
      <c r="K43">
        <v>31.55</v>
      </c>
      <c r="L43">
        <v>41.58</v>
      </c>
      <c r="M43">
        <f t="shared" si="1"/>
        <v>36.564999999999998</v>
      </c>
      <c r="N43" s="16">
        <f t="shared" si="2"/>
        <v>3.50677637947725</v>
      </c>
      <c r="O43" s="16">
        <f>N43*J43/(VLOOKUP(D43,'BOD bottles'!$A$3:$B$8,2,1))</f>
        <v>7.9460179674327308E-2</v>
      </c>
    </row>
    <row r="44" spans="1:16" x14ac:dyDescent="0.25">
      <c r="A44" s="17">
        <v>42866</v>
      </c>
      <c r="D44">
        <v>1</v>
      </c>
      <c r="E44" t="s">
        <v>25</v>
      </c>
      <c r="F44" t="s">
        <v>16</v>
      </c>
      <c r="G44" t="s">
        <v>22</v>
      </c>
      <c r="H44">
        <v>45</v>
      </c>
      <c r="I44">
        <v>23</v>
      </c>
      <c r="J44">
        <v>4</v>
      </c>
      <c r="K44">
        <v>33.79</v>
      </c>
      <c r="L44">
        <v>36.81</v>
      </c>
      <c r="M44">
        <f t="shared" si="1"/>
        <v>35.299999999999997</v>
      </c>
      <c r="N44" s="16">
        <f t="shared" si="2"/>
        <v>3.3843175217812189</v>
      </c>
      <c r="O44" s="16">
        <f>N44*J44/(VLOOKUP(D44,'BOD bottles'!$A$3:$B$8,2,1))</f>
        <v>7.7728927923316926E-2</v>
      </c>
    </row>
    <row r="45" spans="1:16" x14ac:dyDescent="0.25">
      <c r="A45" s="4">
        <v>42871</v>
      </c>
      <c r="D45">
        <v>1</v>
      </c>
      <c r="E45" t="s">
        <v>25</v>
      </c>
      <c r="G45" t="s">
        <v>47</v>
      </c>
      <c r="H45">
        <v>30</v>
      </c>
      <c r="I45">
        <v>8</v>
      </c>
      <c r="J45">
        <v>4</v>
      </c>
      <c r="K45">
        <v>20.97</v>
      </c>
      <c r="L45">
        <v>28.85</v>
      </c>
      <c r="M45">
        <f t="shared" si="1"/>
        <v>24.91</v>
      </c>
      <c r="N45" s="16">
        <f t="shared" si="2"/>
        <v>2.3785091965150049</v>
      </c>
      <c r="O45" s="16">
        <f>N45*J45/(VLOOKUP(D45,'BOD bottles'!$A$3:$B$8,2,1))</f>
        <v>5.4628139561667545E-2</v>
      </c>
    </row>
    <row r="46" spans="1:16" x14ac:dyDescent="0.25">
      <c r="A46" s="4">
        <v>42871</v>
      </c>
      <c r="D46">
        <v>2</v>
      </c>
      <c r="E46" t="s">
        <v>25</v>
      </c>
      <c r="G46" t="s">
        <v>47</v>
      </c>
      <c r="H46">
        <v>30</v>
      </c>
      <c r="I46">
        <v>9</v>
      </c>
      <c r="J46">
        <v>4</v>
      </c>
      <c r="K46">
        <v>24.05</v>
      </c>
      <c r="L46">
        <v>33.69</v>
      </c>
      <c r="M46">
        <f t="shared" si="1"/>
        <v>28.869999999999997</v>
      </c>
      <c r="N46" s="16">
        <f t="shared" si="2"/>
        <v>2.7618586640851883</v>
      </c>
      <c r="O46" s="16">
        <f>N46*J46/(VLOOKUP(D46,'BOD bottles'!$A$3:$B$8,2,1))</f>
        <v>6.2959107860835209E-2</v>
      </c>
    </row>
    <row r="47" spans="1:16" x14ac:dyDescent="0.25">
      <c r="A47" s="4">
        <v>42871</v>
      </c>
      <c r="D47">
        <v>3</v>
      </c>
      <c r="E47" t="s">
        <v>25</v>
      </c>
      <c r="G47" t="s">
        <v>47</v>
      </c>
      <c r="H47">
        <v>30</v>
      </c>
      <c r="I47">
        <v>22</v>
      </c>
      <c r="J47">
        <v>4</v>
      </c>
      <c r="K47">
        <v>26.09</v>
      </c>
      <c r="L47">
        <v>41.08</v>
      </c>
      <c r="M47">
        <f t="shared" si="1"/>
        <v>33.585000000000001</v>
      </c>
      <c r="N47" s="16">
        <f t="shared" si="2"/>
        <v>3.2182962245885767</v>
      </c>
      <c r="O47" s="16">
        <f>N47*J47/(VLOOKUP(D47,'BOD bottles'!$A$3:$B$8,2,1))</f>
        <v>7.2923496846736005E-2</v>
      </c>
    </row>
    <row r="48" spans="1:16" x14ac:dyDescent="0.25">
      <c r="A48" s="4">
        <v>42880</v>
      </c>
      <c r="D48">
        <v>6</v>
      </c>
      <c r="E48" t="s">
        <v>25</v>
      </c>
      <c r="F48" t="s">
        <v>43</v>
      </c>
      <c r="G48" t="s">
        <v>44</v>
      </c>
      <c r="H48">
        <v>45</v>
      </c>
      <c r="I48">
        <v>1</v>
      </c>
      <c r="J48">
        <v>4</v>
      </c>
      <c r="K48">
        <v>28.62</v>
      </c>
      <c r="L48">
        <v>50.58</v>
      </c>
      <c r="M48">
        <f t="shared" si="1"/>
        <v>39.6</v>
      </c>
      <c r="N48" s="16">
        <f>(M48-BlankAug17)/LabSlope</f>
        <v>3.7197483059051311</v>
      </c>
      <c r="O48" s="16">
        <f>N48*J48/(VLOOKUP(D48,'BOD bottles'!$A$3:$B$8,2,1))</f>
        <v>8.5081159787400065E-2</v>
      </c>
    </row>
    <row r="49" spans="1:15" x14ac:dyDescent="0.25">
      <c r="A49" s="4">
        <v>42880</v>
      </c>
      <c r="D49">
        <v>4</v>
      </c>
      <c r="E49" t="s">
        <v>25</v>
      </c>
      <c r="F49" t="s">
        <v>43</v>
      </c>
      <c r="G49" t="s">
        <v>44</v>
      </c>
      <c r="H49">
        <v>45</v>
      </c>
      <c r="I49">
        <v>10</v>
      </c>
      <c r="J49">
        <v>4</v>
      </c>
      <c r="K49">
        <v>31.96</v>
      </c>
      <c r="L49">
        <v>47.56</v>
      </c>
      <c r="M49">
        <f t="shared" si="1"/>
        <v>39.760000000000005</v>
      </c>
      <c r="N49" s="16">
        <f t="shared" ref="N49:N54" si="3">(M49-LabBkank)/LabSlope</f>
        <v>3.8160696999031947</v>
      </c>
      <c r="O49" s="16">
        <f>N49*J49/(VLOOKUP(D49,'BOD bottles'!$A$3:$B$8,2,1))</f>
        <v>8.5413680261948288E-2</v>
      </c>
    </row>
    <row r="50" spans="1:15" x14ac:dyDescent="0.25">
      <c r="A50" s="4">
        <v>42880</v>
      </c>
      <c r="D50">
        <v>5</v>
      </c>
      <c r="E50" t="s">
        <v>25</v>
      </c>
      <c r="F50" t="s">
        <v>43</v>
      </c>
      <c r="G50" t="s">
        <v>44</v>
      </c>
      <c r="H50">
        <v>45</v>
      </c>
      <c r="I50">
        <v>13</v>
      </c>
      <c r="J50">
        <v>4</v>
      </c>
      <c r="K50">
        <v>41.25</v>
      </c>
      <c r="L50">
        <v>47.42</v>
      </c>
      <c r="M50">
        <f t="shared" si="1"/>
        <v>44.335000000000001</v>
      </c>
      <c r="N50" s="16">
        <f t="shared" si="3"/>
        <v>4.2589545014520809</v>
      </c>
      <c r="O50" s="16">
        <f>N50*J50/(VLOOKUP(D50,'BOD bottles'!$A$3:$B$8,2,1))</f>
        <v>9.7581727608021099E-2</v>
      </c>
    </row>
    <row r="51" spans="1:15" x14ac:dyDescent="0.25">
      <c r="A51" s="4">
        <v>42885</v>
      </c>
      <c r="D51">
        <v>3</v>
      </c>
      <c r="E51" t="s">
        <v>25</v>
      </c>
      <c r="G51" t="s">
        <v>53</v>
      </c>
      <c r="H51">
        <v>30</v>
      </c>
      <c r="I51">
        <v>12</v>
      </c>
      <c r="J51">
        <v>4</v>
      </c>
      <c r="K51">
        <v>53.54</v>
      </c>
      <c r="L51" t="s">
        <v>55</v>
      </c>
      <c r="M51">
        <v>79.56</v>
      </c>
      <c r="N51" s="16">
        <f t="shared" si="3"/>
        <v>7.6689254598257497</v>
      </c>
      <c r="O51" s="16">
        <f>N51*J51/(VLOOKUP(D51,'BOD bottles'!$A$3:$B$8,2,1))</f>
        <v>0.17377047436301477</v>
      </c>
    </row>
    <row r="52" spans="1:15" x14ac:dyDescent="0.25">
      <c r="A52" s="4">
        <v>42885</v>
      </c>
      <c r="D52">
        <v>1</v>
      </c>
      <c r="E52" t="s">
        <v>25</v>
      </c>
      <c r="G52" t="s">
        <v>53</v>
      </c>
      <c r="H52">
        <v>30</v>
      </c>
      <c r="I52">
        <v>14</v>
      </c>
      <c r="J52">
        <v>4</v>
      </c>
      <c r="K52">
        <v>81.19</v>
      </c>
      <c r="L52">
        <v>103.79</v>
      </c>
      <c r="M52">
        <f>AVERAGE(K52:L52)</f>
        <v>92.490000000000009</v>
      </c>
      <c r="N52" s="16">
        <f t="shared" si="3"/>
        <v>8.9206195546950635</v>
      </c>
      <c r="O52" s="16">
        <f>N52*J52/(VLOOKUP(D52,'BOD bottles'!$A$3:$B$8,2,1))</f>
        <v>0.2048833154500474</v>
      </c>
    </row>
    <row r="53" spans="1:15" x14ac:dyDescent="0.25">
      <c r="A53" s="4">
        <v>42885</v>
      </c>
      <c r="D53">
        <v>2</v>
      </c>
      <c r="E53" t="s">
        <v>25</v>
      </c>
      <c r="G53" t="s">
        <v>53</v>
      </c>
      <c r="H53">
        <v>30</v>
      </c>
      <c r="I53">
        <v>24</v>
      </c>
      <c r="J53">
        <v>4</v>
      </c>
      <c r="K53">
        <v>75.5</v>
      </c>
      <c r="L53">
        <v>104.07</v>
      </c>
      <c r="M53">
        <f>AVERAGE(K53:L53)</f>
        <v>89.784999999999997</v>
      </c>
      <c r="N53" s="16">
        <f t="shared" si="3"/>
        <v>8.658760890609873</v>
      </c>
      <c r="O53" s="16">
        <f>N53*J53/(VLOOKUP(D53,'BOD bottles'!$A$3:$B$8,2,1))</f>
        <v>0.19738441649535243</v>
      </c>
    </row>
    <row r="54" spans="1:15" x14ac:dyDescent="0.25">
      <c r="G54" t="s">
        <v>54</v>
      </c>
      <c r="I54">
        <v>28</v>
      </c>
      <c r="J54">
        <v>4</v>
      </c>
      <c r="K54">
        <v>0.95</v>
      </c>
      <c r="L54">
        <v>1.4</v>
      </c>
      <c r="M54">
        <f>AVERAGE(K54:L54)</f>
        <v>1.1749999999999998</v>
      </c>
      <c r="N54" s="16">
        <f t="shared" si="3"/>
        <v>8.0832526621490777E-2</v>
      </c>
      <c r="O54" s="16"/>
    </row>
    <row r="55" spans="1:15" x14ac:dyDescent="0.25">
      <c r="A55" s="4">
        <v>42958</v>
      </c>
      <c r="E55" t="s">
        <v>25</v>
      </c>
      <c r="G55" t="s">
        <v>22</v>
      </c>
      <c r="H55">
        <v>10</v>
      </c>
    </row>
    <row r="56" spans="1:15" x14ac:dyDescent="0.25">
      <c r="A56" s="4">
        <v>42958</v>
      </c>
      <c r="E56" t="s">
        <v>25</v>
      </c>
      <c r="G56" t="s">
        <v>22</v>
      </c>
      <c r="H56">
        <v>10</v>
      </c>
    </row>
    <row r="57" spans="1:15" x14ac:dyDescent="0.25">
      <c r="A57" s="4">
        <v>42958</v>
      </c>
      <c r="E57" t="s">
        <v>25</v>
      </c>
      <c r="G57" t="s">
        <v>22</v>
      </c>
      <c r="H57">
        <v>10</v>
      </c>
    </row>
    <row r="58" spans="1:15" x14ac:dyDescent="0.25">
      <c r="A58" s="4">
        <v>42958</v>
      </c>
      <c r="E58" t="s">
        <v>25</v>
      </c>
      <c r="G58" t="s">
        <v>22</v>
      </c>
      <c r="H58">
        <v>25</v>
      </c>
    </row>
    <row r="59" spans="1:15" x14ac:dyDescent="0.25">
      <c r="A59" s="4">
        <v>42958</v>
      </c>
      <c r="E59" t="s">
        <v>25</v>
      </c>
      <c r="G59" t="s">
        <v>22</v>
      </c>
      <c r="H59">
        <v>25</v>
      </c>
    </row>
    <row r="60" spans="1:15" x14ac:dyDescent="0.25">
      <c r="A60" s="4">
        <v>42958</v>
      </c>
      <c r="E60" t="s">
        <v>25</v>
      </c>
      <c r="G60" t="s">
        <v>22</v>
      </c>
      <c r="H60">
        <v>25</v>
      </c>
    </row>
    <row r="61" spans="1:15" x14ac:dyDescent="0.25">
      <c r="A61" s="4">
        <v>42989</v>
      </c>
      <c r="E61" t="s">
        <v>25</v>
      </c>
      <c r="G61" t="s">
        <v>19</v>
      </c>
      <c r="H61">
        <v>10</v>
      </c>
    </row>
    <row r="62" spans="1:15" x14ac:dyDescent="0.25">
      <c r="A62" s="4">
        <v>42989</v>
      </c>
      <c r="E62" t="s">
        <v>25</v>
      </c>
      <c r="G62" t="s">
        <v>19</v>
      </c>
      <c r="H62">
        <v>10</v>
      </c>
    </row>
    <row r="63" spans="1:15" x14ac:dyDescent="0.25">
      <c r="A63" s="4">
        <v>42989</v>
      </c>
      <c r="E63" t="s">
        <v>25</v>
      </c>
      <c r="G63" t="s">
        <v>19</v>
      </c>
      <c r="H63">
        <v>10</v>
      </c>
    </row>
    <row r="64" spans="1:15" x14ac:dyDescent="0.25">
      <c r="A64" s="4">
        <v>42989</v>
      </c>
      <c r="E64" t="s">
        <v>25</v>
      </c>
      <c r="G64" t="s">
        <v>20</v>
      </c>
      <c r="H64">
        <v>25</v>
      </c>
    </row>
    <row r="65" spans="1:8" x14ac:dyDescent="0.25">
      <c r="A65" s="4">
        <v>42989</v>
      </c>
      <c r="E65" t="s">
        <v>25</v>
      </c>
      <c r="G65" t="s">
        <v>20</v>
      </c>
      <c r="H65">
        <v>25</v>
      </c>
    </row>
    <row r="66" spans="1:8" x14ac:dyDescent="0.25">
      <c r="A66" s="4">
        <v>42989</v>
      </c>
      <c r="E66" t="s">
        <v>25</v>
      </c>
      <c r="G66" t="s">
        <v>20</v>
      </c>
      <c r="H66">
        <v>25</v>
      </c>
    </row>
    <row r="67" spans="1:8" x14ac:dyDescent="0.25">
      <c r="D67">
        <v>1</v>
      </c>
      <c r="E67" t="s">
        <v>25</v>
      </c>
    </row>
    <row r="68" spans="1:8" x14ac:dyDescent="0.25">
      <c r="D68">
        <v>2</v>
      </c>
      <c r="E68" t="s">
        <v>25</v>
      </c>
    </row>
    <row r="69" spans="1:8" x14ac:dyDescent="0.25">
      <c r="A69" s="4" t="s">
        <v>65</v>
      </c>
      <c r="G69" t="s">
        <v>42</v>
      </c>
      <c r="H69">
        <v>45</v>
      </c>
    </row>
    <row r="70" spans="1:8" x14ac:dyDescent="0.25">
      <c r="A70" s="4" t="s">
        <v>65</v>
      </c>
      <c r="G70" t="s">
        <v>42</v>
      </c>
      <c r="H70">
        <v>45</v>
      </c>
    </row>
    <row r="71" spans="1:8" x14ac:dyDescent="0.25">
      <c r="A71" s="4">
        <v>43072</v>
      </c>
      <c r="B71" t="s">
        <v>43</v>
      </c>
      <c r="C71">
        <v>1</v>
      </c>
    </row>
    <row r="72" spans="1:8" x14ac:dyDescent="0.25">
      <c r="A72" s="4">
        <v>43072</v>
      </c>
      <c r="B72" t="s">
        <v>43</v>
      </c>
      <c r="C72">
        <v>2</v>
      </c>
    </row>
    <row r="73" spans="1:8" x14ac:dyDescent="0.25">
      <c r="A73" s="4">
        <v>43072</v>
      </c>
      <c r="B73" t="s">
        <v>43</v>
      </c>
      <c r="C73">
        <v>3</v>
      </c>
    </row>
    <row r="74" spans="1:8" x14ac:dyDescent="0.25">
      <c r="A74" s="4">
        <v>43049</v>
      </c>
      <c r="B74" t="s">
        <v>16</v>
      </c>
      <c r="C74">
        <v>1</v>
      </c>
    </row>
    <row r="75" spans="1:8" x14ac:dyDescent="0.25">
      <c r="A75" s="4">
        <v>43049</v>
      </c>
      <c r="B75" t="s">
        <v>16</v>
      </c>
      <c r="C75">
        <v>2</v>
      </c>
    </row>
    <row r="76" spans="1:8" x14ac:dyDescent="0.25">
      <c r="A76" s="4">
        <v>43049</v>
      </c>
      <c r="B76" t="s">
        <v>16</v>
      </c>
      <c r="C76">
        <v>3</v>
      </c>
    </row>
    <row r="77" spans="1:8" x14ac:dyDescent="0.25">
      <c r="A77" s="4">
        <v>43049</v>
      </c>
      <c r="B77" t="s">
        <v>66</v>
      </c>
      <c r="C77">
        <v>11</v>
      </c>
      <c r="E77">
        <v>35</v>
      </c>
      <c r="H77">
        <v>45</v>
      </c>
    </row>
    <row r="78" spans="1:8" x14ac:dyDescent="0.25">
      <c r="A78" s="4">
        <v>43049</v>
      </c>
      <c r="B78" t="s">
        <v>66</v>
      </c>
      <c r="C78">
        <v>12</v>
      </c>
      <c r="E78">
        <v>30</v>
      </c>
      <c r="H78">
        <v>45</v>
      </c>
    </row>
    <row r="79" spans="1:8" x14ac:dyDescent="0.25">
      <c r="A79" s="4">
        <v>43049</v>
      </c>
      <c r="B79" t="s">
        <v>66</v>
      </c>
      <c r="C79">
        <v>13</v>
      </c>
      <c r="E79">
        <v>25</v>
      </c>
      <c r="H79">
        <v>45</v>
      </c>
    </row>
    <row r="80" spans="1:8" x14ac:dyDescent="0.25">
      <c r="A80" s="4">
        <v>43049</v>
      </c>
      <c r="B80" t="s">
        <v>66</v>
      </c>
      <c r="C80">
        <v>14</v>
      </c>
      <c r="E80">
        <v>15</v>
      </c>
      <c r="H80">
        <v>45</v>
      </c>
    </row>
    <row r="81" spans="1:8" x14ac:dyDescent="0.25">
      <c r="A81" s="4">
        <v>43049</v>
      </c>
      <c r="B81" t="s">
        <v>66</v>
      </c>
      <c r="C81">
        <v>15</v>
      </c>
      <c r="E81">
        <v>5</v>
      </c>
      <c r="H81">
        <v>45</v>
      </c>
    </row>
  </sheetData>
  <sortState ref="A23:R54">
    <sortCondition ref="A23:A54"/>
    <sortCondition ref="F23:F54"/>
  </sortState>
  <mergeCells count="2">
    <mergeCell ref="A1:K1"/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pane ySplit="6" topLeftCell="A40" activePane="bottomLeft" state="frozen"/>
      <selection pane="bottomLeft" activeCell="F60" sqref="D60:F62"/>
    </sheetView>
  </sheetViews>
  <sheetFormatPr defaultRowHeight="15" x14ac:dyDescent="0.25"/>
  <cols>
    <col min="1" max="1" width="15" bestFit="1" customWidth="1"/>
    <col min="2" max="2" width="8.85546875" bestFit="1" customWidth="1"/>
    <col min="3" max="3" width="7" bestFit="1" customWidth="1"/>
    <col min="4" max="4" width="11.5703125" bestFit="1" customWidth="1"/>
    <col min="5" max="5" width="14.140625" bestFit="1" customWidth="1"/>
    <col min="6" max="6" width="9.140625" bestFit="1" customWidth="1"/>
    <col min="7" max="7" width="4" bestFit="1" customWidth="1"/>
    <col min="8" max="8" width="16.42578125" bestFit="1" customWidth="1"/>
    <col min="9" max="9" width="7.42578125" bestFit="1" customWidth="1"/>
    <col min="10" max="10" width="13.140625" bestFit="1" customWidth="1"/>
    <col min="11" max="11" width="16.5703125" bestFit="1" customWidth="1"/>
    <col min="12" max="12" width="22.140625" bestFit="1" customWidth="1"/>
    <col min="13" max="13" width="8.85546875" bestFit="1" customWidth="1"/>
    <col min="14" max="14" width="11" customWidth="1"/>
    <col min="15" max="15" width="13.28515625" bestFit="1" customWidth="1"/>
    <col min="16" max="16" width="8.42578125" bestFit="1" customWidth="1"/>
  </cols>
  <sheetData>
    <row r="1" spans="1:16" ht="16.5" thickBot="1" x14ac:dyDescent="0.3">
      <c r="A1" s="24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14"/>
    </row>
    <row r="2" spans="1:16" ht="16.5" thickBot="1" x14ac:dyDescent="0.3">
      <c r="A2" s="24" t="s">
        <v>41</v>
      </c>
      <c r="B2" s="25"/>
      <c r="C2" s="25"/>
      <c r="D2" s="25"/>
      <c r="E2" s="25"/>
      <c r="F2" s="26"/>
      <c r="G2" s="7"/>
      <c r="H2" s="8"/>
      <c r="I2" s="8"/>
      <c r="J2" s="8"/>
      <c r="K2" s="8"/>
      <c r="L2" s="15"/>
    </row>
    <row r="3" spans="1:16" ht="78" thickBot="1" x14ac:dyDescent="0.3">
      <c r="C3" s="9" t="s">
        <v>36</v>
      </c>
      <c r="D3" s="9" t="s">
        <v>37</v>
      </c>
      <c r="E3" s="8"/>
      <c r="F3" s="8" t="s">
        <v>67</v>
      </c>
      <c r="G3" s="8"/>
      <c r="H3" s="8"/>
      <c r="I3" s="8"/>
      <c r="J3" s="8"/>
      <c r="K3" s="8"/>
      <c r="L3" s="8"/>
    </row>
    <row r="4" spans="1:16" ht="15.75" thickBot="1" x14ac:dyDescent="0.3">
      <c r="A4" s="9" t="s">
        <v>38</v>
      </c>
      <c r="B4" s="21">
        <v>42813</v>
      </c>
      <c r="C4" s="10">
        <v>2.2599999999999998</v>
      </c>
      <c r="D4" s="10">
        <v>10.33</v>
      </c>
      <c r="E4" s="11"/>
      <c r="F4" s="11">
        <v>10.6</v>
      </c>
      <c r="G4" s="11"/>
      <c r="H4" s="11"/>
      <c r="I4" s="11"/>
      <c r="J4" s="8"/>
      <c r="K4" s="8"/>
    </row>
    <row r="5" spans="1:16" ht="15.75" thickBot="1" x14ac:dyDescent="0.3"/>
    <row r="6" spans="1:16" ht="65.25" thickBot="1" x14ac:dyDescent="0.3">
      <c r="A6" s="5" t="s">
        <v>13</v>
      </c>
      <c r="B6" t="s">
        <v>29</v>
      </c>
      <c r="C6" t="s">
        <v>30</v>
      </c>
      <c r="D6" t="s">
        <v>26</v>
      </c>
      <c r="E6" t="s">
        <v>24</v>
      </c>
      <c r="F6" t="s">
        <v>32</v>
      </c>
      <c r="G6" t="s">
        <v>12</v>
      </c>
      <c r="H6" t="s">
        <v>31</v>
      </c>
      <c r="I6" t="s">
        <v>45</v>
      </c>
      <c r="J6" t="s">
        <v>80</v>
      </c>
      <c r="K6" t="s">
        <v>77</v>
      </c>
      <c r="L6" t="s">
        <v>61</v>
      </c>
      <c r="M6" s="6" t="s">
        <v>79</v>
      </c>
      <c r="N6" s="6" t="s">
        <v>78</v>
      </c>
      <c r="O6" t="s">
        <v>28</v>
      </c>
      <c r="P6" t="s">
        <v>27</v>
      </c>
    </row>
    <row r="7" spans="1:16" x14ac:dyDescent="0.25">
      <c r="A7" s="4">
        <v>43047</v>
      </c>
      <c r="D7">
        <v>4</v>
      </c>
      <c r="F7" t="s">
        <v>74</v>
      </c>
      <c r="H7">
        <v>10</v>
      </c>
      <c r="J7">
        <v>4.0000000000000001E-3</v>
      </c>
      <c r="K7" s="23">
        <f>VLOOKUP(D7,'BOD bottles'!$A$2:$B$13,2,FALSE)/1000</f>
        <v>0.17871000000000001</v>
      </c>
      <c r="L7">
        <v>117.57</v>
      </c>
      <c r="M7" s="16">
        <f t="shared" ref="M7:M43" si="0">(L7-$C$4)*1/$F$4</f>
        <v>10.878301886792451</v>
      </c>
      <c r="N7" s="22">
        <f t="shared" ref="N7:N43" si="1">(M7*J7)/K7</f>
        <v>0.24348501789026805</v>
      </c>
      <c r="O7" t="s">
        <v>14</v>
      </c>
    </row>
    <row r="8" spans="1:16" x14ac:dyDescent="0.25">
      <c r="A8" s="4">
        <v>43047</v>
      </c>
      <c r="D8">
        <v>1</v>
      </c>
      <c r="F8" t="s">
        <v>76</v>
      </c>
      <c r="H8">
        <v>25</v>
      </c>
      <c r="J8">
        <v>4.0000000000000001E-3</v>
      </c>
      <c r="K8" s="23">
        <f>VLOOKUP(D8,'BOD bottles'!$A$2:$B$13,2,FALSE)/1000</f>
        <v>0.17416000000000001</v>
      </c>
      <c r="L8">
        <v>74.44</v>
      </c>
      <c r="M8" s="16">
        <f t="shared" si="0"/>
        <v>6.8094339622641504</v>
      </c>
      <c r="N8" s="22">
        <f t="shared" si="1"/>
        <v>0.15639490037354503</v>
      </c>
      <c r="O8" t="s">
        <v>14</v>
      </c>
    </row>
    <row r="9" spans="1:16" x14ac:dyDescent="0.25">
      <c r="A9" s="4">
        <v>43047</v>
      </c>
      <c r="D9">
        <v>2</v>
      </c>
      <c r="F9" t="s">
        <v>76</v>
      </c>
      <c r="H9">
        <v>25</v>
      </c>
      <c r="J9">
        <v>4.0000000000000001E-3</v>
      </c>
      <c r="K9" s="23">
        <f>VLOOKUP(D9,'BOD bottles'!$A$2:$B$13,2,FALSE)/1000</f>
        <v>0.17546999999999999</v>
      </c>
      <c r="L9">
        <v>72.540000000000006</v>
      </c>
      <c r="M9" s="16">
        <f t="shared" si="0"/>
        <v>6.6301886792452835</v>
      </c>
      <c r="N9" s="22">
        <f t="shared" si="1"/>
        <v>0.15114124760347145</v>
      </c>
      <c r="O9" t="s">
        <v>14</v>
      </c>
    </row>
    <row r="10" spans="1:16" x14ac:dyDescent="0.25">
      <c r="A10" s="4">
        <v>43047</v>
      </c>
      <c r="D10">
        <v>5</v>
      </c>
      <c r="F10" t="s">
        <v>74</v>
      </c>
      <c r="H10">
        <v>10</v>
      </c>
      <c r="J10">
        <v>4.0000000000000001E-3</v>
      </c>
      <c r="K10" s="23">
        <f>VLOOKUP(D10,'BOD bottles'!$A$2:$B$13,2,FALSE)/1000</f>
        <v>0.17458000000000001</v>
      </c>
      <c r="L10">
        <v>112.87</v>
      </c>
      <c r="M10" s="16">
        <f t="shared" si="0"/>
        <v>10.434905660377359</v>
      </c>
      <c r="N10" s="22">
        <f t="shared" si="1"/>
        <v>0.23908593562555522</v>
      </c>
      <c r="O10" t="s">
        <v>14</v>
      </c>
    </row>
    <row r="11" spans="1:16" x14ac:dyDescent="0.25">
      <c r="A11" s="4">
        <v>43047</v>
      </c>
      <c r="D11">
        <v>3</v>
      </c>
      <c r="F11" t="s">
        <v>76</v>
      </c>
      <c r="H11">
        <v>25</v>
      </c>
      <c r="J11">
        <v>4.0000000000000001E-3</v>
      </c>
      <c r="K11" s="23">
        <f>VLOOKUP(D11,'BOD bottles'!$A$2:$B$13,2,FALSE)/1000</f>
        <v>0.17652999999999999</v>
      </c>
      <c r="L11">
        <v>73.040000000000006</v>
      </c>
      <c r="M11" s="16">
        <f t="shared" si="0"/>
        <v>6.6773584905660384</v>
      </c>
      <c r="N11" s="22">
        <f t="shared" si="1"/>
        <v>0.1513025206042268</v>
      </c>
      <c r="O11" t="s">
        <v>14</v>
      </c>
    </row>
    <row r="12" spans="1:16" x14ac:dyDescent="0.25">
      <c r="A12" s="4">
        <v>43048</v>
      </c>
      <c r="D12">
        <v>1</v>
      </c>
      <c r="F12" t="s">
        <v>70</v>
      </c>
      <c r="H12">
        <v>25</v>
      </c>
      <c r="J12">
        <v>4.0000000000000001E-3</v>
      </c>
      <c r="K12" s="23">
        <f>VLOOKUP(D12,'BOD bottles'!$A$2:$B$13,2,FALSE)/1000</f>
        <v>0.17416000000000001</v>
      </c>
      <c r="L12">
        <v>90.85</v>
      </c>
      <c r="M12" s="16">
        <f t="shared" si="0"/>
        <v>8.3575471698113208</v>
      </c>
      <c r="N12" s="22">
        <f t="shared" si="1"/>
        <v>0.19195101446511992</v>
      </c>
      <c r="O12" t="s">
        <v>14</v>
      </c>
    </row>
    <row r="13" spans="1:16" x14ac:dyDescent="0.25">
      <c r="A13" s="4">
        <v>43048</v>
      </c>
      <c r="D13">
        <v>6</v>
      </c>
      <c r="F13" t="s">
        <v>72</v>
      </c>
      <c r="H13">
        <v>10</v>
      </c>
      <c r="J13">
        <v>4.0000000000000001E-3</v>
      </c>
      <c r="K13" s="23">
        <f>VLOOKUP(D13,'BOD bottles'!$A$2:$B$13,2,FALSE)/1000</f>
        <v>0.17488000000000001</v>
      </c>
      <c r="L13">
        <v>91.08</v>
      </c>
      <c r="M13" s="16">
        <f t="shared" si="0"/>
        <v>8.379245283018868</v>
      </c>
      <c r="N13" s="22">
        <f t="shared" si="1"/>
        <v>0.1916570284313556</v>
      </c>
      <c r="O13" t="s">
        <v>14</v>
      </c>
    </row>
    <row r="14" spans="1:16" x14ac:dyDescent="0.25">
      <c r="A14" s="4">
        <v>43048</v>
      </c>
      <c r="D14">
        <v>5</v>
      </c>
      <c r="F14" t="s">
        <v>72</v>
      </c>
      <c r="H14">
        <v>10</v>
      </c>
      <c r="J14">
        <v>4.0000000000000001E-3</v>
      </c>
      <c r="K14" s="23">
        <f>VLOOKUP(D14,'BOD bottles'!$A$2:$B$13,2,FALSE)/1000</f>
        <v>0.17458000000000001</v>
      </c>
      <c r="L14">
        <v>86.81</v>
      </c>
      <c r="M14" s="16">
        <f t="shared" si="0"/>
        <v>7.9764150943396226</v>
      </c>
      <c r="N14" s="22">
        <f t="shared" si="1"/>
        <v>0.18275667531995929</v>
      </c>
      <c r="O14" t="s">
        <v>14</v>
      </c>
    </row>
    <row r="15" spans="1:16" x14ac:dyDescent="0.25">
      <c r="A15" s="4">
        <v>43048</v>
      </c>
      <c r="D15">
        <v>2</v>
      </c>
      <c r="F15" t="s">
        <v>70</v>
      </c>
      <c r="H15">
        <v>25</v>
      </c>
      <c r="J15">
        <v>4.0000000000000001E-3</v>
      </c>
      <c r="K15" s="23">
        <f>VLOOKUP(D15,'BOD bottles'!$A$2:$B$13,2,FALSE)/1000</f>
        <v>0.17546999999999999</v>
      </c>
      <c r="L15">
        <v>89.35</v>
      </c>
      <c r="M15" s="16">
        <f t="shared" si="0"/>
        <v>8.2160377358490564</v>
      </c>
      <c r="N15" s="22">
        <f t="shared" si="1"/>
        <v>0.18729213508517825</v>
      </c>
      <c r="O15" t="s">
        <v>14</v>
      </c>
    </row>
    <row r="16" spans="1:16" x14ac:dyDescent="0.25">
      <c r="A16" s="4">
        <v>43048</v>
      </c>
      <c r="D16">
        <v>3</v>
      </c>
      <c r="F16" t="s">
        <v>70</v>
      </c>
      <c r="H16">
        <v>25</v>
      </c>
      <c r="J16">
        <v>4.0000000000000001E-3</v>
      </c>
      <c r="K16" s="23">
        <f>VLOOKUP(D16,'BOD bottles'!$A$2:$B$13,2,FALSE)/1000</f>
        <v>0.17652999999999999</v>
      </c>
      <c r="L16">
        <v>84.15</v>
      </c>
      <c r="M16" s="16">
        <f t="shared" si="0"/>
        <v>7.7254716981132079</v>
      </c>
      <c r="N16" s="22">
        <f t="shared" si="1"/>
        <v>0.17505175773212958</v>
      </c>
      <c r="O16" t="s">
        <v>14</v>
      </c>
    </row>
    <row r="17" spans="1:15" x14ac:dyDescent="0.25">
      <c r="A17" s="4">
        <v>43048</v>
      </c>
      <c r="D17">
        <v>4</v>
      </c>
      <c r="F17" t="s">
        <v>72</v>
      </c>
      <c r="H17">
        <v>10</v>
      </c>
      <c r="J17">
        <v>4.0000000000000001E-3</v>
      </c>
      <c r="K17" s="23">
        <f>VLOOKUP(D17,'BOD bottles'!$A$2:$B$13,2,FALSE)/1000</f>
        <v>0.17871000000000001</v>
      </c>
      <c r="L17">
        <v>93.63</v>
      </c>
      <c r="M17" s="16">
        <f t="shared" si="0"/>
        <v>8.6198113207547156</v>
      </c>
      <c r="N17" s="22">
        <f t="shared" si="1"/>
        <v>0.19293405675686232</v>
      </c>
      <c r="O17" t="s">
        <v>14</v>
      </c>
    </row>
    <row r="18" spans="1:15" x14ac:dyDescent="0.25">
      <c r="A18" s="4">
        <v>43054</v>
      </c>
      <c r="D18">
        <v>1</v>
      </c>
      <c r="F18" t="s">
        <v>69</v>
      </c>
      <c r="H18">
        <v>45</v>
      </c>
      <c r="J18">
        <v>4.0000000000000001E-3</v>
      </c>
      <c r="K18" s="23">
        <f>VLOOKUP(D18,'BOD bottles'!$A$2:$B$13,2,FALSE)/1000</f>
        <v>0.17416000000000001</v>
      </c>
      <c r="L18">
        <v>72.86</v>
      </c>
      <c r="M18" s="16">
        <f t="shared" si="0"/>
        <v>6.6603773584905657</v>
      </c>
      <c r="N18" s="22">
        <f t="shared" si="1"/>
        <v>0.1529714597724062</v>
      </c>
      <c r="O18" t="s">
        <v>14</v>
      </c>
    </row>
    <row r="19" spans="1:15" x14ac:dyDescent="0.25">
      <c r="A19" s="4">
        <v>43054</v>
      </c>
      <c r="D19">
        <v>2</v>
      </c>
      <c r="F19" t="s">
        <v>69</v>
      </c>
      <c r="H19">
        <v>45</v>
      </c>
      <c r="J19">
        <v>4.0000000000000001E-3</v>
      </c>
      <c r="K19" s="23">
        <f>VLOOKUP(D19,'BOD bottles'!$A$2:$B$13,2,FALSE)/1000</f>
        <v>0.17546999999999999</v>
      </c>
      <c r="L19">
        <v>74.680000000000007</v>
      </c>
      <c r="M19" s="16">
        <f t="shared" si="0"/>
        <v>6.832075471698114</v>
      </c>
      <c r="N19" s="22">
        <f t="shared" si="1"/>
        <v>0.15574344267847759</v>
      </c>
      <c r="O19" t="s">
        <v>14</v>
      </c>
    </row>
    <row r="20" spans="1:15" x14ac:dyDescent="0.25">
      <c r="A20" s="4">
        <v>43079</v>
      </c>
      <c r="D20">
        <v>2</v>
      </c>
      <c r="F20" t="s">
        <v>75</v>
      </c>
      <c r="H20">
        <v>45</v>
      </c>
      <c r="J20">
        <v>4.0000000000000001E-3</v>
      </c>
      <c r="K20" s="23">
        <f>VLOOKUP(D20,'BOD bottles'!$A$2:$B$13,2,FALSE)/1000</f>
        <v>0.17546999999999999</v>
      </c>
      <c r="L20">
        <v>91.95</v>
      </c>
      <c r="M20" s="16">
        <f t="shared" si="0"/>
        <v>8.4613207547169811</v>
      </c>
      <c r="N20" s="22">
        <f t="shared" si="1"/>
        <v>0.19288358704546604</v>
      </c>
      <c r="O20" t="s">
        <v>14</v>
      </c>
    </row>
    <row r="21" spans="1:15" x14ac:dyDescent="0.25">
      <c r="A21" s="4">
        <v>43079</v>
      </c>
      <c r="E21">
        <v>5</v>
      </c>
      <c r="F21" t="s">
        <v>75</v>
      </c>
      <c r="H21">
        <v>45</v>
      </c>
      <c r="J21">
        <v>4.0000000000000001E-3</v>
      </c>
      <c r="K21" s="23">
        <f>'BOD bottles'!$C$8/1000</f>
        <v>0.17572166666666666</v>
      </c>
      <c r="L21">
        <v>460.71</v>
      </c>
      <c r="M21" s="16">
        <f t="shared" si="0"/>
        <v>43.25</v>
      </c>
      <c r="N21" s="22">
        <f t="shared" si="1"/>
        <v>0.98451149070973998</v>
      </c>
      <c r="O21" t="s">
        <v>14</v>
      </c>
    </row>
    <row r="22" spans="1:15" x14ac:dyDescent="0.25">
      <c r="A22" s="4">
        <v>43079</v>
      </c>
      <c r="E22">
        <v>25</v>
      </c>
      <c r="F22" t="s">
        <v>75</v>
      </c>
      <c r="H22">
        <v>45</v>
      </c>
      <c r="J22">
        <v>4.0000000000000001E-3</v>
      </c>
      <c r="K22" s="23">
        <f>'BOD bottles'!$C$8/1000</f>
        <v>0.17572166666666666</v>
      </c>
      <c r="L22">
        <v>488.92</v>
      </c>
      <c r="M22" s="16">
        <f t="shared" si="0"/>
        <v>45.911320754716982</v>
      </c>
      <c r="N22" s="22">
        <f t="shared" si="1"/>
        <v>1.0450918574954782</v>
      </c>
      <c r="O22" t="s">
        <v>14</v>
      </c>
    </row>
    <row r="23" spans="1:15" x14ac:dyDescent="0.25">
      <c r="A23" s="4">
        <v>43079</v>
      </c>
      <c r="E23">
        <v>35</v>
      </c>
      <c r="F23" t="s">
        <v>75</v>
      </c>
      <c r="H23">
        <v>45</v>
      </c>
      <c r="J23">
        <v>4.0000000000000001E-3</v>
      </c>
      <c r="K23" s="23">
        <f>'BOD bottles'!$C$8/1000</f>
        <v>0.17572166666666666</v>
      </c>
      <c r="L23">
        <v>523.79</v>
      </c>
      <c r="M23" s="16">
        <f t="shared" si="0"/>
        <v>49.200943396226414</v>
      </c>
      <c r="N23" s="22">
        <f t="shared" si="1"/>
        <v>1.1199744306900439</v>
      </c>
      <c r="O23" t="s">
        <v>14</v>
      </c>
    </row>
    <row r="24" spans="1:15" x14ac:dyDescent="0.25">
      <c r="A24" s="4">
        <v>43079</v>
      </c>
      <c r="D24">
        <v>3</v>
      </c>
      <c r="F24" t="s">
        <v>75</v>
      </c>
      <c r="H24">
        <v>45</v>
      </c>
      <c r="J24">
        <v>4.0000000000000001E-3</v>
      </c>
      <c r="K24" s="23">
        <f>VLOOKUP(D24,'BOD bottles'!$A$2:$B$13,2,FALSE)/1000</f>
        <v>0.17652999999999999</v>
      </c>
      <c r="L24">
        <v>96.75</v>
      </c>
      <c r="M24" s="16">
        <f t="shared" si="0"/>
        <v>8.9141509433962263</v>
      </c>
      <c r="N24" s="22">
        <f t="shared" si="1"/>
        <v>0.20198608606800492</v>
      </c>
      <c r="O24" t="s">
        <v>14</v>
      </c>
    </row>
    <row r="25" spans="1:15" x14ac:dyDescent="0.25">
      <c r="A25" s="4">
        <v>43079</v>
      </c>
      <c r="E25">
        <v>30</v>
      </c>
      <c r="F25" t="s">
        <v>75</v>
      </c>
      <c r="H25">
        <v>45</v>
      </c>
      <c r="J25">
        <v>4.0000000000000001E-3</v>
      </c>
      <c r="K25" s="23">
        <f>'BOD bottles'!$C$8/1000</f>
        <v>0.17572166666666666</v>
      </c>
      <c r="L25">
        <v>476.86</v>
      </c>
      <c r="M25" s="16">
        <f t="shared" si="0"/>
        <v>44.773584905660378</v>
      </c>
      <c r="N25" s="22">
        <f t="shared" si="1"/>
        <v>1.0191932675119262</v>
      </c>
      <c r="O25" t="s">
        <v>14</v>
      </c>
    </row>
    <row r="26" spans="1:15" x14ac:dyDescent="0.25">
      <c r="A26" s="4">
        <v>43079</v>
      </c>
      <c r="E26">
        <v>15</v>
      </c>
      <c r="F26" t="s">
        <v>75</v>
      </c>
      <c r="H26">
        <v>45</v>
      </c>
      <c r="J26">
        <v>4.0000000000000001E-3</v>
      </c>
      <c r="K26" s="23">
        <f>'BOD bottles'!$C$8/1000</f>
        <v>0.17572166666666666</v>
      </c>
      <c r="L26">
        <v>518.04999999999995</v>
      </c>
      <c r="M26" s="16">
        <f t="shared" si="0"/>
        <v>48.659433962264146</v>
      </c>
      <c r="N26" s="22">
        <f t="shared" si="1"/>
        <v>1.1076479044457992</v>
      </c>
      <c r="O26" t="s">
        <v>14</v>
      </c>
    </row>
    <row r="27" spans="1:15" x14ac:dyDescent="0.25">
      <c r="A27" s="4">
        <v>43079</v>
      </c>
      <c r="D27">
        <v>1</v>
      </c>
      <c r="F27" t="s">
        <v>75</v>
      </c>
      <c r="H27">
        <v>45</v>
      </c>
      <c r="J27">
        <v>4.0000000000000001E-3</v>
      </c>
      <c r="K27" s="23">
        <f>VLOOKUP(D27,'BOD bottles'!$A$2:$B$13,2,FALSE)/1000</f>
        <v>0.17416000000000001</v>
      </c>
      <c r="L27">
        <v>73.8</v>
      </c>
      <c r="M27" s="16">
        <f t="shared" si="0"/>
        <v>6.7490566037735844</v>
      </c>
      <c r="N27" s="22">
        <f t="shared" si="1"/>
        <v>0.15500819025662804</v>
      </c>
      <c r="O27" t="s">
        <v>14</v>
      </c>
    </row>
    <row r="28" spans="1:15" x14ac:dyDescent="0.25">
      <c r="A28" s="4">
        <v>43200</v>
      </c>
      <c r="F28" t="s">
        <v>68</v>
      </c>
      <c r="H28">
        <v>25</v>
      </c>
      <c r="J28">
        <v>4.0000000000000001E-3</v>
      </c>
      <c r="K28" s="23">
        <f>'BOD bottles'!$C$8/1000</f>
        <v>0.17572166666666666</v>
      </c>
      <c r="L28">
        <v>81.489999999999995</v>
      </c>
      <c r="M28" s="16">
        <f t="shared" si="0"/>
        <v>7.4745283018867914</v>
      </c>
      <c r="N28" s="22">
        <f t="shared" si="1"/>
        <v>0.1701447167824903</v>
      </c>
      <c r="O28" t="s">
        <v>14</v>
      </c>
    </row>
    <row r="29" spans="1:15" x14ac:dyDescent="0.25">
      <c r="A29" s="4">
        <v>43200</v>
      </c>
      <c r="F29" t="s">
        <v>68</v>
      </c>
      <c r="H29">
        <v>25</v>
      </c>
      <c r="J29">
        <v>4.0000000000000001E-3</v>
      </c>
      <c r="K29" s="23">
        <f>'BOD bottles'!$C$8/1000</f>
        <v>0.17572166666666666</v>
      </c>
      <c r="L29">
        <v>81.28</v>
      </c>
      <c r="M29" s="16">
        <f t="shared" si="0"/>
        <v>7.4547169811320755</v>
      </c>
      <c r="N29" s="22">
        <f t="shared" si="1"/>
        <v>0.16969374631013992</v>
      </c>
      <c r="O29" t="s">
        <v>14</v>
      </c>
    </row>
    <row r="30" spans="1:15" x14ac:dyDescent="0.25">
      <c r="A30" s="4">
        <v>43200</v>
      </c>
      <c r="F30" t="s">
        <v>71</v>
      </c>
      <c r="H30">
        <v>10</v>
      </c>
      <c r="J30">
        <v>4.0000000000000001E-3</v>
      </c>
      <c r="K30" s="23">
        <f>'BOD bottles'!$C$8/1000</f>
        <v>0.17572166666666666</v>
      </c>
      <c r="L30">
        <v>85.78</v>
      </c>
      <c r="M30" s="16">
        <f t="shared" si="0"/>
        <v>7.879245283018868</v>
      </c>
      <c r="N30" s="22">
        <f t="shared" si="1"/>
        <v>0.17935739928907729</v>
      </c>
      <c r="O30" t="s">
        <v>14</v>
      </c>
    </row>
    <row r="31" spans="1:15" x14ac:dyDescent="0.25">
      <c r="A31" s="4">
        <v>43200</v>
      </c>
      <c r="F31" t="s">
        <v>71</v>
      </c>
      <c r="H31">
        <v>10</v>
      </c>
      <c r="J31">
        <v>4.0000000000000001E-3</v>
      </c>
      <c r="K31" s="23">
        <f>'BOD bottles'!$C$8/1000</f>
        <v>0.17572166666666666</v>
      </c>
      <c r="L31">
        <v>70.83</v>
      </c>
      <c r="M31" s="16">
        <f t="shared" si="0"/>
        <v>6.4688679245283014</v>
      </c>
      <c r="N31" s="22">
        <f t="shared" si="1"/>
        <v>0.1472525966146076</v>
      </c>
      <c r="O31" t="s">
        <v>14</v>
      </c>
    </row>
    <row r="32" spans="1:15" x14ac:dyDescent="0.25">
      <c r="A32" s="4">
        <v>43200</v>
      </c>
      <c r="F32" t="s">
        <v>68</v>
      </c>
      <c r="H32">
        <v>25</v>
      </c>
      <c r="J32">
        <v>4.0000000000000001E-3</v>
      </c>
      <c r="K32" s="23">
        <f>'BOD bottles'!$C$8/1000</f>
        <v>0.17572166666666666</v>
      </c>
      <c r="L32">
        <v>70.819999999999993</v>
      </c>
      <c r="M32" s="16">
        <f t="shared" si="0"/>
        <v>6.4679245283018858</v>
      </c>
      <c r="N32" s="22">
        <f t="shared" si="1"/>
        <v>0.14723112183020995</v>
      </c>
      <c r="O32" t="s">
        <v>14</v>
      </c>
    </row>
    <row r="33" spans="1:15" x14ac:dyDescent="0.25">
      <c r="A33" s="4">
        <v>43200</v>
      </c>
      <c r="F33" t="s">
        <v>71</v>
      </c>
      <c r="H33">
        <v>10</v>
      </c>
      <c r="J33">
        <v>4.0000000000000001E-3</v>
      </c>
      <c r="K33" s="23">
        <f>'BOD bottles'!$C$8/1000</f>
        <v>0.17572166666666666</v>
      </c>
      <c r="L33">
        <v>74.67</v>
      </c>
      <c r="M33" s="16">
        <f t="shared" si="0"/>
        <v>6.8311320754716984</v>
      </c>
      <c r="N33" s="22">
        <f t="shared" si="1"/>
        <v>0.15549891382330083</v>
      </c>
      <c r="O33" t="s">
        <v>14</v>
      </c>
    </row>
    <row r="34" spans="1:15" x14ac:dyDescent="0.25">
      <c r="A34" s="4">
        <v>43201</v>
      </c>
      <c r="F34" t="s">
        <v>76</v>
      </c>
      <c r="H34">
        <v>25</v>
      </c>
      <c r="J34">
        <v>4.0000000000000001E-3</v>
      </c>
      <c r="K34" s="23">
        <f>'BOD bottles'!$C$8/1000</f>
        <v>0.17572166666666666</v>
      </c>
      <c r="L34">
        <v>54.19</v>
      </c>
      <c r="M34" s="16">
        <f t="shared" si="0"/>
        <v>4.8990566037735848</v>
      </c>
      <c r="N34" s="22">
        <f t="shared" si="1"/>
        <v>0.11151855537693704</v>
      </c>
      <c r="O34" t="s">
        <v>14</v>
      </c>
    </row>
    <row r="35" spans="1:15" x14ac:dyDescent="0.25">
      <c r="A35" s="4">
        <v>43201</v>
      </c>
      <c r="F35" t="s">
        <v>74</v>
      </c>
      <c r="H35">
        <v>10</v>
      </c>
      <c r="J35">
        <v>4.0000000000000001E-3</v>
      </c>
      <c r="K35" s="23">
        <f>'BOD bottles'!$C$8/1000</f>
        <v>0.17572166666666666</v>
      </c>
      <c r="L35">
        <v>50.2</v>
      </c>
      <c r="M35" s="16">
        <f t="shared" si="0"/>
        <v>4.5226415094339627</v>
      </c>
      <c r="N35" s="22">
        <f t="shared" si="1"/>
        <v>0.10295011640227927</v>
      </c>
      <c r="O35" t="s">
        <v>14</v>
      </c>
    </row>
    <row r="36" spans="1:15" x14ac:dyDescent="0.25">
      <c r="A36" s="4">
        <v>43201</v>
      </c>
      <c r="F36" t="s">
        <v>76</v>
      </c>
      <c r="H36">
        <v>25</v>
      </c>
      <c r="J36">
        <v>4.0000000000000001E-3</v>
      </c>
      <c r="K36" s="23">
        <f>'BOD bottles'!$C$8/1000</f>
        <v>0.17572166666666666</v>
      </c>
      <c r="L36">
        <v>35.24</v>
      </c>
      <c r="M36" s="16">
        <f t="shared" si="0"/>
        <v>3.1113207547169814</v>
      </c>
      <c r="N36" s="22">
        <f t="shared" si="1"/>
        <v>7.0823838943411987E-2</v>
      </c>
      <c r="O36" t="s">
        <v>14</v>
      </c>
    </row>
    <row r="37" spans="1:15" x14ac:dyDescent="0.25">
      <c r="A37" s="4">
        <v>43201</v>
      </c>
      <c r="F37" t="s">
        <v>76</v>
      </c>
      <c r="H37">
        <v>25</v>
      </c>
      <c r="J37">
        <v>4.0000000000000001E-3</v>
      </c>
      <c r="K37" s="23">
        <f>'BOD bottles'!$C$8/1000</f>
        <v>0.17572166666666666</v>
      </c>
      <c r="L37">
        <v>41.79</v>
      </c>
      <c r="M37" s="16">
        <f t="shared" si="0"/>
        <v>3.729245283018868</v>
      </c>
      <c r="N37" s="22">
        <f t="shared" si="1"/>
        <v>8.4889822723865235E-2</v>
      </c>
      <c r="O37" t="s">
        <v>14</v>
      </c>
    </row>
    <row r="38" spans="1:15" x14ac:dyDescent="0.25">
      <c r="A38" s="4">
        <v>43237</v>
      </c>
      <c r="D38">
        <v>2</v>
      </c>
      <c r="F38" t="s">
        <v>73</v>
      </c>
      <c r="H38">
        <v>45</v>
      </c>
      <c r="J38">
        <v>4.0000000000000001E-3</v>
      </c>
      <c r="K38" s="23">
        <f>VLOOKUP(D38,'BOD bottles'!$A$2:$B$13,2,FALSE)/1000</f>
        <v>0.17546999999999999</v>
      </c>
      <c r="L38">
        <v>69.73</v>
      </c>
      <c r="M38" s="16">
        <f t="shared" si="0"/>
        <v>6.365094339622642</v>
      </c>
      <c r="N38" s="22">
        <f t="shared" si="1"/>
        <v>0.14509817836946812</v>
      </c>
      <c r="O38" t="s">
        <v>14</v>
      </c>
    </row>
    <row r="39" spans="1:15" x14ac:dyDescent="0.25">
      <c r="A39" s="4">
        <v>43237</v>
      </c>
      <c r="D39">
        <v>3</v>
      </c>
      <c r="F39" t="s">
        <v>73</v>
      </c>
      <c r="H39">
        <v>45</v>
      </c>
      <c r="J39">
        <v>4.0000000000000001E-3</v>
      </c>
      <c r="K39" s="23">
        <f>VLOOKUP(D39,'BOD bottles'!$A$2:$B$13,2,FALSE)/1000</f>
        <v>0.17652999999999999</v>
      </c>
      <c r="L39">
        <v>56.13</v>
      </c>
      <c r="M39" s="16">
        <f t="shared" si="0"/>
        <v>5.082075471698114</v>
      </c>
      <c r="N39" s="22">
        <f t="shared" si="1"/>
        <v>0.11515494186139724</v>
      </c>
      <c r="O39" t="s">
        <v>14</v>
      </c>
    </row>
    <row r="40" spans="1:15" x14ac:dyDescent="0.25">
      <c r="A40" s="4">
        <v>43237</v>
      </c>
      <c r="D40">
        <v>1</v>
      </c>
      <c r="F40" t="s">
        <v>73</v>
      </c>
      <c r="H40">
        <v>45</v>
      </c>
      <c r="J40">
        <v>4.0000000000000001E-3</v>
      </c>
      <c r="K40" s="23">
        <f>VLOOKUP(D40,'BOD bottles'!$A$2:$B$13,2,FALSE)/1000</f>
        <v>0.17416000000000001</v>
      </c>
      <c r="L40">
        <v>66.8</v>
      </c>
      <c r="M40" s="16">
        <f t="shared" si="0"/>
        <v>6.0886792452830187</v>
      </c>
      <c r="N40" s="22">
        <f t="shared" si="1"/>
        <v>0.13984104835284838</v>
      </c>
      <c r="O40" t="s">
        <v>14</v>
      </c>
    </row>
    <row r="41" spans="1:15" x14ac:dyDescent="0.25">
      <c r="A41" s="4">
        <v>43243</v>
      </c>
      <c r="F41" t="s">
        <v>75</v>
      </c>
      <c r="H41">
        <v>45</v>
      </c>
      <c r="J41">
        <v>4.0000000000000001E-3</v>
      </c>
      <c r="K41" s="23">
        <f>'BOD bottles'!$C$8/1000</f>
        <v>0.17572166666666666</v>
      </c>
      <c r="L41">
        <v>43.77</v>
      </c>
      <c r="M41" s="16">
        <f t="shared" si="0"/>
        <v>3.916037735849057</v>
      </c>
      <c r="N41" s="22">
        <f t="shared" si="1"/>
        <v>8.9141830034597677E-2</v>
      </c>
      <c r="O41" t="s">
        <v>14</v>
      </c>
    </row>
    <row r="42" spans="1:15" x14ac:dyDescent="0.25">
      <c r="A42" s="4">
        <v>43243</v>
      </c>
      <c r="F42" t="s">
        <v>75</v>
      </c>
      <c r="H42">
        <v>45</v>
      </c>
      <c r="J42">
        <v>4.0000000000000001E-3</v>
      </c>
      <c r="K42" s="23">
        <f>'BOD bottles'!$C$8/1000</f>
        <v>0.17572166666666666</v>
      </c>
      <c r="L42">
        <v>35.97</v>
      </c>
      <c r="M42" s="16">
        <f t="shared" si="0"/>
        <v>3.1801886792452834</v>
      </c>
      <c r="N42" s="22">
        <f t="shared" si="1"/>
        <v>7.2391498204439603E-2</v>
      </c>
      <c r="O42" t="s">
        <v>14</v>
      </c>
    </row>
    <row r="43" spans="1:15" x14ac:dyDescent="0.25">
      <c r="A43" s="4">
        <v>43243</v>
      </c>
      <c r="F43" t="s">
        <v>75</v>
      </c>
      <c r="H43">
        <v>45</v>
      </c>
      <c r="J43">
        <v>4.0000000000000001E-3</v>
      </c>
      <c r="K43" s="23">
        <f>'BOD bottles'!$C$8/1000</f>
        <v>0.17572166666666666</v>
      </c>
      <c r="L43">
        <v>51.12</v>
      </c>
      <c r="M43" s="16">
        <f t="shared" si="0"/>
        <v>4.6094339622641511</v>
      </c>
      <c r="N43" s="22">
        <f t="shared" si="1"/>
        <v>0.10492579656686203</v>
      </c>
      <c r="O43" t="s">
        <v>14</v>
      </c>
    </row>
    <row r="51" spans="1:6" x14ac:dyDescent="0.25">
      <c r="A51" s="4">
        <v>43598</v>
      </c>
      <c r="D51">
        <v>1</v>
      </c>
      <c r="F51" t="s">
        <v>81</v>
      </c>
    </row>
    <row r="52" spans="1:6" x14ac:dyDescent="0.25">
      <c r="A52" s="4">
        <v>43598</v>
      </c>
      <c r="D52">
        <v>2</v>
      </c>
      <c r="F52" t="s">
        <v>81</v>
      </c>
    </row>
    <row r="53" spans="1:6" x14ac:dyDescent="0.25">
      <c r="A53" s="4">
        <v>43598</v>
      </c>
      <c r="D53">
        <v>3</v>
      </c>
      <c r="F53" t="s">
        <v>81</v>
      </c>
    </row>
    <row r="54" spans="1:6" x14ac:dyDescent="0.25">
      <c r="A54" s="4">
        <v>43600</v>
      </c>
      <c r="D54">
        <v>4</v>
      </c>
      <c r="F54" t="s">
        <v>82</v>
      </c>
    </row>
    <row r="55" spans="1:6" x14ac:dyDescent="0.25">
      <c r="A55" s="4">
        <v>43600</v>
      </c>
      <c r="D55">
        <v>5</v>
      </c>
      <c r="F55" t="s">
        <v>82</v>
      </c>
    </row>
    <row r="56" spans="1:6" x14ac:dyDescent="0.25">
      <c r="A56" s="4">
        <v>43600</v>
      </c>
      <c r="D56">
        <v>6</v>
      </c>
      <c r="F56" t="s">
        <v>82</v>
      </c>
    </row>
    <row r="57" spans="1:6" x14ac:dyDescent="0.25">
      <c r="A57" s="4">
        <v>43605</v>
      </c>
      <c r="D57">
        <v>1</v>
      </c>
      <c r="F57" t="s">
        <v>83</v>
      </c>
    </row>
    <row r="58" spans="1:6" x14ac:dyDescent="0.25">
      <c r="A58" s="4">
        <v>43605</v>
      </c>
      <c r="D58">
        <v>2</v>
      </c>
      <c r="F58" t="s">
        <v>83</v>
      </c>
    </row>
    <row r="59" spans="1:6" x14ac:dyDescent="0.25">
      <c r="A59" s="4">
        <v>43605</v>
      </c>
      <c r="D59">
        <v>3</v>
      </c>
      <c r="F59" t="s">
        <v>83</v>
      </c>
    </row>
    <row r="60" spans="1:6" x14ac:dyDescent="0.25">
      <c r="A60" s="4">
        <v>43619</v>
      </c>
      <c r="D60">
        <v>1</v>
      </c>
      <c r="F60" t="s">
        <v>84</v>
      </c>
    </row>
    <row r="61" spans="1:6" x14ac:dyDescent="0.25">
      <c r="A61" s="4">
        <v>43619</v>
      </c>
      <c r="D61">
        <v>2</v>
      </c>
      <c r="F61" t="s">
        <v>84</v>
      </c>
    </row>
    <row r="62" spans="1:6" x14ac:dyDescent="0.25">
      <c r="A62" s="4">
        <v>43619</v>
      </c>
      <c r="D62">
        <v>3</v>
      </c>
      <c r="F62" t="s">
        <v>84</v>
      </c>
    </row>
  </sheetData>
  <sortState ref="A6:M42">
    <sortCondition ref="A6"/>
  </sortState>
  <mergeCells count="2">
    <mergeCell ref="A1:K1"/>
    <mergeCell ref="A2:F2"/>
  </mergeCells>
  <conditionalFormatting sqref="N7:N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{F92D1432-B28B-445D-A094-5F45EA21C4FD}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2D1432-B28B-445D-A094-5F45EA21C4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resultsAug2017</vt:lpstr>
      <vt:lpstr>פלטה18.8.15</vt:lpstr>
      <vt:lpstr>8.7.15פלטה</vt:lpstr>
      <vt:lpstr>Calculating</vt:lpstr>
      <vt:lpstr>BOD bottles</vt:lpstr>
      <vt:lpstr>Chlorophyll in SW</vt:lpstr>
      <vt:lpstr>MonitoringChl</vt:lpstr>
      <vt:lpstr>resultsAug2017!BlankAug17</vt:lpstr>
      <vt:lpstr>BlankAug17</vt:lpstr>
      <vt:lpstr>Chl_BTL_1</vt:lpstr>
      <vt:lpstr>Chl_BTL_2</vt:lpstr>
      <vt:lpstr>Chl_BTL_3</vt:lpstr>
      <vt:lpstr>Chl_BTL_4</vt:lpstr>
      <vt:lpstr>CHL_BTL_6</vt:lpstr>
      <vt:lpstr>ChlBTL_5</vt:lpstr>
      <vt:lpstr>resultsAug2017!LabBkank</vt:lpstr>
      <vt:lpstr>LabBkank</vt:lpstr>
      <vt:lpstr>resultsAug2017!LabBlank</vt:lpstr>
      <vt:lpstr>LabBlank</vt:lpstr>
      <vt:lpstr>resultsAug2017!LabSlope</vt:lpstr>
      <vt:lpstr>LabSlope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atsemel</cp:lastModifiedBy>
  <dcterms:created xsi:type="dcterms:W3CDTF">2015-07-14T11:08:15Z</dcterms:created>
  <dcterms:modified xsi:type="dcterms:W3CDTF">2021-10-27T09:39:43Z</dcterms:modified>
</cp:coreProperties>
</file>