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7-2018\Dec 2017\"/>
    </mc:Choice>
  </mc:AlternateContent>
  <bookViews>
    <workbookView xWindow="0" yWindow="435" windowWidth="15480" windowHeight="1122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DYNAMIC BOND" sheetId="14" r:id="rId12"/>
    <sheet name="SHORT TERM" sheetId="16" r:id="rId13"/>
    <sheet name="Equity Savings" sheetId="17" r:id="rId14"/>
    <sheet name="DEBT SAVINGS" sheetId="18" r:id="rId15"/>
    <sheet name="BALANCED" sheetId="19" r:id="rId16"/>
    <sheet name="CASH MANAGEMENT" sheetId="20" r:id="rId17"/>
    <sheet name="MONEY MANAGER" sheetId="21" r:id="rId18"/>
    <sheet name="ASSET ALLOCATION FOF-MP" sheetId="31" r:id="rId19"/>
    <sheet name="ASSET ALLOCATION FOF-CP" sheetId="34" r:id="rId20"/>
    <sheet name="ASSET ALLOCATION FOF-AP" sheetId="35" r:id="rId21"/>
    <sheet name="ARBITRAGE FUND" sheetId="36" r:id="rId22"/>
  </sheets>
  <definedNames>
    <definedName name="_xlnm._FilterDatabase" localSheetId="21" hidden="1">'ARBITRAGE FUND'!#REF!</definedName>
    <definedName name="_xlnm._FilterDatabase" localSheetId="13" hidden="1">'Equity Savings'!$A$35:$Q$74</definedName>
    <definedName name="_xlnm._FilterDatabase" localSheetId="0" hidden="1">GROWTH!$D$4:$D$150</definedName>
    <definedName name="_xlnm._FilterDatabase" localSheetId="6" hidden="1">'SMART EQUITY'!$A$46:$R$87</definedName>
  </definedNames>
  <calcPr calcId="152511"/>
</workbook>
</file>

<file path=xl/calcChain.xml><?xml version="1.0" encoding="utf-8"?>
<calcChain xmlns="http://schemas.openxmlformats.org/spreadsheetml/2006/main">
  <c r="H31" i="36" l="1"/>
  <c r="A11" i="36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10" i="36"/>
  <c r="H74" i="17"/>
  <c r="A39" i="17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38" i="17"/>
  <c r="A37" i="17"/>
  <c r="H87" i="8"/>
  <c r="A49" i="8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48" i="8"/>
  <c r="F31" i="36" l="1"/>
  <c r="H30" i="36"/>
  <c r="H28" i="36"/>
  <c r="H26" i="36"/>
  <c r="H24" i="36"/>
  <c r="H22" i="36"/>
  <c r="H20" i="36"/>
  <c r="H18" i="36"/>
  <c r="H16" i="36"/>
  <c r="H14" i="36"/>
  <c r="H12" i="36"/>
  <c r="H10" i="36"/>
  <c r="F74" i="17"/>
  <c r="F33" i="17"/>
  <c r="G62" i="17"/>
  <c r="G36" i="17"/>
  <c r="G38" i="17"/>
  <c r="G52" i="17"/>
  <c r="G58" i="17"/>
  <c r="G60" i="17"/>
  <c r="L32" i="17" s="1"/>
  <c r="G72" i="17"/>
  <c r="G70" i="17"/>
  <c r="G46" i="17"/>
  <c r="G66" i="17"/>
  <c r="G64" i="17"/>
  <c r="G68" i="17"/>
  <c r="L34" i="17" s="1"/>
  <c r="G54" i="17"/>
  <c r="G44" i="17"/>
  <c r="G56" i="17"/>
  <c r="G40" i="17"/>
  <c r="G42" i="17"/>
  <c r="G48" i="17"/>
  <c r="G50" i="17"/>
  <c r="L36" i="8"/>
  <c r="F87" i="8"/>
  <c r="F44" i="8"/>
  <c r="G55" i="8"/>
  <c r="G49" i="8"/>
  <c r="G53" i="8"/>
  <c r="G83" i="8"/>
  <c r="G51" i="8"/>
  <c r="G71" i="8"/>
  <c r="G69" i="8"/>
  <c r="G77" i="8"/>
  <c r="G63" i="8"/>
  <c r="G57" i="8"/>
  <c r="G85" i="8"/>
  <c r="G81" i="8"/>
  <c r="L35" i="8" s="1"/>
  <c r="G73" i="8"/>
  <c r="L31" i="8" s="1"/>
  <c r="G75" i="8"/>
  <c r="G65" i="8"/>
  <c r="G47" i="8"/>
  <c r="G67" i="8"/>
  <c r="G59" i="8"/>
  <c r="G79" i="8"/>
  <c r="G61" i="8"/>
  <c r="H86" i="8"/>
  <c r="H84" i="8"/>
  <c r="H82" i="8"/>
  <c r="H80" i="8"/>
  <c r="H78" i="8"/>
  <c r="H76" i="8"/>
  <c r="H74" i="8"/>
  <c r="H72" i="8"/>
  <c r="H70" i="8"/>
  <c r="H68" i="8"/>
  <c r="H66" i="8"/>
  <c r="H64" i="8"/>
  <c r="H62" i="8"/>
  <c r="H60" i="8"/>
  <c r="H58" i="8"/>
  <c r="H56" i="8"/>
  <c r="H54" i="8"/>
  <c r="H52" i="8"/>
  <c r="H50" i="8"/>
  <c r="H48" i="8"/>
  <c r="H73" i="17"/>
  <c r="H71" i="17"/>
  <c r="H69" i="17"/>
  <c r="H67" i="17"/>
  <c r="H65" i="17"/>
  <c r="H63" i="17"/>
  <c r="H61" i="17"/>
  <c r="H59" i="17"/>
  <c r="H57" i="17"/>
  <c r="H55" i="17"/>
  <c r="H53" i="17"/>
  <c r="H51" i="17"/>
  <c r="H49" i="17"/>
  <c r="H47" i="17"/>
  <c r="H45" i="17"/>
  <c r="H43" i="17"/>
  <c r="H41" i="17"/>
  <c r="H39" i="17"/>
  <c r="H37" i="17"/>
  <c r="L26" i="17" l="1"/>
  <c r="G74" i="17"/>
  <c r="G87" i="8"/>
  <c r="K31" i="7" l="1"/>
  <c r="F38" i="36" l="1"/>
  <c r="G37" i="36"/>
  <c r="L20" i="36" s="1"/>
  <c r="G36" i="36"/>
  <c r="L17" i="36" s="1"/>
  <c r="G29" i="36"/>
  <c r="G27" i="36"/>
  <c r="L18" i="36" s="1"/>
  <c r="G25" i="36"/>
  <c r="L16" i="36" s="1"/>
  <c r="G23" i="36"/>
  <c r="L15" i="36" s="1"/>
  <c r="G21" i="36"/>
  <c r="G19" i="36"/>
  <c r="G17" i="36"/>
  <c r="L14" i="36" s="1"/>
  <c r="G15" i="36"/>
  <c r="L12" i="36" s="1"/>
  <c r="G13" i="36"/>
  <c r="L11" i="36" s="1"/>
  <c r="G11" i="36"/>
  <c r="L10" i="36" s="1"/>
  <c r="F132" i="19" l="1"/>
  <c r="G90" i="17"/>
  <c r="L35" i="17" s="1"/>
  <c r="G89" i="17"/>
  <c r="G88" i="17"/>
  <c r="L22" i="17" s="1"/>
  <c r="G32" i="17"/>
  <c r="G31" i="17"/>
  <c r="G30" i="17"/>
  <c r="G29" i="17"/>
  <c r="L29" i="17"/>
  <c r="G28" i="17"/>
  <c r="G27" i="17"/>
  <c r="G26" i="17"/>
  <c r="L24" i="17" s="1"/>
  <c r="G25" i="17"/>
  <c r="G24" i="17"/>
  <c r="G23" i="17"/>
  <c r="G22" i="17"/>
  <c r="G21" i="17"/>
  <c r="G43" i="8"/>
  <c r="L34" i="8" s="1"/>
  <c r="G42" i="8"/>
  <c r="G41" i="8"/>
  <c r="G40" i="8"/>
  <c r="G39" i="8"/>
  <c r="G38" i="8"/>
  <c r="G37" i="8"/>
  <c r="L30" i="8" s="1"/>
  <c r="G36" i="8"/>
  <c r="L25" i="8" s="1"/>
  <c r="G35" i="8"/>
  <c r="L17" i="8" s="1"/>
  <c r="G34" i="8"/>
  <c r="L29" i="8" s="1"/>
  <c r="G33" i="8"/>
  <c r="G32" i="8"/>
  <c r="F101" i="6"/>
  <c r="F65" i="4"/>
  <c r="F90" i="2"/>
  <c r="F43" i="36" l="1"/>
  <c r="F91" i="17"/>
  <c r="K38" i="2" l="1"/>
  <c r="F76" i="9"/>
  <c r="F68" i="7"/>
  <c r="A9" i="36"/>
  <c r="F17" i="16"/>
  <c r="A9" i="14" l="1"/>
  <c r="F27" i="21"/>
  <c r="F10" i="21"/>
  <c r="F13" i="20"/>
  <c r="F88" i="19"/>
  <c r="F81" i="17"/>
  <c r="F10" i="14"/>
  <c r="F30" i="11"/>
  <c r="F68" i="4"/>
  <c r="F72" i="4"/>
  <c r="A13" i="14" l="1"/>
  <c r="A14" i="14" s="1"/>
  <c r="A15" i="14" l="1"/>
  <c r="A16" i="14" l="1"/>
  <c r="F42" i="20"/>
  <c r="A9" i="20"/>
  <c r="F115" i="19"/>
  <c r="F40" i="12"/>
  <c r="F19" i="12"/>
  <c r="F55" i="11"/>
  <c r="A10" i="20" l="1"/>
  <c r="A11" i="20" s="1"/>
  <c r="A17" i="14"/>
  <c r="A18" i="14" s="1"/>
  <c r="F46" i="16"/>
  <c r="A12" i="20" l="1"/>
  <c r="A19" i="14"/>
  <c r="A24" i="14" s="1"/>
  <c r="A25" i="14" s="1"/>
  <c r="A26" i="14" l="1"/>
  <c r="A27" i="14" s="1"/>
  <c r="A28" i="14" l="1"/>
  <c r="A29" i="14" s="1"/>
  <c r="A30" i="14" s="1"/>
  <c r="A31" i="14" s="1"/>
  <c r="A32" i="14" s="1"/>
  <c r="A33" i="14" s="1"/>
  <c r="A34" i="14" s="1"/>
  <c r="A35" i="14" s="1"/>
  <c r="A36" i="14" s="1"/>
  <c r="F135" i="19" l="1"/>
  <c r="F128" i="19"/>
  <c r="F111" i="19"/>
  <c r="F80" i="19"/>
  <c r="F45" i="20"/>
  <c r="F37" i="20"/>
  <c r="F21" i="16" l="1"/>
  <c r="F10" i="18" l="1"/>
  <c r="A9" i="18"/>
  <c r="F50" i="36" l="1"/>
  <c r="F47" i="36"/>
  <c r="F53" i="36" s="1"/>
  <c r="G53" i="36" s="1"/>
  <c r="F111" i="8" l="1"/>
  <c r="F76" i="2" l="1"/>
  <c r="F80" i="5" l="1"/>
  <c r="F77" i="5"/>
  <c r="F73" i="5"/>
  <c r="F65" i="5"/>
  <c r="F12" i="35" l="1"/>
  <c r="F11" i="34"/>
  <c r="F12" i="31"/>
  <c r="F30" i="21"/>
  <c r="F23" i="21"/>
  <c r="F29" i="18"/>
  <c r="F26" i="18"/>
  <c r="F14" i="18"/>
  <c r="F95" i="17"/>
  <c r="F49" i="16"/>
  <c r="F10" i="16"/>
  <c r="F40" i="14"/>
  <c r="F37" i="14"/>
  <c r="F20" i="14"/>
  <c r="F43" i="12"/>
  <c r="F36" i="12"/>
  <c r="F15" i="12"/>
  <c r="F58" i="11"/>
  <c r="F51" i="11"/>
  <c r="F24" i="11"/>
  <c r="F12" i="11"/>
  <c r="F13" i="10"/>
  <c r="F10" i="10"/>
  <c r="F79" i="9"/>
  <c r="F114" i="8"/>
  <c r="F107" i="8"/>
  <c r="F96" i="8"/>
  <c r="F92" i="8"/>
  <c r="F76" i="7"/>
  <c r="F73" i="7"/>
  <c r="F109" i="6"/>
  <c r="F106" i="6"/>
  <c r="F96" i="6"/>
  <c r="F60" i="4"/>
  <c r="F73" i="4" s="1"/>
  <c r="G71" i="4" s="1"/>
  <c r="F62" i="3"/>
  <c r="F59" i="3"/>
  <c r="F93" i="2"/>
  <c r="F86" i="2"/>
  <c r="F117" i="8" l="1"/>
  <c r="G117" i="8" s="1"/>
  <c r="G72" i="4"/>
  <c r="G64" i="4"/>
  <c r="G59" i="4"/>
  <c r="G67" i="4"/>
  <c r="K31" i="4" s="1"/>
  <c r="G63" i="4"/>
  <c r="G65" i="4" l="1"/>
  <c r="G68" i="4"/>
  <c r="F14" i="34"/>
  <c r="F22" i="31"/>
  <c r="F18" i="31"/>
  <c r="F34" i="21"/>
  <c r="F139" i="19"/>
  <c r="F33" i="18"/>
  <c r="F98" i="17"/>
  <c r="F101" i="17" s="1"/>
  <c r="G101" i="17" s="1"/>
  <c r="F53" i="16"/>
  <c r="F44" i="14"/>
  <c r="F47" i="12"/>
  <c r="F62" i="11"/>
  <c r="F63" i="11" s="1"/>
  <c r="G61" i="11" s="1"/>
  <c r="F17" i="10"/>
  <c r="F83" i="9"/>
  <c r="F80" i="7"/>
  <c r="F113" i="6"/>
  <c r="F114" i="6" s="1"/>
  <c r="F84" i="5"/>
  <c r="F85" i="5" s="1"/>
  <c r="G83" i="5" s="1"/>
  <c r="F66" i="3"/>
  <c r="F97" i="2"/>
  <c r="G105" i="6" l="1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64" i="6"/>
  <c r="G48" i="6"/>
  <c r="G36" i="6"/>
  <c r="G28" i="6"/>
  <c r="G16" i="6"/>
  <c r="G104" i="6"/>
  <c r="G94" i="6"/>
  <c r="G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G13" i="6"/>
  <c r="G60" i="6"/>
  <c r="G52" i="6"/>
  <c r="G44" i="6"/>
  <c r="G32" i="6"/>
  <c r="G20" i="6"/>
  <c r="G112" i="6"/>
  <c r="G100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56" i="6"/>
  <c r="G40" i="6"/>
  <c r="G24" i="6"/>
  <c r="G12" i="6"/>
  <c r="G108" i="6"/>
  <c r="K36" i="6" s="1"/>
  <c r="G99" i="6"/>
  <c r="G92" i="6"/>
  <c r="G88" i="6"/>
  <c r="G84" i="6"/>
  <c r="G80" i="6"/>
  <c r="G76" i="6"/>
  <c r="G72" i="6"/>
  <c r="G68" i="6"/>
  <c r="G11" i="11"/>
  <c r="G10" i="11"/>
  <c r="G62" i="5"/>
  <c r="G63" i="5"/>
  <c r="G27" i="11"/>
  <c r="G28" i="11"/>
  <c r="G29" i="11"/>
  <c r="G22" i="11"/>
  <c r="G23" i="11"/>
  <c r="G113" i="6"/>
  <c r="G50" i="11"/>
  <c r="G101" i="6"/>
  <c r="G60" i="5"/>
  <c r="G61" i="5"/>
  <c r="G54" i="11"/>
  <c r="G40" i="11"/>
  <c r="G57" i="5"/>
  <c r="G59" i="5"/>
  <c r="G58" i="5"/>
  <c r="K35" i="6"/>
  <c r="G57" i="4"/>
  <c r="G56" i="4"/>
  <c r="G58" i="4"/>
  <c r="G55" i="4"/>
  <c r="G49" i="11"/>
  <c r="G47" i="11"/>
  <c r="G48" i="11"/>
  <c r="G21" i="11"/>
  <c r="G20" i="11"/>
  <c r="G19" i="11"/>
  <c r="G54" i="4"/>
  <c r="G52" i="4"/>
  <c r="G53" i="4"/>
  <c r="F118" i="8"/>
  <c r="G55" i="11" l="1"/>
  <c r="K14" i="11"/>
  <c r="K25" i="11"/>
  <c r="G29" i="8"/>
  <c r="L28" i="8" s="1"/>
  <c r="G27" i="8"/>
  <c r="L9" i="8" s="1"/>
  <c r="G25" i="8"/>
  <c r="G28" i="8"/>
  <c r="L11" i="8" s="1"/>
  <c r="G26" i="8"/>
  <c r="G24" i="8"/>
  <c r="G23" i="8"/>
  <c r="G31" i="8"/>
  <c r="G30" i="8"/>
  <c r="G22" i="8"/>
  <c r="G18" i="8"/>
  <c r="G14" i="8"/>
  <c r="G12" i="8"/>
  <c r="G21" i="8"/>
  <c r="G17" i="8"/>
  <c r="G10" i="8"/>
  <c r="G20" i="8"/>
  <c r="G16" i="8"/>
  <c r="G13" i="8"/>
  <c r="G19" i="8"/>
  <c r="G15" i="8"/>
  <c r="G11" i="8"/>
  <c r="G9" i="8"/>
  <c r="K30" i="4"/>
  <c r="G101" i="8"/>
  <c r="L20" i="8" s="1"/>
  <c r="G106" i="8"/>
  <c r="L32" i="8" s="1"/>
  <c r="G105" i="8"/>
  <c r="G104" i="8"/>
  <c r="L21" i="8" s="1"/>
  <c r="G113" i="8"/>
  <c r="L37" i="8" s="1"/>
  <c r="G100" i="8"/>
  <c r="L19" i="8" s="1"/>
  <c r="G103" i="8"/>
  <c r="L23" i="8" s="1"/>
  <c r="G110" i="8"/>
  <c r="L18" i="8" s="1"/>
  <c r="G95" i="8"/>
  <c r="L33" i="8" s="1"/>
  <c r="G102" i="8"/>
  <c r="L22" i="8" s="1"/>
  <c r="G91" i="8"/>
  <c r="L27" i="8" s="1"/>
  <c r="G30" i="11"/>
  <c r="G106" i="6"/>
  <c r="K34" i="6"/>
  <c r="K29" i="4"/>
  <c r="G109" i="6"/>
  <c r="L12" i="8" l="1"/>
  <c r="G44" i="8"/>
  <c r="L26" i="8"/>
  <c r="L10" i="8"/>
  <c r="L15" i="8"/>
  <c r="L16" i="8"/>
  <c r="L13" i="8"/>
  <c r="L14" i="8"/>
  <c r="G92" i="8"/>
  <c r="G111" i="8"/>
  <c r="G107" i="8"/>
  <c r="G96" i="8"/>
  <c r="G114" i="8"/>
  <c r="A9" i="17"/>
  <c r="A9" i="11"/>
  <c r="A10" i="17" l="1"/>
  <c r="A11" i="17"/>
  <c r="A10" i="11"/>
  <c r="A11" i="11" s="1"/>
  <c r="G62" i="11"/>
  <c r="G37" i="11"/>
  <c r="K19" i="11" s="1"/>
  <c r="G15" i="11"/>
  <c r="G39" i="11"/>
  <c r="G34" i="11"/>
  <c r="G45" i="11"/>
  <c r="G16" i="11"/>
  <c r="G42" i="11"/>
  <c r="G36" i="11"/>
  <c r="K21" i="11" s="1"/>
  <c r="G18" i="11"/>
  <c r="G46" i="11"/>
  <c r="G35" i="11"/>
  <c r="K13" i="11" s="1"/>
  <c r="G38" i="11"/>
  <c r="G43" i="11"/>
  <c r="G44" i="11"/>
  <c r="G9" i="11"/>
  <c r="G17" i="11"/>
  <c r="G41" i="11"/>
  <c r="G57" i="11"/>
  <c r="K26" i="11" s="1"/>
  <c r="A12" i="17" l="1"/>
  <c r="K24" i="11"/>
  <c r="K15" i="11"/>
  <c r="K22" i="11"/>
  <c r="K17" i="11"/>
  <c r="K16" i="11"/>
  <c r="K23" i="11"/>
  <c r="K20" i="11"/>
  <c r="K11" i="11"/>
  <c r="K10" i="11"/>
  <c r="K18" i="11"/>
  <c r="K9" i="11"/>
  <c r="K12" i="11"/>
  <c r="G58" i="11"/>
  <c r="G12" i="11"/>
  <c r="G51" i="11"/>
  <c r="G24" i="11"/>
  <c r="A13" i="17" l="1"/>
  <c r="A14" i="17" s="1"/>
  <c r="A15" i="17" s="1"/>
  <c r="G63" i="11"/>
  <c r="A16" i="17" l="1"/>
  <c r="A15" i="11"/>
  <c r="A17" i="17" l="1"/>
  <c r="A16" i="11"/>
  <c r="A18" i="17" l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17" i="11"/>
  <c r="A18" i="11" l="1"/>
  <c r="I142" i="7"/>
  <c r="I138" i="7"/>
  <c r="I134" i="7"/>
  <c r="I133" i="7"/>
  <c r="I128" i="7"/>
  <c r="I127" i="7"/>
  <c r="I123" i="7"/>
  <c r="I119" i="7"/>
  <c r="I118" i="7"/>
  <c r="I117" i="7"/>
  <c r="I116" i="7"/>
  <c r="I115" i="7"/>
  <c r="I114" i="7"/>
  <c r="A19" i="11" l="1"/>
  <c r="A20" i="11" s="1"/>
  <c r="A21" i="11" s="1"/>
  <c r="A22" i="11" l="1"/>
  <c r="A36" i="17" l="1"/>
  <c r="A23" i="11"/>
  <c r="F15" i="35" l="1"/>
  <c r="A27" i="11" l="1"/>
  <c r="A28" i="11" s="1"/>
  <c r="A29" i="11" s="1"/>
  <c r="A13" i="18"/>
  <c r="A34" i="11" l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F15" i="31"/>
  <c r="A8" i="35"/>
  <c r="A8" i="34"/>
  <c r="A8" i="31"/>
  <c r="A9" i="31" s="1"/>
  <c r="A10" i="31" s="1"/>
  <c r="A11" i="31" s="1"/>
  <c r="F19" i="35"/>
  <c r="F18" i="34"/>
  <c r="A9" i="19"/>
  <c r="A9" i="12"/>
  <c r="A9" i="10"/>
  <c r="A9" i="9"/>
  <c r="A9" i="7"/>
  <c r="A9" i="6"/>
  <c r="A9" i="5"/>
  <c r="A9" i="4"/>
  <c r="A9" i="3"/>
  <c r="A9" i="2"/>
  <c r="A9" i="21"/>
  <c r="F49" i="20"/>
  <c r="F50" i="20" s="1"/>
  <c r="G48" i="20" s="1"/>
  <c r="F84" i="9"/>
  <c r="G82" i="9" s="1"/>
  <c r="F67" i="3"/>
  <c r="G65" i="3" s="1"/>
  <c r="G36" i="20" l="1"/>
  <c r="G35" i="20"/>
  <c r="G34" i="20"/>
  <c r="G11" i="20"/>
  <c r="G12" i="20"/>
  <c r="G10" i="20"/>
  <c r="A50" i="11"/>
  <c r="G73" i="9"/>
  <c r="A9" i="8"/>
  <c r="G32" i="20"/>
  <c r="G33" i="20"/>
  <c r="K31" i="9"/>
  <c r="G72" i="9"/>
  <c r="G71" i="9"/>
  <c r="G83" i="9"/>
  <c r="G70" i="9"/>
  <c r="G29" i="20"/>
  <c r="G31" i="20"/>
  <c r="G30" i="20"/>
  <c r="G69" i="9"/>
  <c r="G41" i="20"/>
  <c r="G67" i="9"/>
  <c r="G68" i="9"/>
  <c r="G66" i="9"/>
  <c r="G65" i="9"/>
  <c r="G9" i="20"/>
  <c r="A10" i="12"/>
  <c r="G64" i="9"/>
  <c r="G63" i="9"/>
  <c r="G84" i="5"/>
  <c r="G55" i="5"/>
  <c r="G56" i="5"/>
  <c r="G66" i="3"/>
  <c r="A9" i="35"/>
  <c r="A9" i="34"/>
  <c r="A10" i="34" s="1"/>
  <c r="A10" i="6"/>
  <c r="A10" i="5"/>
  <c r="A10" i="19"/>
  <c r="A10" i="9"/>
  <c r="F54" i="16"/>
  <c r="G52" i="16" s="1"/>
  <c r="F98" i="2"/>
  <c r="G96" i="2" s="1"/>
  <c r="A10" i="3"/>
  <c r="A11" i="3" s="1"/>
  <c r="F20" i="35"/>
  <c r="G18" i="35" s="1"/>
  <c r="A10" i="4"/>
  <c r="A10" i="2"/>
  <c r="G35" i="3"/>
  <c r="F48" i="12"/>
  <c r="G46" i="12" s="1"/>
  <c r="F45" i="14"/>
  <c r="G43" i="14" s="1"/>
  <c r="F140" i="19"/>
  <c r="G138" i="19" s="1"/>
  <c r="F19" i="34"/>
  <c r="F35" i="21"/>
  <c r="A10" i="7"/>
  <c r="F34" i="18"/>
  <c r="G32" i="18" s="1"/>
  <c r="F23" i="31"/>
  <c r="G21" i="31" s="1"/>
  <c r="G27" i="3"/>
  <c r="G36" i="3"/>
  <c r="G29" i="3"/>
  <c r="K21" i="3" s="1"/>
  <c r="G12" i="3"/>
  <c r="G17" i="3"/>
  <c r="F18" i="10"/>
  <c r="G16" i="10" s="1"/>
  <c r="G25" i="3"/>
  <c r="K19" i="3" s="1"/>
  <c r="G10" i="3"/>
  <c r="G14" i="3"/>
  <c r="G61" i="3"/>
  <c r="K30" i="3" s="1"/>
  <c r="G51" i="3"/>
  <c r="G33" i="3"/>
  <c r="G13" i="3"/>
  <c r="G26" i="3"/>
  <c r="G32" i="3"/>
  <c r="G34" i="3"/>
  <c r="K22" i="3" s="1"/>
  <c r="G23" i="3"/>
  <c r="G54" i="3"/>
  <c r="K28" i="3" s="1"/>
  <c r="G41" i="3"/>
  <c r="G31" i="3"/>
  <c r="F81" i="7"/>
  <c r="G79" i="7" s="1"/>
  <c r="G53" i="3"/>
  <c r="K27" i="3" s="1"/>
  <c r="G58" i="3"/>
  <c r="K29" i="3" s="1"/>
  <c r="G55" i="3"/>
  <c r="G56" i="3"/>
  <c r="G57" i="3"/>
  <c r="K20" i="3" l="1"/>
  <c r="A10" i="8"/>
  <c r="K17" i="3"/>
  <c r="G131" i="19"/>
  <c r="K25" i="19" s="1"/>
  <c r="G127" i="19"/>
  <c r="G126" i="19"/>
  <c r="G125" i="19"/>
  <c r="G110" i="19"/>
  <c r="K47" i="19" s="1"/>
  <c r="G109" i="19"/>
  <c r="G108" i="19"/>
  <c r="K49" i="19"/>
  <c r="G76" i="19"/>
  <c r="G78" i="19"/>
  <c r="K48" i="19" s="1"/>
  <c r="G77" i="19"/>
  <c r="G53" i="16"/>
  <c r="G33" i="12"/>
  <c r="G32" i="12"/>
  <c r="G34" i="12"/>
  <c r="G35" i="12"/>
  <c r="G31" i="12"/>
  <c r="A54" i="11"/>
  <c r="G65" i="7"/>
  <c r="G64" i="7"/>
  <c r="G66" i="7"/>
  <c r="G74" i="2"/>
  <c r="K30" i="9"/>
  <c r="G33" i="21"/>
  <c r="G34" i="21" s="1"/>
  <c r="G124" i="19"/>
  <c r="G107" i="19"/>
  <c r="G87" i="19"/>
  <c r="K44" i="19" s="1"/>
  <c r="G86" i="19"/>
  <c r="K41" i="19" s="1"/>
  <c r="G16" i="16"/>
  <c r="G15" i="16"/>
  <c r="G34" i="14"/>
  <c r="G35" i="14"/>
  <c r="K16" i="14" s="1"/>
  <c r="G36" i="14"/>
  <c r="G44" i="14"/>
  <c r="G19" i="14"/>
  <c r="G18" i="14"/>
  <c r="G47" i="12"/>
  <c r="G30" i="12"/>
  <c r="K37" i="2"/>
  <c r="G60" i="7"/>
  <c r="G63" i="7"/>
  <c r="G59" i="7"/>
  <c r="G62" i="7"/>
  <c r="G61" i="7"/>
  <c r="G134" i="19"/>
  <c r="K50" i="19" s="1"/>
  <c r="G121" i="19"/>
  <c r="G114" i="19"/>
  <c r="K40" i="19" s="1"/>
  <c r="G104" i="19"/>
  <c r="G100" i="19"/>
  <c r="G96" i="19"/>
  <c r="K28" i="19" s="1"/>
  <c r="G92" i="19"/>
  <c r="G72" i="19"/>
  <c r="G68" i="19"/>
  <c r="G64" i="19"/>
  <c r="G60" i="19"/>
  <c r="G56" i="19"/>
  <c r="G52" i="19"/>
  <c r="K35" i="19" s="1"/>
  <c r="G48" i="19"/>
  <c r="G44" i="19"/>
  <c r="G40" i="19"/>
  <c r="G36" i="19"/>
  <c r="G32" i="19"/>
  <c r="G28" i="19"/>
  <c r="G24" i="19"/>
  <c r="G20" i="19"/>
  <c r="G16" i="19"/>
  <c r="G12" i="19"/>
  <c r="G15" i="19"/>
  <c r="G10" i="19"/>
  <c r="G120" i="19"/>
  <c r="G103" i="19"/>
  <c r="K42" i="19" s="1"/>
  <c r="G99" i="19"/>
  <c r="G95" i="19"/>
  <c r="G75" i="19"/>
  <c r="K46" i="19" s="1"/>
  <c r="G71" i="19"/>
  <c r="G67" i="19"/>
  <c r="G63" i="19"/>
  <c r="G59" i="19"/>
  <c r="K39" i="19" s="1"/>
  <c r="G55" i="19"/>
  <c r="G51" i="19"/>
  <c r="G47" i="19"/>
  <c r="G43" i="19"/>
  <c r="G39" i="19"/>
  <c r="G35" i="19"/>
  <c r="G31" i="19"/>
  <c r="K30" i="19" s="1"/>
  <c r="G27" i="19"/>
  <c r="G23" i="19"/>
  <c r="K27" i="19" s="1"/>
  <c r="G19" i="19"/>
  <c r="G11" i="19"/>
  <c r="G123" i="19"/>
  <c r="G119" i="19"/>
  <c r="G106" i="19"/>
  <c r="K45" i="19" s="1"/>
  <c r="G102" i="19"/>
  <c r="G98" i="19"/>
  <c r="G94" i="19"/>
  <c r="G85" i="19"/>
  <c r="K43" i="19" s="1"/>
  <c r="G74" i="19"/>
  <c r="G70" i="19"/>
  <c r="G66" i="19"/>
  <c r="G62" i="19"/>
  <c r="G58" i="19"/>
  <c r="G54" i="19"/>
  <c r="K36" i="19" s="1"/>
  <c r="G50" i="19"/>
  <c r="K33" i="19" s="1"/>
  <c r="G46" i="19"/>
  <c r="K32" i="19" s="1"/>
  <c r="G42" i="19"/>
  <c r="G38" i="19"/>
  <c r="K21" i="19" s="1"/>
  <c r="G34" i="19"/>
  <c r="G30" i="19"/>
  <c r="G26" i="19"/>
  <c r="G22" i="19"/>
  <c r="K26" i="19" s="1"/>
  <c r="G18" i="19"/>
  <c r="G14" i="19"/>
  <c r="G139" i="19"/>
  <c r="G122" i="19"/>
  <c r="G118" i="19"/>
  <c r="G105" i="19"/>
  <c r="G101" i="19"/>
  <c r="G97" i="19"/>
  <c r="K34" i="19" s="1"/>
  <c r="G93" i="19"/>
  <c r="G84" i="19"/>
  <c r="K38" i="19" s="1"/>
  <c r="G73" i="19"/>
  <c r="G69" i="19"/>
  <c r="G65" i="19"/>
  <c r="G61" i="19"/>
  <c r="K37" i="19" s="1"/>
  <c r="G57" i="19"/>
  <c r="G53" i="19"/>
  <c r="G49" i="19"/>
  <c r="G45" i="19"/>
  <c r="K24" i="19" s="1"/>
  <c r="G41" i="19"/>
  <c r="K31" i="19" s="1"/>
  <c r="G37" i="19"/>
  <c r="G33" i="19"/>
  <c r="G29" i="19"/>
  <c r="G25" i="19"/>
  <c r="G21" i="19"/>
  <c r="G17" i="19"/>
  <c r="G13" i="19"/>
  <c r="G22" i="18"/>
  <c r="G20" i="18"/>
  <c r="G23" i="18"/>
  <c r="G25" i="18"/>
  <c r="G21" i="18"/>
  <c r="G24" i="18"/>
  <c r="G19" i="18"/>
  <c r="G21" i="21"/>
  <c r="G22" i="21"/>
  <c r="G13" i="16"/>
  <c r="G14" i="16"/>
  <c r="G14" i="12"/>
  <c r="G73" i="2"/>
  <c r="G72" i="2"/>
  <c r="G71" i="2"/>
  <c r="G13" i="20"/>
  <c r="G9" i="14"/>
  <c r="G58" i="7"/>
  <c r="G68" i="2"/>
  <c r="G70" i="2"/>
  <c r="G66" i="2"/>
  <c r="G69" i="2"/>
  <c r="G67" i="2"/>
  <c r="G39" i="12"/>
  <c r="G40" i="12" s="1"/>
  <c r="A11" i="12"/>
  <c r="G18" i="12"/>
  <c r="G57" i="7"/>
  <c r="K33" i="2"/>
  <c r="K35" i="2"/>
  <c r="K34" i="2"/>
  <c r="K32" i="2"/>
  <c r="G36" i="16"/>
  <c r="G75" i="7"/>
  <c r="K32" i="7" s="1"/>
  <c r="G53" i="7"/>
  <c r="G49" i="7"/>
  <c r="G45" i="7"/>
  <c r="G41" i="7"/>
  <c r="G37" i="7"/>
  <c r="G33" i="7"/>
  <c r="G29" i="7"/>
  <c r="G25" i="7"/>
  <c r="G21" i="7"/>
  <c r="G17" i="7"/>
  <c r="G13" i="7"/>
  <c r="G11" i="7"/>
  <c r="K30" i="7"/>
  <c r="G56" i="7"/>
  <c r="G52" i="7"/>
  <c r="G48" i="7"/>
  <c r="G44" i="7"/>
  <c r="G40" i="7"/>
  <c r="G36" i="7"/>
  <c r="G32" i="7"/>
  <c r="G28" i="7"/>
  <c r="G24" i="7"/>
  <c r="G20" i="7"/>
  <c r="G16" i="7"/>
  <c r="G12" i="7"/>
  <c r="G55" i="7"/>
  <c r="G51" i="7"/>
  <c r="G47" i="7"/>
  <c r="G43" i="7"/>
  <c r="G39" i="7"/>
  <c r="G35" i="7"/>
  <c r="G31" i="7"/>
  <c r="G27" i="7"/>
  <c r="G23" i="7"/>
  <c r="G19" i="7"/>
  <c r="G15" i="7"/>
  <c r="G54" i="7"/>
  <c r="G50" i="7"/>
  <c r="K28" i="7" s="1"/>
  <c r="G46" i="7"/>
  <c r="G42" i="7"/>
  <c r="G38" i="7"/>
  <c r="G34" i="7"/>
  <c r="G30" i="7"/>
  <c r="G26" i="7"/>
  <c r="G22" i="7"/>
  <c r="G18" i="7"/>
  <c r="G14" i="7"/>
  <c r="G10" i="7"/>
  <c r="G97" i="2"/>
  <c r="G20" i="21"/>
  <c r="G19" i="21"/>
  <c r="G17" i="14"/>
  <c r="G29" i="12"/>
  <c r="K18" i="12" s="1"/>
  <c r="G11" i="12"/>
  <c r="G12" i="12"/>
  <c r="G13" i="12"/>
  <c r="G17" i="34"/>
  <c r="G9" i="34"/>
  <c r="G8" i="34"/>
  <c r="G10" i="34"/>
  <c r="G26" i="21"/>
  <c r="K16" i="18"/>
  <c r="K14" i="18"/>
  <c r="G16" i="14"/>
  <c r="G18" i="21"/>
  <c r="G9" i="18"/>
  <c r="G89" i="2"/>
  <c r="G90" i="2" s="1"/>
  <c r="G92" i="2"/>
  <c r="K39" i="2" s="1"/>
  <c r="G45" i="16"/>
  <c r="G28" i="12"/>
  <c r="G20" i="16"/>
  <c r="G33" i="14"/>
  <c r="G32" i="14"/>
  <c r="G31" i="14"/>
  <c r="G9" i="12"/>
  <c r="G10" i="12"/>
  <c r="G62" i="3"/>
  <c r="G30" i="14"/>
  <c r="G29" i="14"/>
  <c r="G22" i="31"/>
  <c r="K13" i="18"/>
  <c r="G14" i="14"/>
  <c r="G13" i="14"/>
  <c r="G15" i="14"/>
  <c r="G28" i="14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56" i="2"/>
  <c r="G44" i="2"/>
  <c r="G32" i="2"/>
  <c r="G20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0" i="2"/>
  <c r="G48" i="2"/>
  <c r="G36" i="2"/>
  <c r="G24" i="2"/>
  <c r="G12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64" i="2"/>
  <c r="G52" i="2"/>
  <c r="G40" i="2"/>
  <c r="G28" i="2"/>
  <c r="G16" i="2"/>
  <c r="G41" i="16"/>
  <c r="G37" i="16"/>
  <c r="K16" i="16" s="1"/>
  <c r="G44" i="16"/>
  <c r="G40" i="16"/>
  <c r="G35" i="16"/>
  <c r="G31" i="16"/>
  <c r="G27" i="16"/>
  <c r="G43" i="16"/>
  <c r="G39" i="16"/>
  <c r="G34" i="16"/>
  <c r="G30" i="16"/>
  <c r="G26" i="16"/>
  <c r="G28" i="16"/>
  <c r="G48" i="16"/>
  <c r="K21" i="16" s="1"/>
  <c r="G42" i="16"/>
  <c r="G38" i="16"/>
  <c r="G33" i="16"/>
  <c r="G29" i="16"/>
  <c r="G25" i="16"/>
  <c r="G32" i="16"/>
  <c r="G9" i="16"/>
  <c r="G27" i="14"/>
  <c r="A10" i="35"/>
  <c r="A11" i="35" s="1"/>
  <c r="G10" i="35"/>
  <c r="G11" i="35"/>
  <c r="G18" i="34"/>
  <c r="G13" i="34"/>
  <c r="K10" i="34" s="1"/>
  <c r="G17" i="21"/>
  <c r="G13" i="18"/>
  <c r="A11" i="6"/>
  <c r="G25" i="20"/>
  <c r="G22" i="20"/>
  <c r="G18" i="20"/>
  <c r="G24" i="20"/>
  <c r="G28" i="20"/>
  <c r="G23" i="20"/>
  <c r="G19" i="20"/>
  <c r="G26" i="20"/>
  <c r="A11" i="9"/>
  <c r="A12" i="9" s="1"/>
  <c r="A11" i="7"/>
  <c r="G79" i="5"/>
  <c r="K32" i="5" s="1"/>
  <c r="A11" i="5"/>
  <c r="A11" i="2"/>
  <c r="G14" i="35"/>
  <c r="K10" i="35" s="1"/>
  <c r="G26" i="12"/>
  <c r="G24" i="12"/>
  <c r="G27" i="12"/>
  <c r="G25" i="12"/>
  <c r="G28" i="5"/>
  <c r="A11" i="4"/>
  <c r="A11" i="19"/>
  <c r="G61" i="9"/>
  <c r="G18" i="9"/>
  <c r="G53" i="5"/>
  <c r="G48" i="5"/>
  <c r="G76" i="5"/>
  <c r="G31" i="5"/>
  <c r="G31" i="9"/>
  <c r="G38" i="9"/>
  <c r="G49" i="9"/>
  <c r="G42" i="9"/>
  <c r="G46" i="9"/>
  <c r="G9" i="35"/>
  <c r="G8" i="35"/>
  <c r="G17" i="20"/>
  <c r="G23" i="12"/>
  <c r="G39" i="9"/>
  <c r="G41" i="9"/>
  <c r="G50" i="9"/>
  <c r="G24" i="9"/>
  <c r="G53" i="9"/>
  <c r="G35" i="9"/>
  <c r="G26" i="9"/>
  <c r="G52" i="9"/>
  <c r="G23" i="9"/>
  <c r="G27" i="9"/>
  <c r="G30" i="9"/>
  <c r="G21" i="9"/>
  <c r="G44" i="5"/>
  <c r="G24" i="5"/>
  <c r="G27" i="5"/>
  <c r="G19" i="5"/>
  <c r="G21" i="5"/>
  <c r="G45" i="5"/>
  <c r="G46" i="5"/>
  <c r="G26" i="5"/>
  <c r="G38" i="5"/>
  <c r="G10" i="5"/>
  <c r="G16" i="5"/>
  <c r="G11" i="5"/>
  <c r="G41" i="5"/>
  <c r="G35" i="5"/>
  <c r="G43" i="5"/>
  <c r="G20" i="5"/>
  <c r="G18" i="5"/>
  <c r="G12" i="5"/>
  <c r="G36" i="5"/>
  <c r="G37" i="5"/>
  <c r="G34" i="5"/>
  <c r="G40" i="5"/>
  <c r="G17" i="5"/>
  <c r="G47" i="5"/>
  <c r="G32" i="5"/>
  <c r="G9" i="5"/>
  <c r="G49" i="5"/>
  <c r="G50" i="5"/>
  <c r="G30" i="5"/>
  <c r="G29" i="5"/>
  <c r="G39" i="5"/>
  <c r="G42" i="5"/>
  <c r="G25" i="5"/>
  <c r="G14" i="5"/>
  <c r="G23" i="5"/>
  <c r="G52" i="5"/>
  <c r="G22" i="5"/>
  <c r="G13" i="5"/>
  <c r="G15" i="5"/>
  <c r="G33" i="5"/>
  <c r="G51" i="5"/>
  <c r="G54" i="5"/>
  <c r="G59" i="9"/>
  <c r="G29" i="21"/>
  <c r="K14" i="21" s="1"/>
  <c r="G39" i="14"/>
  <c r="K18" i="14" s="1"/>
  <c r="G49" i="20"/>
  <c r="A12" i="3"/>
  <c r="A13" i="3" s="1"/>
  <c r="G14" i="31"/>
  <c r="K10" i="31" s="1"/>
  <c r="G17" i="31"/>
  <c r="G18" i="31" s="1"/>
  <c r="G10" i="31"/>
  <c r="G16" i="20"/>
  <c r="G21" i="20"/>
  <c r="G20" i="20"/>
  <c r="G33" i="18"/>
  <c r="G26" i="14"/>
  <c r="G42" i="12"/>
  <c r="K21" i="12" s="1"/>
  <c r="G56" i="9"/>
  <c r="G54" i="9"/>
  <c r="G28" i="9"/>
  <c r="G16" i="3"/>
  <c r="G21" i="3"/>
  <c r="G49" i="3"/>
  <c r="G9" i="3"/>
  <c r="K9" i="3" s="1"/>
  <c r="G44" i="3"/>
  <c r="G37" i="3"/>
  <c r="G24" i="3"/>
  <c r="G43" i="3"/>
  <c r="G42" i="3"/>
  <c r="K10" i="3" s="1"/>
  <c r="G38" i="3"/>
  <c r="G39" i="3"/>
  <c r="K11" i="3" s="1"/>
  <c r="G50" i="3"/>
  <c r="G45" i="3"/>
  <c r="K23" i="3" s="1"/>
  <c r="G15" i="3"/>
  <c r="K16" i="3" s="1"/>
  <c r="G19" i="3"/>
  <c r="G48" i="3"/>
  <c r="K26" i="3" s="1"/>
  <c r="G30" i="3"/>
  <c r="K18" i="3" s="1"/>
  <c r="G11" i="3"/>
  <c r="G22" i="3"/>
  <c r="G46" i="3"/>
  <c r="K24" i="3" s="1"/>
  <c r="G47" i="3"/>
  <c r="K25" i="3" s="1"/>
  <c r="G28" i="3"/>
  <c r="G52" i="3"/>
  <c r="K15" i="3" s="1"/>
  <c r="G40" i="3"/>
  <c r="G9" i="2"/>
  <c r="G24" i="14"/>
  <c r="G9" i="31"/>
  <c r="G19" i="35"/>
  <c r="A14" i="3"/>
  <c r="A15" i="3" s="1"/>
  <c r="A16" i="3" s="1"/>
  <c r="G17" i="9"/>
  <c r="G78" i="9"/>
  <c r="K32" i="9" s="1"/>
  <c r="G17" i="10"/>
  <c r="G12" i="10"/>
  <c r="K10" i="10" s="1"/>
  <c r="G8" i="31"/>
  <c r="G11" i="31"/>
  <c r="G14" i="21"/>
  <c r="G13" i="21"/>
  <c r="G16" i="21"/>
  <c r="G15" i="21"/>
  <c r="K12" i="21" s="1"/>
  <c r="G9" i="21"/>
  <c r="G10" i="21" s="1"/>
  <c r="G44" i="20"/>
  <c r="K16" i="20" s="1"/>
  <c r="G9" i="19"/>
  <c r="G28" i="18"/>
  <c r="K17" i="18" s="1"/>
  <c r="G18" i="18"/>
  <c r="G25" i="14"/>
  <c r="G9" i="10"/>
  <c r="G10" i="10" s="1"/>
  <c r="G29" i="9"/>
  <c r="G37" i="9"/>
  <c r="G13" i="9"/>
  <c r="G40" i="9"/>
  <c r="G12" i="9"/>
  <c r="G33" i="9"/>
  <c r="G14" i="9"/>
  <c r="G25" i="9"/>
  <c r="G48" i="9"/>
  <c r="G16" i="9"/>
  <c r="G55" i="9"/>
  <c r="G22" i="9"/>
  <c r="G62" i="9"/>
  <c r="G15" i="9"/>
  <c r="G57" i="9"/>
  <c r="G11" i="9"/>
  <c r="G58" i="9"/>
  <c r="G47" i="9"/>
  <c r="G19" i="9"/>
  <c r="G9" i="9"/>
  <c r="G32" i="9"/>
  <c r="K29" i="9" s="1"/>
  <c r="G60" i="9"/>
  <c r="G44" i="9"/>
  <c r="G36" i="9"/>
  <c r="G20" i="9"/>
  <c r="G51" i="9"/>
  <c r="G43" i="9"/>
  <c r="G34" i="9"/>
  <c r="G18" i="3"/>
  <c r="G20" i="3"/>
  <c r="K13" i="3" s="1"/>
  <c r="G40" i="20"/>
  <c r="G42" i="20" s="1"/>
  <c r="G27" i="20"/>
  <c r="K15" i="20" s="1"/>
  <c r="G9" i="7"/>
  <c r="G45" i="9"/>
  <c r="G10" i="9"/>
  <c r="A18" i="18"/>
  <c r="K14" i="3" l="1"/>
  <c r="A12" i="7"/>
  <c r="A13" i="7" s="1"/>
  <c r="A11" i="8"/>
  <c r="K12" i="3"/>
  <c r="K19" i="12"/>
  <c r="K20" i="12"/>
  <c r="K22" i="19"/>
  <c r="K29" i="19"/>
  <c r="K20" i="19"/>
  <c r="K23" i="19"/>
  <c r="K19" i="19"/>
  <c r="K12" i="16"/>
  <c r="K13" i="21"/>
  <c r="K11" i="21"/>
  <c r="K12" i="20"/>
  <c r="K10" i="20"/>
  <c r="K11" i="20"/>
  <c r="G115" i="19"/>
  <c r="G132" i="19"/>
  <c r="K14" i="19"/>
  <c r="K9" i="16"/>
  <c r="A12" i="12"/>
  <c r="K31" i="2"/>
  <c r="K31" i="5"/>
  <c r="K15" i="19"/>
  <c r="K18" i="19"/>
  <c r="K17" i="19"/>
  <c r="K16" i="19"/>
  <c r="K19" i="16"/>
  <c r="K18" i="16"/>
  <c r="K20" i="16"/>
  <c r="K10" i="16"/>
  <c r="K14" i="16"/>
  <c r="K17" i="16"/>
  <c r="K15" i="16"/>
  <c r="K28" i="2"/>
  <c r="K30" i="2"/>
  <c r="G76" i="9"/>
  <c r="G68" i="7"/>
  <c r="G77" i="5"/>
  <c r="K30" i="5"/>
  <c r="K15" i="14"/>
  <c r="K13" i="16"/>
  <c r="K11" i="16"/>
  <c r="K14" i="20"/>
  <c r="G17" i="16"/>
  <c r="K14" i="14"/>
  <c r="K17" i="14"/>
  <c r="K13" i="14"/>
  <c r="K12" i="14"/>
  <c r="K14" i="12"/>
  <c r="K22" i="2"/>
  <c r="K16" i="12"/>
  <c r="G27" i="21"/>
  <c r="K8" i="16"/>
  <c r="K11" i="14"/>
  <c r="K20" i="2"/>
  <c r="K29" i="2"/>
  <c r="K26" i="2"/>
  <c r="K11" i="18"/>
  <c r="K13" i="20"/>
  <c r="G88" i="19"/>
  <c r="K12" i="18"/>
  <c r="K15" i="18"/>
  <c r="G10" i="14"/>
  <c r="K17" i="12"/>
  <c r="K17" i="2"/>
  <c r="K21" i="2"/>
  <c r="K27" i="2"/>
  <c r="K24" i="2"/>
  <c r="K23" i="2"/>
  <c r="K13" i="2"/>
  <c r="K10" i="2"/>
  <c r="K25" i="2"/>
  <c r="K14" i="2"/>
  <c r="K19" i="2"/>
  <c r="K16" i="2"/>
  <c r="K11" i="2"/>
  <c r="K15" i="2"/>
  <c r="K36" i="2"/>
  <c r="K12" i="2"/>
  <c r="K18" i="2"/>
  <c r="A13" i="12"/>
  <c r="A14" i="12" s="1"/>
  <c r="G19" i="12"/>
  <c r="K9" i="20"/>
  <c r="G80" i="7"/>
  <c r="K10" i="18"/>
  <c r="K10" i="14"/>
  <c r="K12" i="12"/>
  <c r="K11" i="12"/>
  <c r="K13" i="12"/>
  <c r="G45" i="20"/>
  <c r="G21" i="16"/>
  <c r="G80" i="19"/>
  <c r="G111" i="19"/>
  <c r="G135" i="19"/>
  <c r="G128" i="19"/>
  <c r="K29" i="7"/>
  <c r="G37" i="20"/>
  <c r="G10" i="18"/>
  <c r="K9" i="18"/>
  <c r="K15" i="12"/>
  <c r="K27" i="7"/>
  <c r="K28" i="9"/>
  <c r="K26" i="7"/>
  <c r="K25" i="7"/>
  <c r="K9" i="35"/>
  <c r="K9" i="34"/>
  <c r="G14" i="34"/>
  <c r="K10" i="12"/>
  <c r="K24" i="7"/>
  <c r="G76" i="2"/>
  <c r="A12" i="2"/>
  <c r="G76" i="7"/>
  <c r="G13" i="10"/>
  <c r="K9" i="5"/>
  <c r="G65" i="5"/>
  <c r="G80" i="5"/>
  <c r="G30" i="21"/>
  <c r="G29" i="18"/>
  <c r="G49" i="16"/>
  <c r="G40" i="14"/>
  <c r="G43" i="12"/>
  <c r="K26" i="9"/>
  <c r="A12" i="4"/>
  <c r="A13" i="4" s="1"/>
  <c r="K17" i="7"/>
  <c r="G79" i="9"/>
  <c r="G93" i="2"/>
  <c r="G12" i="35"/>
  <c r="G11" i="34"/>
  <c r="G12" i="31"/>
  <c r="G26" i="18"/>
  <c r="G23" i="21"/>
  <c r="G14" i="18"/>
  <c r="G10" i="16"/>
  <c r="G46" i="16"/>
  <c r="G37" i="14"/>
  <c r="G20" i="14"/>
  <c r="G36" i="12"/>
  <c r="G15" i="12"/>
  <c r="G59" i="3"/>
  <c r="K9" i="19"/>
  <c r="K23" i="9"/>
  <c r="K22" i="7"/>
  <c r="K16" i="7"/>
  <c r="A12" i="5"/>
  <c r="K16" i="5"/>
  <c r="K25" i="5"/>
  <c r="K29" i="5"/>
  <c r="K21" i="9"/>
  <c r="K26" i="5"/>
  <c r="G15" i="35"/>
  <c r="L13" i="35"/>
  <c r="K9" i="31"/>
  <c r="G15" i="31"/>
  <c r="K9" i="21"/>
  <c r="K10" i="21"/>
  <c r="K10" i="19"/>
  <c r="K9" i="12"/>
  <c r="K9" i="10"/>
  <c r="K13" i="9"/>
  <c r="K27" i="9"/>
  <c r="K25" i="9"/>
  <c r="K18" i="9"/>
  <c r="K13" i="7"/>
  <c r="K21" i="7"/>
  <c r="K20" i="7"/>
  <c r="K18" i="7"/>
  <c r="A12" i="6"/>
  <c r="K27" i="5"/>
  <c r="K24" i="5"/>
  <c r="K17" i="5"/>
  <c r="K19" i="5"/>
  <c r="K28" i="5"/>
  <c r="K9" i="2"/>
  <c r="K14" i="9"/>
  <c r="K24" i="9"/>
  <c r="K13" i="19"/>
  <c r="K11" i="19"/>
  <c r="K12" i="19"/>
  <c r="K20" i="9"/>
  <c r="K13" i="5"/>
  <c r="K12" i="9"/>
  <c r="K19" i="9"/>
  <c r="K10" i="9"/>
  <c r="K15" i="9"/>
  <c r="K17" i="9"/>
  <c r="K9" i="9"/>
  <c r="K16" i="9"/>
  <c r="K11" i="9"/>
  <c r="K22" i="9"/>
  <c r="K9" i="7"/>
  <c r="K11" i="7"/>
  <c r="K19" i="7"/>
  <c r="K10" i="7"/>
  <c r="K15" i="7"/>
  <c r="K23" i="7"/>
  <c r="K12" i="7"/>
  <c r="K14" i="7"/>
  <c r="K14" i="5"/>
  <c r="K20" i="5"/>
  <c r="K23" i="5"/>
  <c r="K18" i="5"/>
  <c r="K10" i="5"/>
  <c r="K15" i="5"/>
  <c r="K22" i="5"/>
  <c r="K12" i="5"/>
  <c r="K11" i="5"/>
  <c r="K21" i="5"/>
  <c r="G118" i="8"/>
  <c r="A19" i="18"/>
  <c r="A20" i="18" s="1"/>
  <c r="A12" i="19"/>
  <c r="A13" i="9"/>
  <c r="A14" i="7"/>
  <c r="A17" i="3"/>
  <c r="A18" i="3" s="1"/>
  <c r="A12" i="8" l="1"/>
  <c r="L24" i="8"/>
  <c r="A13" i="5"/>
  <c r="A18" i="12"/>
  <c r="G19" i="34"/>
  <c r="L20" i="16"/>
  <c r="A13" i="2"/>
  <c r="A21" i="18"/>
  <c r="A22" i="18" s="1"/>
  <c r="G23" i="31"/>
  <c r="L16" i="18"/>
  <c r="L12" i="34"/>
  <c r="L12" i="31"/>
  <c r="L23" i="21"/>
  <c r="L32" i="19"/>
  <c r="G54" i="16"/>
  <c r="G18" i="10"/>
  <c r="G84" i="9"/>
  <c r="A13" i="6"/>
  <c r="L32" i="3"/>
  <c r="G140" i="19"/>
  <c r="L29" i="9"/>
  <c r="L26" i="7"/>
  <c r="G85" i="5"/>
  <c r="A14" i="9"/>
  <c r="G98" i="2"/>
  <c r="A13" i="19"/>
  <c r="A15" i="7"/>
  <c r="A14" i="4"/>
  <c r="G20" i="35"/>
  <c r="G35" i="21"/>
  <c r="G48" i="12"/>
  <c r="G45" i="14"/>
  <c r="G50" i="20"/>
  <c r="A13" i="21"/>
  <c r="G67" i="3"/>
  <c r="G34" i="18"/>
  <c r="G81" i="7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13" i="8" l="1"/>
  <c r="A14" i="5"/>
  <c r="A23" i="18"/>
  <c r="A24" i="18" s="1"/>
  <c r="A25" i="18" s="1"/>
  <c r="G119" i="8"/>
  <c r="A14" i="2"/>
  <c r="A15" i="9"/>
  <c r="A16" i="9" s="1"/>
  <c r="A17" i="9" s="1"/>
  <c r="A18" i="9" s="1"/>
  <c r="A14" i="6"/>
  <c r="A14" i="21"/>
  <c r="A14" i="19"/>
  <c r="A16" i="7"/>
  <c r="A15" i="4"/>
  <c r="A9" i="16"/>
  <c r="A14" i="8" l="1"/>
  <c r="A15" i="8" s="1"/>
  <c r="A16" i="8"/>
  <c r="A15" i="5"/>
  <c r="A16" i="5" s="1"/>
  <c r="A23" i="12"/>
  <c r="A15" i="6"/>
  <c r="A16" i="6" s="1"/>
  <c r="A17" i="6" s="1"/>
  <c r="A15" i="2"/>
  <c r="A16" i="2" s="1"/>
  <c r="A15" i="21"/>
  <c r="A15" i="19"/>
  <c r="A19" i="9"/>
  <c r="A17" i="7"/>
  <c r="A16" i="4"/>
  <c r="A17" i="8" l="1"/>
  <c r="A17" i="5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13" i="16"/>
  <c r="A24" i="12"/>
  <c r="A25" i="12" s="1"/>
  <c r="A26" i="12" s="1"/>
  <c r="A27" i="12" s="1"/>
  <c r="A28" i="12" s="1"/>
  <c r="A29" i="12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8" i="6"/>
  <c r="A19" i="6" s="1"/>
  <c r="A16" i="21"/>
  <c r="A16" i="19"/>
  <c r="A17" i="19" s="1"/>
  <c r="A20" i="9"/>
  <c r="A18" i="7"/>
  <c r="A17" i="4"/>
  <c r="A18" i="4" s="1"/>
  <c r="A17" i="2"/>
  <c r="A18" i="2" s="1"/>
  <c r="A14" i="16" l="1"/>
  <c r="A15" i="16" s="1"/>
  <c r="A16" i="16" s="1"/>
  <c r="A30" i="12"/>
  <c r="A31" i="12" s="1"/>
  <c r="A32" i="12" s="1"/>
  <c r="A33" i="12" s="1"/>
  <c r="A34" i="12" s="1"/>
  <c r="A35" i="12" s="1"/>
  <c r="A17" i="21"/>
  <c r="A56" i="5"/>
  <c r="A57" i="5" s="1"/>
  <c r="A20" i="6"/>
  <c r="A21" i="6" s="1"/>
  <c r="A18" i="19"/>
  <c r="A19" i="19" s="1"/>
  <c r="A21" i="9"/>
  <c r="A19" i="7"/>
  <c r="A19" i="4"/>
  <c r="A19" i="2"/>
  <c r="A18" i="21" l="1"/>
  <c r="A19" i="21" s="1"/>
  <c r="A20" i="21" s="1"/>
  <c r="A21" i="21" s="1"/>
  <c r="A22" i="21" s="1"/>
  <c r="A20" i="16"/>
  <c r="A39" i="12"/>
  <c r="A47" i="8"/>
  <c r="A58" i="5"/>
  <c r="A59" i="5" s="1"/>
  <c r="A60" i="5" s="1"/>
  <c r="A61" i="5" s="1"/>
  <c r="A62" i="5" s="1"/>
  <c r="A63" i="5" s="1"/>
  <c r="A64" i="5" s="1"/>
  <c r="A22" i="6"/>
  <c r="A23" i="6" s="1"/>
  <c r="A20" i="19"/>
  <c r="A22" i="9"/>
  <c r="A20" i="7"/>
  <c r="A20" i="4"/>
  <c r="A20" i="2"/>
  <c r="A26" i="21" l="1"/>
  <c r="A25" i="16"/>
  <c r="A26" i="16" s="1"/>
  <c r="A27" i="16" s="1"/>
  <c r="A28" i="16" s="1"/>
  <c r="A29" i="16" s="1"/>
  <c r="A30" i="16" s="1"/>
  <c r="A24" i="6"/>
  <c r="A25" i="6" s="1"/>
  <c r="A21" i="19"/>
  <c r="A23" i="9"/>
  <c r="A21" i="7"/>
  <c r="A21" i="4"/>
  <c r="A21" i="2"/>
  <c r="A31" i="16" l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16" i="20"/>
  <c r="A22" i="19"/>
  <c r="A24" i="9"/>
  <c r="A22" i="7"/>
  <c r="A26" i="6"/>
  <c r="A22" i="4"/>
  <c r="A22" i="2"/>
  <c r="A17" i="20" l="1"/>
  <c r="A18" i="20" s="1"/>
  <c r="A19" i="20" s="1"/>
  <c r="A20" i="20" s="1"/>
  <c r="A23" i="19"/>
  <c r="A25" i="9"/>
  <c r="A23" i="7"/>
  <c r="A27" i="6"/>
  <c r="A23" i="4"/>
  <c r="A23" i="2"/>
  <c r="A21" i="20" l="1"/>
  <c r="A24" i="19"/>
  <c r="A26" i="9"/>
  <c r="A24" i="7"/>
  <c r="A28" i="6"/>
  <c r="A24" i="4"/>
  <c r="A24" i="2"/>
  <c r="A22" i="20" l="1"/>
  <c r="A25" i="19"/>
  <c r="A27" i="9"/>
  <c r="A25" i="7"/>
  <c r="A29" i="6"/>
  <c r="A25" i="4"/>
  <c r="A25" i="2"/>
  <c r="A23" i="20" l="1"/>
  <c r="A24" i="20" s="1"/>
  <c r="A25" i="20" s="1"/>
  <c r="A26" i="20" s="1"/>
  <c r="A27" i="20" s="1"/>
  <c r="A26" i="19"/>
  <c r="A28" i="9"/>
  <c r="A26" i="7"/>
  <c r="A30" i="6"/>
  <c r="A26" i="4"/>
  <c r="A26" i="2"/>
  <c r="A28" i="20" l="1"/>
  <c r="A29" i="20" s="1"/>
  <c r="A27" i="19"/>
  <c r="A29" i="9"/>
  <c r="A27" i="7"/>
  <c r="A31" i="6"/>
  <c r="A27" i="4"/>
  <c r="A27" i="2"/>
  <c r="A30" i="20" l="1"/>
  <c r="A31" i="20" s="1"/>
  <c r="A32" i="20" s="1"/>
  <c r="A33" i="20" s="1"/>
  <c r="A34" i="20" s="1"/>
  <c r="A35" i="20" s="1"/>
  <c r="A36" i="20" s="1"/>
  <c r="A28" i="19"/>
  <c r="A30" i="9"/>
  <c r="A28" i="7"/>
  <c r="A32" i="6"/>
  <c r="A28" i="4"/>
  <c r="A28" i="2"/>
  <c r="A40" i="20" l="1"/>
  <c r="A41" i="20" s="1"/>
  <c r="A29" i="19"/>
  <c r="A31" i="9"/>
  <c r="A29" i="7"/>
  <c r="A33" i="6"/>
  <c r="A29" i="4"/>
  <c r="A29" i="2"/>
  <c r="G51" i="4" l="1"/>
  <c r="G50" i="4"/>
  <c r="A30" i="19"/>
  <c r="A32" i="9"/>
  <c r="A30" i="7"/>
  <c r="A34" i="6"/>
  <c r="A30" i="4"/>
  <c r="A30" i="2"/>
  <c r="G49" i="4"/>
  <c r="G46" i="4"/>
  <c r="G12" i="4"/>
  <c r="G33" i="4"/>
  <c r="G21" i="4"/>
  <c r="G36" i="4"/>
  <c r="G14" i="4"/>
  <c r="G41" i="4"/>
  <c r="G38" i="4"/>
  <c r="G35" i="4"/>
  <c r="G40" i="4"/>
  <c r="G26" i="4"/>
  <c r="G18" i="4"/>
  <c r="G42" i="4"/>
  <c r="G25" i="4"/>
  <c r="G28" i="4"/>
  <c r="G9" i="4"/>
  <c r="G44" i="4"/>
  <c r="G19" i="4"/>
  <c r="G47" i="4"/>
  <c r="G16" i="4"/>
  <c r="G24" i="4"/>
  <c r="G39" i="4"/>
  <c r="G30" i="4"/>
  <c r="G34" i="4"/>
  <c r="G29" i="4"/>
  <c r="G43" i="4"/>
  <c r="G45" i="4"/>
  <c r="G13" i="4"/>
  <c r="G20" i="4"/>
  <c r="G17" i="4"/>
  <c r="G48" i="4"/>
  <c r="G32" i="4"/>
  <c r="G31" i="4"/>
  <c r="G37" i="4"/>
  <c r="G10" i="4"/>
  <c r="G15" i="4"/>
  <c r="G22" i="4"/>
  <c r="G27" i="4"/>
  <c r="G23" i="4"/>
  <c r="G11" i="4"/>
  <c r="K27" i="4" l="1"/>
  <c r="K28" i="4"/>
  <c r="K25" i="4"/>
  <c r="K26" i="4"/>
  <c r="K24" i="4"/>
  <c r="G60" i="4"/>
  <c r="G73" i="4" s="1"/>
  <c r="K20" i="4"/>
  <c r="K18" i="4"/>
  <c r="K17" i="4"/>
  <c r="K16" i="4"/>
  <c r="K23" i="4"/>
  <c r="K13" i="4"/>
  <c r="K21" i="4"/>
  <c r="K15" i="4"/>
  <c r="K10" i="4"/>
  <c r="K14" i="4"/>
  <c r="K9" i="4"/>
  <c r="K19" i="4"/>
  <c r="K12" i="4"/>
  <c r="K11" i="4"/>
  <c r="K22" i="4"/>
  <c r="A31" i="19"/>
  <c r="A33" i="9"/>
  <c r="A31" i="7"/>
  <c r="A35" i="6"/>
  <c r="A31" i="4"/>
  <c r="A31" i="2"/>
  <c r="A32" i="19" l="1"/>
  <c r="A34" i="9"/>
  <c r="A32" i="7"/>
  <c r="A36" i="6"/>
  <c r="A32" i="4"/>
  <c r="A32" i="2"/>
  <c r="A33" i="19" l="1"/>
  <c r="A35" i="9"/>
  <c r="A33" i="7"/>
  <c r="A37" i="6"/>
  <c r="A33" i="4"/>
  <c r="A33" i="2"/>
  <c r="A34" i="19" l="1"/>
  <c r="A36" i="9"/>
  <c r="A34" i="7"/>
  <c r="A38" i="6"/>
  <c r="A34" i="4"/>
  <c r="A34" i="2"/>
  <c r="A35" i="19" l="1"/>
  <c r="A37" i="9"/>
  <c r="A35" i="7"/>
  <c r="A39" i="6"/>
  <c r="A35" i="4"/>
  <c r="A35" i="2"/>
  <c r="A36" i="19" l="1"/>
  <c r="A38" i="9"/>
  <c r="A36" i="7"/>
  <c r="A40" i="6"/>
  <c r="A36" i="4"/>
  <c r="A36" i="2"/>
  <c r="A37" i="19" l="1"/>
  <c r="A39" i="9"/>
  <c r="A37" i="7"/>
  <c r="A41" i="6"/>
  <c r="A37" i="4"/>
  <c r="A37" i="2"/>
  <c r="A38" i="19" l="1"/>
  <c r="A40" i="9"/>
  <c r="A38" i="7"/>
  <c r="A42" i="6"/>
  <c r="A38" i="4"/>
  <c r="A38" i="2"/>
  <c r="A39" i="19" l="1"/>
  <c r="A41" i="9"/>
  <c r="A39" i="7"/>
  <c r="A43" i="6"/>
  <c r="A39" i="4"/>
  <c r="A39" i="2"/>
  <c r="A40" i="19" l="1"/>
  <c r="A42" i="9"/>
  <c r="A40" i="7"/>
  <c r="A44" i="6"/>
  <c r="A40" i="4"/>
  <c r="A40" i="2"/>
  <c r="A41" i="19" l="1"/>
  <c r="A43" i="9"/>
  <c r="A41" i="7"/>
  <c r="A45" i="6"/>
  <c r="A41" i="4"/>
  <c r="A41" i="2"/>
  <c r="A42" i="19" l="1"/>
  <c r="A44" i="9"/>
  <c r="A42" i="7"/>
  <c r="A46" i="6"/>
  <c r="A42" i="4"/>
  <c r="A42" i="2"/>
  <c r="G9" i="6"/>
  <c r="G96" i="6" s="1"/>
  <c r="K33" i="6" l="1"/>
  <c r="K31" i="6"/>
  <c r="K20" i="6"/>
  <c r="K19" i="6"/>
  <c r="K29" i="6"/>
  <c r="K30" i="6"/>
  <c r="K32" i="6"/>
  <c r="K23" i="6"/>
  <c r="K28" i="6"/>
  <c r="K16" i="6"/>
  <c r="K24" i="6"/>
  <c r="K27" i="6"/>
  <c r="K12" i="6"/>
  <c r="K18" i="6"/>
  <c r="K17" i="6"/>
  <c r="K25" i="6"/>
  <c r="K26" i="6"/>
  <c r="K11" i="6"/>
  <c r="K13" i="6"/>
  <c r="K21" i="6"/>
  <c r="K22" i="6"/>
  <c r="K10" i="6"/>
  <c r="K15" i="6"/>
  <c r="K14" i="6"/>
  <c r="K9" i="6"/>
  <c r="A43" i="19"/>
  <c r="A45" i="9"/>
  <c r="A43" i="7"/>
  <c r="A47" i="6"/>
  <c r="A43" i="4"/>
  <c r="A43" i="2"/>
  <c r="L36" i="6" l="1"/>
  <c r="A44" i="19"/>
  <c r="A46" i="9"/>
  <c r="A44" i="7"/>
  <c r="G114" i="6"/>
  <c r="A48" i="6"/>
  <c r="A44" i="4"/>
  <c r="A44" i="2"/>
  <c r="A45" i="19" l="1"/>
  <c r="A47" i="9"/>
  <c r="A45" i="7"/>
  <c r="A49" i="6"/>
  <c r="A45" i="4"/>
  <c r="A45" i="2"/>
  <c r="A46" i="19" l="1"/>
  <c r="A48" i="9"/>
  <c r="A46" i="7"/>
  <c r="A50" i="6"/>
  <c r="A46" i="4"/>
  <c r="A46" i="2"/>
  <c r="A47" i="19" l="1"/>
  <c r="A49" i="9"/>
  <c r="A47" i="7"/>
  <c r="A51" i="6"/>
  <c r="A47" i="4"/>
  <c r="A47" i="2"/>
  <c r="A48" i="19" l="1"/>
  <c r="A50" i="9"/>
  <c r="A48" i="7"/>
  <c r="A52" i="6"/>
  <c r="A48" i="4"/>
  <c r="A48" i="2"/>
  <c r="A49" i="19" l="1"/>
  <c r="A51" i="9"/>
  <c r="A49" i="7"/>
  <c r="A50" i="7" s="1"/>
  <c r="A51" i="7" s="1"/>
  <c r="A52" i="7" s="1"/>
  <c r="A53" i="6"/>
  <c r="A49" i="4"/>
  <c r="A50" i="4" s="1"/>
  <c r="A51" i="4" s="1"/>
  <c r="A52" i="4" s="1"/>
  <c r="A49" i="2"/>
  <c r="A53" i="7" l="1"/>
  <c r="A54" i="7" s="1"/>
  <c r="A55" i="7" s="1"/>
  <c r="A56" i="7" s="1"/>
  <c r="A57" i="7" s="1"/>
  <c r="A58" i="7" s="1"/>
  <c r="A53" i="4"/>
  <c r="A54" i="4" s="1"/>
  <c r="A55" i="4" s="1"/>
  <c r="A56" i="4" s="1"/>
  <c r="A57" i="4" s="1"/>
  <c r="A58" i="4" s="1"/>
  <c r="A50" i="19"/>
  <c r="A52" i="9"/>
  <c r="A54" i="6"/>
  <c r="A50" i="2"/>
  <c r="A59" i="4" l="1"/>
  <c r="A59" i="7"/>
  <c r="A60" i="7" s="1"/>
  <c r="A61" i="7" s="1"/>
  <c r="A62" i="7" s="1"/>
  <c r="A63" i="7" s="1"/>
  <c r="A64" i="7" s="1"/>
  <c r="A65" i="7" s="1"/>
  <c r="A66" i="7" s="1"/>
  <c r="A67" i="7" s="1"/>
  <c r="A51" i="19"/>
  <c r="A53" i="9"/>
  <c r="A55" i="6"/>
  <c r="A51" i="2"/>
  <c r="A63" i="4" l="1"/>
  <c r="A64" i="4" s="1"/>
  <c r="A52" i="19"/>
  <c r="A54" i="9"/>
  <c r="A56" i="6"/>
  <c r="A52" i="2"/>
  <c r="A71" i="7" l="1"/>
  <c r="A53" i="19"/>
  <c r="A55" i="9"/>
  <c r="A57" i="6"/>
  <c r="A53" i="2"/>
  <c r="A72" i="7" l="1"/>
  <c r="A54" i="19"/>
  <c r="A56" i="9"/>
  <c r="A58" i="6"/>
  <c r="A54" i="2"/>
  <c r="A55" i="19" l="1"/>
  <c r="A57" i="9"/>
  <c r="A59" i="6"/>
  <c r="A55" i="2"/>
  <c r="A56" i="19" l="1"/>
  <c r="A58" i="9"/>
  <c r="A60" i="6"/>
  <c r="A56" i="2"/>
  <c r="A57" i="19" l="1"/>
  <c r="A59" i="9"/>
  <c r="A61" i="6"/>
  <c r="A57" i="2"/>
  <c r="A58" i="19" l="1"/>
  <c r="A60" i="9"/>
  <c r="A62" i="6"/>
  <c r="A58" i="2"/>
  <c r="A59" i="19" l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61" i="9"/>
  <c r="A63" i="6"/>
  <c r="A59" i="2"/>
  <c r="A70" i="19" l="1"/>
  <c r="A71" i="19" s="1"/>
  <c r="A62" i="9"/>
  <c r="A64" i="6"/>
  <c r="A60" i="2"/>
  <c r="A72" i="19" l="1"/>
  <c r="A73" i="19" s="1"/>
  <c r="A74" i="19" s="1"/>
  <c r="A75" i="19" s="1"/>
  <c r="A76" i="19" s="1"/>
  <c r="A63" i="9"/>
  <c r="A65" i="6"/>
  <c r="A61" i="2"/>
  <c r="A77" i="19" l="1"/>
  <c r="A78" i="19" s="1"/>
  <c r="A79" i="19" s="1"/>
  <c r="A64" i="9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66" i="6"/>
  <c r="A62" i="2"/>
  <c r="A84" i="19" l="1"/>
  <c r="A85" i="19" s="1"/>
  <c r="A86" i="19" s="1"/>
  <c r="A87" i="19" s="1"/>
  <c r="A67" i="6"/>
  <c r="A63" i="2"/>
  <c r="A92" i="19" l="1"/>
  <c r="A93" i="19" s="1"/>
  <c r="A94" i="19" s="1"/>
  <c r="A68" i="6"/>
  <c r="A64" i="2"/>
  <c r="A95" i="19" l="1"/>
  <c r="A96" i="19" s="1"/>
  <c r="A69" i="6"/>
  <c r="A65" i="2"/>
  <c r="A66" i="2" s="1"/>
  <c r="A67" i="2" s="1"/>
  <c r="A68" i="2" s="1"/>
  <c r="A69" i="2" s="1"/>
  <c r="A70" i="2" s="1"/>
  <c r="A71" i="2" s="1"/>
  <c r="A72" i="2" l="1"/>
  <c r="A73" i="2" s="1"/>
  <c r="A74" i="2" s="1"/>
  <c r="A75" i="2" s="1"/>
  <c r="A97" i="19"/>
  <c r="A70" i="6"/>
  <c r="A98" i="19" l="1"/>
  <c r="A71" i="6"/>
  <c r="A99" i="19" l="1"/>
  <c r="A72" i="6"/>
  <c r="A100" i="19" l="1"/>
  <c r="A101" i="19" s="1"/>
  <c r="A102" i="19" s="1"/>
  <c r="A73" i="6"/>
  <c r="A103" i="19" l="1"/>
  <c r="A104" i="19" s="1"/>
  <c r="A105" i="19" s="1"/>
  <c r="A106" i="19" s="1"/>
  <c r="A107" i="19" s="1"/>
  <c r="A108" i="19" s="1"/>
  <c r="A109" i="19" s="1"/>
  <c r="A110" i="19" s="1"/>
  <c r="A74" i="6"/>
  <c r="A114" i="19" l="1"/>
  <c r="A118" i="19" s="1"/>
  <c r="A119" i="19" s="1"/>
  <c r="A120" i="19" s="1"/>
  <c r="A121" i="19" s="1"/>
  <c r="A122" i="19" s="1"/>
  <c r="A75" i="6"/>
  <c r="A123" i="19" l="1"/>
  <c r="A124" i="19" s="1"/>
  <c r="A125" i="19" s="1"/>
  <c r="A126" i="19" s="1"/>
  <c r="A127" i="19" s="1"/>
  <c r="A131" i="19" s="1"/>
  <c r="A76" i="6"/>
  <c r="A77" i="6" s="1"/>
  <c r="A78" i="6" s="1"/>
  <c r="A79" i="6" s="1"/>
  <c r="A80" i="6" s="1"/>
  <c r="A81" i="6" l="1"/>
  <c r="A82" i="6" s="1"/>
  <c r="A83" i="6" s="1"/>
  <c r="A84" i="6" s="1"/>
  <c r="A85" i="6" s="1"/>
  <c r="A86" i="6" l="1"/>
  <c r="A87" i="6" s="1"/>
  <c r="A88" i="6" s="1"/>
  <c r="A89" i="6" s="1"/>
  <c r="A68" i="5"/>
  <c r="A69" i="5" s="1"/>
  <c r="A70" i="5" s="1"/>
  <c r="A71" i="5" s="1"/>
  <c r="A72" i="5" s="1"/>
  <c r="A90" i="6" l="1"/>
  <c r="A91" i="6" l="1"/>
  <c r="A92" i="6" s="1"/>
  <c r="A93" i="6" s="1"/>
  <c r="A94" i="6" s="1"/>
  <c r="A95" i="6" s="1"/>
  <c r="A76" i="5"/>
  <c r="A99" i="6" l="1"/>
  <c r="A79" i="2"/>
  <c r="A80" i="2" s="1"/>
  <c r="A81" i="2" s="1"/>
  <c r="A82" i="2" s="1"/>
  <c r="A83" i="2" s="1"/>
  <c r="A100" i="6" l="1"/>
  <c r="A104" i="6" s="1"/>
  <c r="A105" i="6" s="1"/>
  <c r="A84" i="2"/>
  <c r="A85" i="2" s="1"/>
  <c r="A89" i="2" s="1"/>
  <c r="F102" i="17" l="1"/>
  <c r="G86" i="17" l="1"/>
  <c r="G19" i="17"/>
  <c r="G17" i="17"/>
  <c r="G14" i="17"/>
  <c r="G18" i="17"/>
  <c r="L10" i="17" s="1"/>
  <c r="G16" i="17"/>
  <c r="L11" i="17" s="1"/>
  <c r="G13" i="17"/>
  <c r="G87" i="17"/>
  <c r="G20" i="17"/>
  <c r="L23" i="17"/>
  <c r="G15" i="17"/>
  <c r="G12" i="17"/>
  <c r="L36" i="17"/>
  <c r="L33" i="17"/>
  <c r="G102" i="17"/>
  <c r="G79" i="17"/>
  <c r="L16" i="17" s="1"/>
  <c r="G80" i="17"/>
  <c r="G11" i="17"/>
  <c r="G10" i="17"/>
  <c r="G78" i="17"/>
  <c r="L12" i="17" s="1"/>
  <c r="G97" i="17"/>
  <c r="L37" i="17" s="1"/>
  <c r="G85" i="17"/>
  <c r="L19" i="17" s="1"/>
  <c r="G94" i="17"/>
  <c r="L20" i="17" s="1"/>
  <c r="G9" i="17"/>
  <c r="L13" i="17" l="1"/>
  <c r="L27" i="17"/>
  <c r="L30" i="17"/>
  <c r="L28" i="17"/>
  <c r="L21" i="17"/>
  <c r="L25" i="17"/>
  <c r="G33" i="17"/>
  <c r="L15" i="17"/>
  <c r="L14" i="17"/>
  <c r="L31" i="17"/>
  <c r="L17" i="17"/>
  <c r="L18" i="17"/>
  <c r="G91" i="17"/>
  <c r="L9" i="17"/>
  <c r="G81" i="17"/>
  <c r="G95" i="17"/>
  <c r="G98" i="17"/>
  <c r="G103" i="17" l="1"/>
  <c r="A78" i="17" l="1"/>
  <c r="A79" i="17" l="1"/>
  <c r="A80" i="17" s="1"/>
  <c r="A85" i="17" l="1"/>
  <c r="A86" i="17" l="1"/>
  <c r="A87" i="17" l="1"/>
  <c r="A88" i="17" s="1"/>
  <c r="A89" i="17" s="1"/>
  <c r="A90" i="17" s="1"/>
  <c r="A94" i="17" l="1"/>
  <c r="A91" i="8"/>
  <c r="A95" i="8" l="1"/>
  <c r="A100" i="8" l="1"/>
  <c r="A101" i="8" l="1"/>
  <c r="A102" i="8" s="1"/>
  <c r="A103" i="8" s="1"/>
  <c r="A104" i="8" s="1"/>
  <c r="A105" i="8" s="1"/>
  <c r="A106" i="8" s="1"/>
  <c r="A110" i="8" l="1"/>
  <c r="A35" i="36"/>
  <c r="A36" i="36" l="1"/>
  <c r="A37" i="36" s="1"/>
  <c r="A42" i="36" l="1"/>
  <c r="A46" i="36" s="1"/>
  <c r="F54" i="36"/>
  <c r="G46" i="36" l="1"/>
  <c r="L9" i="36" s="1"/>
  <c r="G35" i="36"/>
  <c r="G49" i="36"/>
  <c r="L22" i="36" s="1"/>
  <c r="G9" i="36"/>
  <c r="G31" i="36" s="1"/>
  <c r="G54" i="36"/>
  <c r="G42" i="36"/>
  <c r="L19" i="36" s="1"/>
  <c r="G38" i="36" l="1"/>
  <c r="L13" i="36"/>
  <c r="L21" i="36"/>
  <c r="G50" i="36"/>
  <c r="G43" i="36"/>
  <c r="L8" i="36"/>
  <c r="G47" i="36"/>
  <c r="G55" i="36" l="1"/>
</calcChain>
</file>

<file path=xl/sharedStrings.xml><?xml version="1.0" encoding="utf-8"?>
<sst xmlns="http://schemas.openxmlformats.org/spreadsheetml/2006/main" count="4126" uniqueCount="801">
  <si>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</si>
  <si>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</si>
  <si>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</si>
  <si>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</si>
  <si>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</si>
  <si>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</si>
  <si>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</si>
  <si>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</si>
  <si>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</si>
  <si>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</si>
  <si>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</si>
  <si>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</si>
  <si>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</si>
  <si>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</si>
  <si>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</si>
  <si>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</si>
  <si>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</si>
  <si>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</si>
  <si>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</si>
  <si>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</si>
  <si>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</si>
  <si>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</si>
  <si>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</si>
  <si>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</si>
  <si>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</si>
  <si>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</si>
  <si>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</si>
  <si>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</si>
  <si>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</si>
  <si>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</si>
  <si>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</si>
  <si>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</si>
  <si>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</si>
  <si>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</si>
  <si>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</si>
  <si>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</si>
  <si>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</si>
  <si>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</si>
  <si>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</si>
  <si>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</si>
  <si>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</si>
  <si>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</si>
  <si>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</si>
  <si>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</si>
  <si>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</si>
  <si>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</si>
  <si>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</si>
  <si>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</si>
  <si>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</si>
  <si>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</si>
  <si>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</si>
  <si>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</si>
  <si>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</si>
  <si>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</si>
  <si>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</si>
  <si>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</si>
  <si>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</si>
  <si>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</si>
  <si>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</si>
  <si>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</si>
  <si>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</si>
  <si>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</si>
  <si>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</si>
  <si>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</si>
  <si>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</si>
  <si>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</si>
  <si>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INE389H01022</t>
  </si>
  <si>
    <t>INE383A01012</t>
  </si>
  <si>
    <t>INE044A01036</t>
  </si>
  <si>
    <t>INE059A01026</t>
  </si>
  <si>
    <t>INE171A01029</t>
  </si>
  <si>
    <t>INE018A01030</t>
  </si>
  <si>
    <t>INE498L01015</t>
  </si>
  <si>
    <t>INE549A01026</t>
  </si>
  <si>
    <t>INE821I01014</t>
  </si>
  <si>
    <t>INE053A01029</t>
  </si>
  <si>
    <t>INE399K01017</t>
  </si>
  <si>
    <t>INE439A01020</t>
  </si>
  <si>
    <t>INE775A01035</t>
  </si>
  <si>
    <t>INE854D01016</t>
  </si>
  <si>
    <t>INE522F01014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</si>
  <si>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</si>
  <si>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</si>
  <si>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</si>
  <si>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</si>
  <si>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</si>
  <si>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</si>
  <si>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</si>
  <si>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</si>
  <si>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</si>
  <si>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</si>
  <si>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</si>
  <si>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</si>
  <si>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</si>
  <si>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</si>
  <si>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</si>
  <si>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</si>
  <si>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</si>
  <si>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</si>
  <si>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</si>
  <si>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</si>
  <si>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</si>
  <si>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</si>
  <si>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</si>
  <si>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</si>
  <si>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</si>
  <si>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</si>
  <si>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</si>
  <si>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</si>
  <si>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</si>
  <si>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</si>
  <si>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</si>
  <si>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</si>
  <si>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</si>
  <si>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</si>
  <si>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</si>
  <si>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</si>
  <si>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INE742F01042</t>
  </si>
  <si>
    <t>INE029A01011</t>
  </si>
  <si>
    <t>INE256A01028</t>
  </si>
  <si>
    <t>INE129A01019</t>
  </si>
  <si>
    <t>INE323A01026</t>
  </si>
  <si>
    <t>INE079A01024</t>
  </si>
  <si>
    <t>INE081A01012</t>
  </si>
  <si>
    <t>INE012A01025</t>
  </si>
  <si>
    <t>INE038A01020</t>
  </si>
  <si>
    <t>BONDS &amp; NCDs</t>
  </si>
  <si>
    <t>Principal Large Cap Fund</t>
  </si>
  <si>
    <t>INE361B01024</t>
  </si>
  <si>
    <t>INE070A01015</t>
  </si>
  <si>
    <t>INE259A01022</t>
  </si>
  <si>
    <t>IN9155A01020</t>
  </si>
  <si>
    <t>Principal Dividend Yield Fund</t>
  </si>
  <si>
    <t>INE118A01012</t>
  </si>
  <si>
    <t>INE172A01027</t>
  </si>
  <si>
    <t>Pesticides</t>
  </si>
  <si>
    <t>Chemicals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</si>
  <si>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</si>
  <si>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</si>
  <si>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</si>
  <si>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</si>
  <si>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</si>
  <si>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</si>
  <si>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</si>
  <si>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</si>
  <si>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</si>
  <si>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Consumer Durables</t>
  </si>
  <si>
    <t>INE685A01028</t>
  </si>
  <si>
    <t>INE883A01011</t>
  </si>
  <si>
    <t>INE399G01015</t>
  </si>
  <si>
    <t>Textiles - Cotton</t>
  </si>
  <si>
    <t>INE235A01022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</si>
  <si>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</si>
  <si>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</si>
  <si>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</si>
  <si>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</si>
  <si>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</si>
  <si>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</si>
  <si>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</si>
  <si>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</si>
  <si>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</si>
  <si>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</si>
  <si>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</si>
  <si>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</si>
  <si>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</si>
  <si>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Principal Tax Savings Fund</t>
  </si>
  <si>
    <t>Principal Global Opportunities Fund</t>
  </si>
  <si>
    <t>Principal Global Investors Fund - Emerging Markets Equity Fund</t>
  </si>
  <si>
    <t>Canara Bank</t>
  </si>
  <si>
    <t>CARE AAA</t>
  </si>
  <si>
    <t>Treasury Bill</t>
  </si>
  <si>
    <t>CENTRAL GOVERNMENT SECURITIES</t>
  </si>
  <si>
    <t>CRISIL A+</t>
  </si>
  <si>
    <t>INE658R07042</t>
  </si>
  <si>
    <t>Principal Balanced Fund</t>
  </si>
  <si>
    <t>Principal Cash Management Fund</t>
  </si>
  <si>
    <t>CARE AA+</t>
  </si>
  <si>
    <t>INE242A01010</t>
  </si>
  <si>
    <t>Healthcare Services</t>
  </si>
  <si>
    <t>INE584A01023</t>
  </si>
  <si>
    <t>INE347G01014</t>
  </si>
  <si>
    <t>INE302A01020</t>
  </si>
  <si>
    <t>INE036A01016</t>
  </si>
  <si>
    <t>INE424H01027</t>
  </si>
  <si>
    <t>INE476A01014</t>
  </si>
  <si>
    <t>INE614G01033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</si>
  <si>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</si>
  <si>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</si>
  <si>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</si>
  <si>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</si>
  <si>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</si>
  <si>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</si>
  <si>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</si>
  <si>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</si>
  <si>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</si>
  <si>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</si>
  <si>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</si>
  <si>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</si>
  <si>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</si>
  <si>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</si>
  <si>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Housing Development Finance Corporation Ltd.</t>
  </si>
  <si>
    <t>Bajaj Auto Ltd.</t>
  </si>
  <si>
    <t>Mahindra Holidays &amp; Resorts India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</si>
  <si>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</si>
  <si>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</si>
  <si>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</si>
  <si>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</si>
  <si>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</si>
  <si>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</si>
  <si>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</si>
  <si>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</si>
  <si>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</si>
  <si>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</si>
  <si>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</si>
  <si>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</si>
  <si>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</si>
  <si>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</si>
  <si>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</si>
  <si>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</si>
  <si>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</si>
  <si>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</si>
  <si>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</si>
  <si>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</si>
  <si>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</si>
  <si>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</si>
  <si>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</si>
  <si>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</si>
  <si>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</si>
  <si>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</si>
  <si>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</si>
  <si>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</si>
  <si>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</si>
  <si>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</si>
  <si>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</si>
  <si>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</si>
  <si>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</si>
  <si>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</si>
  <si>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</si>
  <si>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</si>
  <si>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</si>
  <si>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</si>
  <si>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</si>
  <si>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</si>
  <si>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</si>
  <si>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</si>
  <si>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</si>
  <si>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</si>
  <si>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</si>
  <si>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</si>
  <si>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</si>
  <si>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</si>
  <si>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</si>
  <si>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</si>
  <si>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</si>
  <si>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</si>
  <si>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</si>
  <si>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</si>
  <si>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</si>
  <si>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</si>
  <si>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</si>
  <si>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Bosch Ltd.</t>
  </si>
  <si>
    <t>Ambuja Cements Ltd.</t>
  </si>
  <si>
    <t>ACC Ltd.</t>
  </si>
  <si>
    <t>Hindalco Industries Ltd.</t>
  </si>
  <si>
    <t>Divi's Laboratories Ltd.</t>
  </si>
  <si>
    <t>Shree Cements Ltd.</t>
  </si>
  <si>
    <t>Colgate Palmolive (India) Ltd.</t>
  </si>
  <si>
    <t>Bharat Electronics Ltd.</t>
  </si>
  <si>
    <t>Castrol India Ltd.</t>
  </si>
  <si>
    <t>Dalmia Bharat Ltd.</t>
  </si>
  <si>
    <t>VST Industries Ltd.</t>
  </si>
  <si>
    <t>Gujarat State Petronet Ltd.</t>
  </si>
  <si>
    <t>PI Industries Ltd.</t>
  </si>
  <si>
    <t>Tata Chemicals Ltd.</t>
  </si>
  <si>
    <t>Cyient Ltd.</t>
  </si>
  <si>
    <t>Eicher Motors Ltd.</t>
  </si>
  <si>
    <t>Torrent Pharmaceuticals Ltd.</t>
  </si>
  <si>
    <t>Bajaj Finance Ltd.</t>
  </si>
  <si>
    <t>MRF Ltd.</t>
  </si>
  <si>
    <t>Mold-Tek Packaging Ltd.</t>
  </si>
  <si>
    <t>Voltas Ltd.</t>
  </si>
  <si>
    <t>Vardhman Textiles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</si>
  <si>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</si>
  <si>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</si>
  <si>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</si>
  <si>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</si>
  <si>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</si>
  <si>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</si>
  <si>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Finolex Industries Ltd.</t>
  </si>
  <si>
    <t>INE183A01016</t>
  </si>
  <si>
    <t>Petronet LNG Ltd.</t>
  </si>
  <si>
    <t>INE513A01014</t>
  </si>
  <si>
    <t>Indian Oil Corporation Ltd.</t>
  </si>
  <si>
    <t>Finolex Cables Ltd.</t>
  </si>
  <si>
    <t>Punjab Wireless Systems Ltd.</t>
  </si>
  <si>
    <t>[ICRA]A1+</t>
  </si>
  <si>
    <t>Cox &amp; Kings Ltd.</t>
  </si>
  <si>
    <t>[ICRA]AA</t>
  </si>
  <si>
    <t>[ICRA]AA-</t>
  </si>
  <si>
    <t>IN0020120054</t>
  </si>
  <si>
    <t>NMDC Ltd.</t>
  </si>
  <si>
    <t>Reliance Infrastructure Ltd.</t>
  </si>
  <si>
    <t>Exide Industries Ltd.</t>
  </si>
  <si>
    <t>Sun TV Network Ltd.</t>
  </si>
  <si>
    <t>Reliance Power Ltd.</t>
  </si>
  <si>
    <t>INF173K01GP0</t>
  </si>
  <si>
    <t>INF173K01EK6</t>
  </si>
  <si>
    <t>INF173K01FS6</t>
  </si>
  <si>
    <t>INF173K01EG4</t>
  </si>
  <si>
    <t>Principal Emerging Bluechip Fund - Direct Plan - Growth Option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</si>
  <si>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</si>
  <si>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</si>
  <si>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</si>
  <si>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</si>
  <si>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</si>
  <si>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</si>
  <si>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</si>
  <si>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Bajaj Holdings &amp; Investment Ltd.</t>
  </si>
  <si>
    <t>Navin Fluorine International Ltd.</t>
  </si>
  <si>
    <t>INE893J01029</t>
  </si>
  <si>
    <t>8.12% Government of India Security</t>
  </si>
  <si>
    <t>10.85% Aspire Home Finance Corporation Ltd.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</si>
  <si>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</si>
  <si>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</si>
  <si>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</si>
  <si>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</si>
  <si>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</si>
  <si>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</si>
  <si>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</si>
  <si>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</si>
  <si>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Bharti Infratel Ltd.</t>
  </si>
  <si>
    <t>INE121J01017</t>
  </si>
  <si>
    <t>IND A1+</t>
  </si>
  <si>
    <t>INE020B08799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</si>
  <si>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</si>
  <si>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</si>
  <si>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</si>
  <si>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</si>
  <si>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</si>
  <si>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</si>
  <si>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INE658R07141</t>
  </si>
  <si>
    <t>INE001A07NU8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</si>
  <si>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</si>
  <si>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</si>
  <si>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</si>
  <si>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</si>
  <si>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</si>
  <si>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</si>
  <si>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</si>
  <si>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</si>
  <si>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Ashok Leyland Ltd.</t>
  </si>
  <si>
    <t>INE208A01029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</si>
  <si>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</si>
  <si>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</si>
  <si>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</si>
  <si>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</si>
  <si>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</si>
  <si>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10.30% Manappuram Finance Ltd.</t>
  </si>
  <si>
    <t>INE522D07941</t>
  </si>
  <si>
    <t>INE155A08290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</si>
  <si>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</si>
  <si>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</si>
  <si>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</si>
  <si>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</si>
  <si>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</si>
  <si>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</si>
  <si>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</si>
  <si>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</si>
  <si>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</si>
  <si>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</si>
  <si>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INE202B07HB2</t>
  </si>
  <si>
    <t>INE296A01024</t>
  </si>
  <si>
    <t>INE586V01016</t>
  </si>
  <si>
    <t>12.55% Manappuram Finance Ltd.</t>
  </si>
  <si>
    <t>INE522D07479</t>
  </si>
  <si>
    <t>BWR AA-</t>
  </si>
  <si>
    <t>Rico Auto Industries Ltd.</t>
  </si>
  <si>
    <t>INE209B01025</t>
  </si>
  <si>
    <t>L&amp;T Finance Holdings Ltd.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</si>
  <si>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</si>
  <si>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</si>
  <si>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</si>
  <si>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</si>
  <si>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</si>
  <si>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</si>
  <si>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</si>
  <si>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</si>
  <si>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</si>
  <si>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</si>
  <si>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</si>
  <si>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</si>
  <si>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</si>
  <si>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</si>
  <si>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</si>
  <si>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</si>
  <si>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</si>
  <si>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</si>
  <si>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</si>
  <si>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</si>
  <si>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</si>
  <si>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</si>
  <si>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</si>
  <si>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</si>
  <si>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</si>
  <si>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</si>
  <si>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INE148I07FX0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</si>
  <si>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</si>
  <si>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</si>
  <si>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</si>
  <si>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</si>
  <si>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</si>
  <si>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</si>
  <si>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</si>
  <si>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</si>
  <si>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INE001A07PU3</t>
  </si>
  <si>
    <t>Aadhar Housing Finance Ltd.</t>
  </si>
  <si>
    <t>INE036D01028</t>
  </si>
  <si>
    <t>Listed / awaiting listing on the stock exchanges</t>
  </si>
  <si>
    <t>INE115A07IE0</t>
  </si>
  <si>
    <t>INE733E07KB4</t>
  </si>
  <si>
    <t>Chambal Fertilisers and Chemicals Ltd.</t>
  </si>
  <si>
    <t>INE085A01013</t>
  </si>
  <si>
    <t>Fertilisers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</si>
  <si>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</si>
  <si>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</si>
  <si>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</si>
  <si>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</si>
  <si>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</si>
  <si>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</si>
  <si>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Asian Granito India Ltd.</t>
  </si>
  <si>
    <t>INE022I01019</t>
  </si>
  <si>
    <t>8.80% Indiabulls Housing Finance Ltd.</t>
  </si>
  <si>
    <t>INE148I07FQ4</t>
  </si>
  <si>
    <t>INE202B07IJ3</t>
  </si>
  <si>
    <t>Spicejet Ltd.</t>
  </si>
  <si>
    <t>INE285B01017</t>
  </si>
  <si>
    <t>Coromandel International Ltd.</t>
  </si>
  <si>
    <t>INE169A01031</t>
  </si>
  <si>
    <t>Sheela Foam Ltd.</t>
  </si>
  <si>
    <t>INE916U01025</t>
  </si>
  <si>
    <t>INE155A08316</t>
  </si>
  <si>
    <t>DCM Shriram Ltd.</t>
  </si>
  <si>
    <t>INE499A01024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</si>
  <si>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</si>
  <si>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</si>
  <si>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</si>
  <si>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</si>
  <si>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</si>
  <si>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</si>
  <si>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</si>
  <si>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INE556F08IV6</t>
  </si>
  <si>
    <t>INE202B07HQ0</t>
  </si>
  <si>
    <t>STATE GOVERNMENT SECURITIES</t>
  </si>
  <si>
    <t>INE514E08BS9</t>
  </si>
  <si>
    <t>Vedanta Ltd.</t>
  </si>
  <si>
    <t>INE205A01025</t>
  </si>
  <si>
    <t>INE263A01024</t>
  </si>
  <si>
    <t>ICICI Prudential Life Insurance Company Ltd.</t>
  </si>
  <si>
    <t>INE726G01019</t>
  </si>
  <si>
    <t>Himadri Speciality Chemical Ltd.</t>
  </si>
  <si>
    <t>INE019C01026</t>
  </si>
  <si>
    <t>Principal Cash Management Fund - Growth Option</t>
  </si>
  <si>
    <t>INE155A08308</t>
  </si>
  <si>
    <t>INE261F08550</t>
  </si>
  <si>
    <t>INE414G07CB3</t>
  </si>
  <si>
    <t>CRISIL AA</t>
  </si>
  <si>
    <t>9.05% Dewan Housing Finance Corporation Ltd.</t>
  </si>
  <si>
    <t>Magma Fincorp Ltd.</t>
  </si>
  <si>
    <t>INE511C01022</t>
  </si>
  <si>
    <t>INE115A07LN5</t>
  </si>
  <si>
    <t>INE001A07QE5</t>
  </si>
  <si>
    <t>Principal Short Term Income Fund - Direct Plan - Growth Option</t>
  </si>
  <si>
    <t>Principal Large Cap Fund - Direct Plan - Growth Option</t>
  </si>
  <si>
    <t>Milestone Global Ltd. **</t>
  </si>
  <si>
    <t>Apollo Tyres Ltd. #</t>
  </si>
  <si>
    <t>Principal Debt Savings Fund</t>
  </si>
  <si>
    <t>Manpasand Beverages Ltd.</t>
  </si>
  <si>
    <t>INE122R01018</t>
  </si>
  <si>
    <t>Housing and Urban Development Corporation Ltd.</t>
  </si>
  <si>
    <t>INE031A01017</t>
  </si>
  <si>
    <t>Muthoot Finance Ltd.</t>
  </si>
  <si>
    <t>INE414G01012</t>
  </si>
  <si>
    <t>PSP Projects Ltd.</t>
  </si>
  <si>
    <t>INE488V01015</t>
  </si>
  <si>
    <t>INE087P07071</t>
  </si>
  <si>
    <t>6.84% Government of India Security</t>
  </si>
  <si>
    <t>IN0020160050</t>
  </si>
  <si>
    <t>INE040A08377</t>
  </si>
  <si>
    <t>CRISIL AA+</t>
  </si>
  <si>
    <t>Principal Money Manager Fund</t>
  </si>
  <si>
    <t>INE385W01011</t>
  </si>
  <si>
    <t>Engineers India Ltd.</t>
  </si>
  <si>
    <t>INE510A01028</t>
  </si>
  <si>
    <t>Syngene International Ltd.</t>
  </si>
  <si>
    <t>INE398R01022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</si>
  <si>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</si>
  <si>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</si>
  <si>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</si>
  <si>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</si>
  <si>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</si>
  <si>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</si>
  <si>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</si>
  <si>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Fortis Healthcare Ltd.</t>
  </si>
  <si>
    <t>INE061F01013</t>
  </si>
  <si>
    <t>Escorts Ltd.</t>
  </si>
  <si>
    <t>INE042A01014</t>
  </si>
  <si>
    <t>7.68% Government of India Security</t>
  </si>
  <si>
    <t>IN0020150010</t>
  </si>
  <si>
    <t>8.15% Piramal Enterprises Ltd.</t>
  </si>
  <si>
    <t>INE140A07344</t>
  </si>
  <si>
    <t>IND AAA</t>
  </si>
  <si>
    <t>Dwarikesh Sugar Industries Ltd.</t>
  </si>
  <si>
    <t>Principal Asset Allocation Fund of Funds - Moderate Plan</t>
  </si>
  <si>
    <t>Principal Asset Allocation Fund of Funds - Conservative Plan</t>
  </si>
  <si>
    <t>Principal Aseet Allocation Fund of Funds - Aggressive Plan</t>
  </si>
  <si>
    <t>Hotels, Resorts and Other Recreational Activities</t>
  </si>
  <si>
    <t>Raymond Ltd.</t>
  </si>
  <si>
    <t>INE301A01014</t>
  </si>
  <si>
    <t>Shriram Transport Finance Company Ltd.</t>
  </si>
  <si>
    <t>INE721A01013</t>
  </si>
  <si>
    <t>L&amp;T Technology Services Ltd.</t>
  </si>
  <si>
    <t>INE010V01017</t>
  </si>
  <si>
    <t>Grasim Industries Ltd.</t>
  </si>
  <si>
    <t>INE047A01021</t>
  </si>
  <si>
    <t>INE048G01026</t>
  </si>
  <si>
    <t>Apollo Tyres Ltd.</t>
  </si>
  <si>
    <t>INE438A01022</t>
  </si>
  <si>
    <t>Tamil Nadu Newsprint &amp; Papers Ltd.</t>
  </si>
  <si>
    <t>INE107A01015</t>
  </si>
  <si>
    <t>Paper</t>
  </si>
  <si>
    <t>Mahindra &amp; Mahindra Financial Services Ltd.</t>
  </si>
  <si>
    <t>INE774D01024</t>
  </si>
  <si>
    <t>SREI Equipment Finance Ltd.</t>
  </si>
  <si>
    <t>8.85% Power Grid Corporation of India Ltd.</t>
  </si>
  <si>
    <t>INE752E07KE8</t>
  </si>
  <si>
    <t>INE523H07841</t>
  </si>
  <si>
    <t>7.50% Power Finance Corporation Ltd.</t>
  </si>
  <si>
    <t>INE134E08IW3</t>
  </si>
  <si>
    <t>INE001A07QW7</t>
  </si>
  <si>
    <t>INE572E09460</t>
  </si>
  <si>
    <t>ITD Cementation India Ltd.</t>
  </si>
  <si>
    <t>INE686A01026</t>
  </si>
  <si>
    <t>Bajaj Finserv Ltd.</t>
  </si>
  <si>
    <t>INE918I01018</t>
  </si>
  <si>
    <t>Oil India Ltd.</t>
  </si>
  <si>
    <t>INE274J01014</t>
  </si>
  <si>
    <t>Deepak Fertilizers and Petrochemicals Corporation Ltd.</t>
  </si>
  <si>
    <t>INE501A01019</t>
  </si>
  <si>
    <t>HEG Ltd.</t>
  </si>
  <si>
    <t>INE545A01016</t>
  </si>
  <si>
    <t>Schaeffler India Ltd.</t>
  </si>
  <si>
    <t>Security and Intelligence Services (I) Ltd.</t>
  </si>
  <si>
    <t>INE285J01010</t>
  </si>
  <si>
    <t>Commercial Services</t>
  </si>
  <si>
    <t>INE366A01041</t>
  </si>
  <si>
    <t>Container Corporation of India Ltd.</t>
  </si>
  <si>
    <t>Balrampur Chini Mills Ltd.</t>
  </si>
  <si>
    <t>INE119A01028</t>
  </si>
  <si>
    <t>8.70% JM Financial Products Ltd.</t>
  </si>
  <si>
    <t>CARE AA</t>
  </si>
  <si>
    <t>INE202B07IK1</t>
  </si>
  <si>
    <t>INE202B14KF3</t>
  </si>
  <si>
    <t>INE148I14SU5</t>
  </si>
  <si>
    <t>7.63% PNB Housing Finance Ltd.</t>
  </si>
  <si>
    <t>BWR AA</t>
  </si>
  <si>
    <t>Sprit Textiles Private Ltd. (ZCB)</t>
  </si>
  <si>
    <t>INE069R07117</t>
  </si>
  <si>
    <t>7.16% Government of India Security</t>
  </si>
  <si>
    <t>IN0020130012</t>
  </si>
  <si>
    <t>INE155A08365</t>
  </si>
  <si>
    <t>-</t>
  </si>
  <si>
    <t>***</t>
  </si>
  <si>
    <t>Unlisted **</t>
  </si>
  <si>
    <t>INE528G01027</t>
  </si>
  <si>
    <t>Dishman Carbogen Amcis Ltd.</t>
  </si>
  <si>
    <t>Rain Industries Ltd.</t>
  </si>
  <si>
    <t>INE855B01025</t>
  </si>
  <si>
    <t>National Aluminium Company Ltd.</t>
  </si>
  <si>
    <t>INE139A01034</t>
  </si>
  <si>
    <t>Vijaya Bank</t>
  </si>
  <si>
    <t>INE705A01016</t>
  </si>
  <si>
    <t>INE111A01017</t>
  </si>
  <si>
    <t>Graphite India Ltd.</t>
  </si>
  <si>
    <t>INE371A01025</t>
  </si>
  <si>
    <t>Dixon Technologies (India) Ltd.</t>
  </si>
  <si>
    <t>INE935N01012</t>
  </si>
  <si>
    <t>Power Finance Corporation Ltd.</t>
  </si>
  <si>
    <t>INE134E01011</t>
  </si>
  <si>
    <t>Chennai Petroleum Corporation Ltd.</t>
  </si>
  <si>
    <t>INE178A01016</t>
  </si>
  <si>
    <t>INE008I14JK1</t>
  </si>
  <si>
    <t>INE090A165L1</t>
  </si>
  <si>
    <t>INE001A14RH2</t>
  </si>
  <si>
    <t>National Bank for Agriculture and Rural Development</t>
  </si>
  <si>
    <t>HCL Infosystems Ltd.</t>
  </si>
  <si>
    <t>[ICRA]A1</t>
  </si>
  <si>
    <t>INE148I07GR0</t>
  </si>
  <si>
    <t>7.73% Government of India Security</t>
  </si>
  <si>
    <t>IN0020150051</t>
  </si>
  <si>
    <t>6.68% Government of India Security</t>
  </si>
  <si>
    <t>IN0020170042</t>
  </si>
  <si>
    <t>INE261F08907</t>
  </si>
  <si>
    <t>INE002A08476</t>
  </si>
  <si>
    <t>INE261F08527</t>
  </si>
  <si>
    <t>Gujarat Narmada Valley Fertilizers &amp; Chemicals Ltd.</t>
  </si>
  <si>
    <t>INE113A01013</t>
  </si>
  <si>
    <t>Chennai Super Kings Ltd. @**</t>
  </si>
  <si>
    <t>Jindal Steel &amp; Power Ltd.</t>
  </si>
  <si>
    <t>INE749A01030</t>
  </si>
  <si>
    <t>Union Bank of India</t>
  </si>
  <si>
    <t>BWR A1+</t>
  </si>
  <si>
    <t>Kribhco Fertilizers Ltd.</t>
  </si>
  <si>
    <t>INE486H14888</t>
  </si>
  <si>
    <t>TBILL 91 DAYS 2018</t>
  </si>
  <si>
    <t>IN002017X346</t>
  </si>
  <si>
    <t>INE001A07PT5</t>
  </si>
  <si>
    <t>8.13% Tata Motors Ltd.</t>
  </si>
  <si>
    <t>8.10% NTPC Ltd.</t>
  </si>
  <si>
    <t>INE134E08IH4</t>
  </si>
  <si>
    <t>INE692A01016</t>
  </si>
  <si>
    <t>Magma Housing Finance Ltd.</t>
  </si>
  <si>
    <t>Tata Power Company Ltd.</t>
  </si>
  <si>
    <t>INE245A01021</t>
  </si>
  <si>
    <t>GlaxoSmithKline Consumer Healthcare Ltd.</t>
  </si>
  <si>
    <t>INE264A01014</t>
  </si>
  <si>
    <t>Steel Authority of India Ltd.</t>
  </si>
  <si>
    <t>INE114A01011</t>
  </si>
  <si>
    <t>INE203G01027</t>
  </si>
  <si>
    <t>Shankara Building Products Ltd.</t>
  </si>
  <si>
    <t>INE274V01019</t>
  </si>
  <si>
    <t>Parag Milk Foods Ltd.</t>
  </si>
  <si>
    <t>INE883N01014</t>
  </si>
  <si>
    <t>Khadim India Ltd.</t>
  </si>
  <si>
    <t>INE834I01025</t>
  </si>
  <si>
    <t>INE008I14KF9</t>
  </si>
  <si>
    <t>TBILL 323 DAYS 2018</t>
  </si>
  <si>
    <t>IN002017X056</t>
  </si>
  <si>
    <t>8.00% Tata Motors Ltd.</t>
  </si>
  <si>
    <t>6.79% Government of India Security</t>
  </si>
  <si>
    <t>IN0020170026</t>
  </si>
  <si>
    <t>INE261F14CB6</t>
  </si>
  <si>
    <t>INE008I14KL7</t>
  </si>
  <si>
    <t>INE236A14HF9</t>
  </si>
  <si>
    <t>IN002017X379</t>
  </si>
  <si>
    <t>INE055I14BV6</t>
  </si>
  <si>
    <t>INE008I14KK9</t>
  </si>
  <si>
    <t>INE020B08591</t>
  </si>
  <si>
    <t>7.59% Government of India Security</t>
  </si>
  <si>
    <t>IN0020150069</t>
  </si>
  <si>
    <t>7.61% Government of India Security</t>
  </si>
  <si>
    <t>IN0020160019</t>
  </si>
  <si>
    <t>INE936D07067</t>
  </si>
  <si>
    <t>7.72% Government of India Security</t>
  </si>
  <si>
    <t>IN0020150036</t>
  </si>
  <si>
    <t>7.20% Maharashtra State Government Security</t>
  </si>
  <si>
    <t>IN2220170061</t>
  </si>
  <si>
    <t>6.98% National Bank for Agriculture and Rural Development</t>
  </si>
  <si>
    <t>9.25% Power Grid Corporation of India Ltd.</t>
  </si>
  <si>
    <t>INE752E07BB3</t>
  </si>
  <si>
    <t>INE511C14RB9</t>
  </si>
  <si>
    <t>7.88% Government of India Security</t>
  </si>
  <si>
    <t>IN0020150028</t>
  </si>
  <si>
    <t>INE538L14920</t>
  </si>
  <si>
    <t>Portfolio as on Dec 29, 2017</t>
  </si>
  <si>
    <t>Karur Vysya Bank Ltd.</t>
  </si>
  <si>
    <t>Syndicate Bank</t>
  </si>
  <si>
    <t>INE667A01018</t>
  </si>
  <si>
    <t>Kirloskar Ferrous Industries Ltd.</t>
  </si>
  <si>
    <t>INE884B01025</t>
  </si>
  <si>
    <t>Sasken Technologies Ltd.</t>
  </si>
  <si>
    <t>INE231F01020</t>
  </si>
  <si>
    <t>NCC Ltd.</t>
  </si>
  <si>
    <t>INE868B01028</t>
  </si>
  <si>
    <t>Amara Raja Batteries Ltd.</t>
  </si>
  <si>
    <t>INE885A01032</t>
  </si>
  <si>
    <t>PC Jeweller Ltd.</t>
  </si>
  <si>
    <t>INE785M01013</t>
  </si>
  <si>
    <t>Kridhan Infra Ltd.</t>
  </si>
  <si>
    <t>INE524L01026</t>
  </si>
  <si>
    <t>Punjab National Bank</t>
  </si>
  <si>
    <t>INE238A16W19</t>
  </si>
  <si>
    <t>INE556F16291</t>
  </si>
  <si>
    <t>INE236A14HG7</t>
  </si>
  <si>
    <t>8.55% Indiabulls Housing Finance Ltd.</t>
  </si>
  <si>
    <t>7.90% National Bank For Agriculture and Rural Development</t>
  </si>
  <si>
    <t>9.20% Avanse Financial Services Ltd.</t>
  </si>
  <si>
    <t>7.48% Housing Development Finance Corporation Ltd.</t>
  </si>
  <si>
    <t>8.50% Muthoot Finance Ltd.</t>
  </si>
  <si>
    <t>10.70% Aspire Home Finance Corporation Ltd.</t>
  </si>
  <si>
    <t>7.50% Tata Motors Ltd.</t>
  </si>
  <si>
    <t>8.25% Indiabulls Housing Finance Ltd.</t>
  </si>
  <si>
    <t>INE205A14KU7</t>
  </si>
  <si>
    <t>10.35% Ess Kay Fincorp Ltd. @</t>
  </si>
  <si>
    <t>8.10% Reliance Jio Infocomm Ltd.</t>
  </si>
  <si>
    <t>INE110L07054</t>
  </si>
  <si>
    <t>INE053F09FU0</t>
  </si>
  <si>
    <t>6.57% Government of India Security</t>
  </si>
  <si>
    <t>IN0020160100</t>
  </si>
  <si>
    <t>8.95% Reliance Utilities &amp; Power Private Ltd.</t>
  </si>
  <si>
    <t>7.40% Tata Motors Ltd.</t>
  </si>
  <si>
    <t>7.35% Government of India Security</t>
  </si>
  <si>
    <t>IN0020090034</t>
  </si>
  <si>
    <t>DLF Ltd.</t>
  </si>
  <si>
    <t>INE271C01023</t>
  </si>
  <si>
    <t>Reliance Capital Ltd.</t>
  </si>
  <si>
    <t>INE013A01015</t>
  </si>
  <si>
    <t>INE881J14MW8</t>
  </si>
  <si>
    <t>INE160A01022</t>
  </si>
  <si>
    <t>INE001A07QV9</t>
  </si>
  <si>
    <t>Principal Credit Opportunities Fund - Direct Plan - Growth Option</t>
  </si>
  <si>
    <t>INF173K01FX6</t>
  </si>
  <si>
    <t>INE683A16JS6</t>
  </si>
  <si>
    <t>INE237A16X27</t>
  </si>
  <si>
    <t>INE503A16EQ1</t>
  </si>
  <si>
    <t>INE040A16BW8</t>
  </si>
  <si>
    <t>INE121H14IJ8</t>
  </si>
  <si>
    <t>INE389H14CP1</t>
  </si>
  <si>
    <t>INE261F14CD2</t>
  </si>
  <si>
    <t>INE881J14MY4</t>
  </si>
  <si>
    <t>INE896L14BL8</t>
  </si>
  <si>
    <t>INE514E14LY4</t>
  </si>
  <si>
    <t>INE148I14TO6</t>
  </si>
  <si>
    <t>INE148I14QJ2</t>
  </si>
  <si>
    <t>INE087P14283</t>
  </si>
  <si>
    <t>INE140A14RB1</t>
  </si>
  <si>
    <t>INE688I14FC5</t>
  </si>
  <si>
    <t>INE896L14BF0</t>
  </si>
  <si>
    <t>INE511C14RC7</t>
  </si>
  <si>
    <t>IN002017X429</t>
  </si>
  <si>
    <t>IN002017X411</t>
  </si>
  <si>
    <t>LIC Housing Finance Ltd.</t>
  </si>
  <si>
    <t>INE115A01026</t>
  </si>
  <si>
    <t>Certificate of Deposit</t>
  </si>
  <si>
    <t>Axis Bank Ltd. **</t>
  </si>
  <si>
    <t>Small Industries Development Bank of India **</t>
  </si>
  <si>
    <t>8.15% Piramal Enterprises Ltd. **</t>
  </si>
  <si>
    <t>9.05% Dewan Housing Finance Corporation Ltd. **</t>
  </si>
  <si>
    <t>8.85% Power Grid Corporation of India Ltd. **</t>
  </si>
  <si>
    <t>7.50% Power Finance Corporation Ltd. **</t>
  </si>
  <si>
    <t>12.55% Manappuram Finance Ltd. **</t>
  </si>
  <si>
    <t>9.48% Rural Electrification Corporation Ltd. **</t>
  </si>
  <si>
    <t>8.55% Indian Railway Finance Corporation Ltd. **</t>
  </si>
  <si>
    <t>10.30% Manappuram Finance Ltd. **</t>
  </si>
  <si>
    <t>10.85% Aspire Home Finance Corporation Ltd. **</t>
  </si>
  <si>
    <t>9.10% Dewan Housing Finance Corporation Ltd. **</t>
  </si>
  <si>
    <t>8.88% Export-Import Bank of India **</t>
  </si>
  <si>
    <t>8.49% Housing Development Finance Corporation Ltd. **</t>
  </si>
  <si>
    <t>8.35% LIC Housing Finance Ltd. **</t>
  </si>
  <si>
    <t>8.85% HDFC Bank Ltd. **</t>
  </si>
  <si>
    <t>7.48% Housing Development Finance Corporation Ltd. **</t>
  </si>
  <si>
    <t>7.00% Reliance Industries Ltd. **</t>
  </si>
  <si>
    <t>8.10% NTPC Ltd. **</t>
  </si>
  <si>
    <t>8.80% Indiabulls Housing Finance Ltd. **</t>
  </si>
  <si>
    <t>9.20% Avanse Financial Services Ltd. **</t>
  </si>
  <si>
    <t>9.02% Rural Electrification Corporation Ltd. **</t>
  </si>
  <si>
    <t>7.80% Housing Development Finance Corporation Ltd. **</t>
  </si>
  <si>
    <t>7.33% Housing Development Finance Corporation Ltd. **</t>
  </si>
  <si>
    <t>7.25% Small Industries Development Bank of India **</t>
  </si>
  <si>
    <t>8.70% JM Financial Products Ltd. **</t>
  </si>
  <si>
    <t>8.00% Tata Motors Ltd. **</t>
  </si>
  <si>
    <t>7.50% Tata Motors Ltd. **</t>
  </si>
  <si>
    <t>8.55% Indiabulls Housing Finance Ltd. **</t>
  </si>
  <si>
    <t>8.50% Muthoot Finance Ltd. **</t>
  </si>
  <si>
    <t>8.37% National Bank for Agriculture and Rural Development **</t>
  </si>
  <si>
    <t>7.65% Housing Development Finance Corporation Ltd. **</t>
  </si>
  <si>
    <t>7.78% LIC Housing Finance Ltd. **</t>
  </si>
  <si>
    <t>7.21% Housing Development Finance Corporation Ltd. **</t>
  </si>
  <si>
    <t>7.63% PNB Housing Finance Ltd. **</t>
  </si>
  <si>
    <t>10.70% Aspire Home Finance Corporation Ltd. **</t>
  </si>
  <si>
    <t>The South Indian Bank Ltd. **</t>
  </si>
  <si>
    <t>Kotak Mahindra Bank Ltd. **</t>
  </si>
  <si>
    <t>DCB Bank Ltd. **</t>
  </si>
  <si>
    <t>Commercial Paper</t>
  </si>
  <si>
    <t>IL&amp;FS Financial Services Ltd. **</t>
  </si>
  <si>
    <t>National Bank for Agriculture and Rural Development **</t>
  </si>
  <si>
    <t>KEC International Ltd. **</t>
  </si>
  <si>
    <t>SREI Equipment Finance Ltd. **</t>
  </si>
  <si>
    <t>Indostar Capital Finance Ltd. **</t>
  </si>
  <si>
    <t>Export-Import Bank of India **</t>
  </si>
  <si>
    <t>Aadhar Housing Finance Ltd. **</t>
  </si>
  <si>
    <t>Magma Fincorp Ltd. **</t>
  </si>
  <si>
    <t>Indiabulls Housing Finance Ltd. **</t>
  </si>
  <si>
    <t>Cox &amp; Kings Ltd. **</t>
  </si>
  <si>
    <t>Avanse Financial Services Ltd. **</t>
  </si>
  <si>
    <t>Piramal Enterprises Ltd. **</t>
  </si>
  <si>
    <t>HCL Infosystems Ltd. **</t>
  </si>
  <si>
    <t>Magma Housing Finance Ltd. **</t>
  </si>
  <si>
    <t>Capital First Ltd. **</t>
  </si>
  <si>
    <t>10.35% Ess Kay Fincorp Ltd. @**</t>
  </si>
  <si>
    <t>Aggregate investments by other schemes of Principal Mutual Fund at the end of the period is Rs.1079.99 Lacs</t>
  </si>
  <si>
    <t>Aggregate investments by other schemes of Principal Mutual Fund at the end of the period is Rs.1501.89 Lacs</t>
  </si>
  <si>
    <t>Aggregate investments by other schemes of Principal Mutual Fund at the end of the period is Rs.52.38 Lacs</t>
  </si>
  <si>
    <t>Aggregate investments by other schemes of Principal Mutual Fund at the end of the period is Rs.179.67 Lacs</t>
  </si>
  <si>
    <t>Aggregate investments by other schemes of Principal Mutual Fund at the end of the period is Rs.106.11 Lacs</t>
  </si>
  <si>
    <t>Aggregate investments by other schemes of Principal Mutual Fund at the end of the period is Rs.1396.98 Lacs</t>
  </si>
  <si>
    <t>IND A (SO)</t>
  </si>
  <si>
    <t>CARE AA+ (SO)</t>
  </si>
  <si>
    <t>Derivatives   % to Net Assets</t>
  </si>
  <si>
    <t>Portfolio as on Dec 31, 2017</t>
  </si>
  <si>
    <t>All corporate ratings are assigned by rating agencies like CRISIL; CARE; ICRA; IND; BRW.</t>
  </si>
  <si>
    <t>Cash Future Arbitrage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</si>
</sst>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 * #,##0.00_ ;_ * \-#,##0.00_ ;_ * &quot;-&quot;??_ ;_ @_ 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0.0000%"/>
    <numFmt numFmtId="170" formatCode="0.000%"/>
    <numFmt numFmtId="171" formatCode="0.000"/>
    <numFmt numFmtId="172" formatCode="0.000000%"/>
    <numFmt numFmtId="173" formatCode="#,##0.000"/>
    <numFmt numFmtId="174" formatCode="#,##0.000000000000_ ;\-#,##0.000000000000\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4" fontId="11" fillId="0" borderId="0" xfId="0" applyNumberFormat="1" applyFont="1" applyFill="1" applyBorder="1"/>
    <xf numFmtId="3" fontId="0" fillId="0" borderId="0" xfId="0" applyNumberFormat="1"/>
    <xf numFmtId="164" fontId="4" fillId="0" borderId="0" xfId="0" applyNumberFormat="1" applyFont="1" applyFill="1" applyBorder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0" fontId="0" fillId="0" borderId="0" xfId="4" applyNumberFormat="1" applyFont="1" applyFill="1"/>
    <xf numFmtId="10" fontId="11" fillId="0" borderId="0" xfId="0" applyNumberFormat="1" applyFont="1" applyFill="1" applyBorder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168" fontId="0" fillId="0" borderId="0" xfId="0" applyNumberFormat="1"/>
    <xf numFmtId="0" fontId="11" fillId="0" borderId="0" xfId="0" quotePrefix="1" applyFont="1"/>
    <xf numFmtId="10" fontId="14" fillId="0" borderId="0" xfId="0" applyNumberFormat="1" applyFont="1"/>
    <xf numFmtId="169" fontId="11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/>
    <xf numFmtId="2" fontId="0" fillId="0" borderId="0" xfId="0" applyNumberFormat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70" fontId="4" fillId="0" borderId="0" xfId="0" applyNumberFormat="1" applyFont="1" applyFill="1" applyBorder="1"/>
    <xf numFmtId="0" fontId="1" fillId="0" borderId="0" xfId="0" applyFont="1" applyFill="1" applyBorder="1"/>
    <xf numFmtId="168" fontId="1" fillId="0" borderId="0" xfId="1" applyNumberFormat="1" applyFont="1" applyFill="1"/>
    <xf numFmtId="39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10" fontId="14" fillId="0" borderId="0" xfId="4" applyNumberFormat="1" applyFont="1" applyFill="1"/>
    <xf numFmtId="10" fontId="12" fillId="3" borderId="0" xfId="4" applyNumberFormat="1" applyFont="1" applyFill="1"/>
    <xf numFmtId="43" fontId="1" fillId="0" borderId="0" xfId="1" applyFont="1" applyFill="1"/>
    <xf numFmtId="0" fontId="3" fillId="0" borderId="0" xfId="0" applyFont="1" applyBorder="1" applyAlignment="1">
      <alignment horizontal="left" vertical="top"/>
    </xf>
    <xf numFmtId="15" fontId="11" fillId="0" borderId="0" xfId="0" applyNumberFormat="1" applyFont="1" applyFill="1" applyBorder="1"/>
    <xf numFmtId="15" fontId="8" fillId="0" borderId="0" xfId="1" applyNumberFormat="1" applyFont="1" applyFill="1" applyBorder="1" applyAlignment="1">
      <alignment horizontal="center" vertical="top" wrapText="1"/>
    </xf>
    <xf numFmtId="10" fontId="1" fillId="0" borderId="0" xfId="4" applyNumberFormat="1" applyFont="1"/>
    <xf numFmtId="168" fontId="1" fillId="0" borderId="0" xfId="1" applyNumberFormat="1" applyFont="1"/>
    <xf numFmtId="39" fontId="1" fillId="0" borderId="0" xfId="0" applyNumberFormat="1" applyFont="1"/>
    <xf numFmtId="171" fontId="0" fillId="0" borderId="0" xfId="0" applyNumberFormat="1"/>
    <xf numFmtId="172" fontId="0" fillId="0" borderId="0" xfId="4" applyNumberFormat="1" applyFont="1"/>
    <xf numFmtId="167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73" fontId="0" fillId="0" borderId="0" xfId="0" applyNumberFormat="1"/>
    <xf numFmtId="0" fontId="1" fillId="0" borderId="0" xfId="0" applyFont="1" applyAlignment="1">
      <alignment horizontal="left"/>
    </xf>
    <xf numFmtId="0" fontId="8" fillId="2" borderId="1" xfId="2" applyFont="1" applyFill="1" applyBorder="1" applyAlignment="1" applyProtection="1">
      <alignment horizontal="center" vertical="center" wrapText="1"/>
    </xf>
    <xf numFmtId="0" fontId="14" fillId="0" borderId="0" xfId="0" applyFont="1"/>
    <xf numFmtId="14" fontId="11" fillId="0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4" fontId="1" fillId="0" borderId="0" xfId="0" applyNumberFormat="1" applyFont="1" applyFill="1" applyBorder="1"/>
    <xf numFmtId="15" fontId="1" fillId="0" borderId="0" xfId="0" applyNumberFormat="1" applyFont="1" applyFill="1" applyBorder="1"/>
    <xf numFmtId="174" fontId="0" fillId="0" borderId="0" xfId="0" applyNumberFormat="1"/>
    <xf numFmtId="164" fontId="1" fillId="0" borderId="0" xfId="0" applyNumberFormat="1" applyFont="1" applyFill="1" applyBorder="1"/>
    <xf numFmtId="10" fontId="11" fillId="0" borderId="0" xfId="4" applyNumberFormat="1" applyFont="1" applyBorder="1" applyAlignment="1">
      <alignment horizontal="left" vertical="top"/>
    </xf>
    <xf numFmtId="10" fontId="1" fillId="0" borderId="0" xfId="4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/>
    </xf>
    <xf numFmtId="10" fontId="4" fillId="0" borderId="0" xfId="0" applyNumberFormat="1" applyFont="1" applyFill="1" applyBorder="1"/>
    <xf numFmtId="10" fontId="11" fillId="0" borderId="0" xfId="0" applyNumberFormat="1" applyFont="1" applyAlignment="1">
      <alignment horizontal="right"/>
    </xf>
    <xf numFmtId="0" fontId="11" fillId="2" borderId="1" xfId="2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8" fontId="15" fillId="0" borderId="1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10" fontId="1" fillId="0" borderId="1" xfId="4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15" fontId="11" fillId="0" borderId="0" xfId="1" applyNumberFormat="1" applyFont="1" applyFill="1" applyBorder="1" applyAlignment="1">
      <alignment horizontal="center" vertical="top" wrapText="1"/>
    </xf>
    <xf numFmtId="0" fontId="1" fillId="0" borderId="0" xfId="0" applyNumberFormat="1" applyFont="1"/>
    <xf numFmtId="0" fontId="17" fillId="0" borderId="0" xfId="0" applyFont="1"/>
    <xf numFmtId="0" fontId="1" fillId="0" borderId="0" xfId="0" applyFont="1" applyAlignment="1">
      <alignment horizontal="center"/>
    </xf>
    <xf numFmtId="10" fontId="5" fillId="2" borderId="2" xfId="4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4" fontId="1" fillId="0" borderId="0" xfId="0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50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  <col min="13" max="13" width="17.7109375" bestFit="1" customWidth="1"/>
  </cols>
  <sheetData>
    <row r="1" spans="1:15" ht="18.75" x14ac:dyDescent="0.2">
      <c r="A1" s="94" t="s">
        <v>379</v>
      </c>
      <c r="B1" s="123" t="s">
        <v>0</v>
      </c>
      <c r="C1" s="124"/>
      <c r="D1" s="124"/>
      <c r="E1" s="124"/>
      <c r="F1" s="124"/>
      <c r="G1" s="124"/>
      <c r="H1" s="125"/>
    </row>
    <row r="2" spans="1:15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5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5" ht="12.75" customHeight="1" x14ac:dyDescent="0.2">
      <c r="F5" s="13"/>
      <c r="G5" s="14"/>
      <c r="H5" s="15"/>
    </row>
    <row r="6" spans="1:15" ht="12.75" customHeight="1" x14ac:dyDescent="0.2">
      <c r="F6" s="13"/>
      <c r="G6" s="14"/>
      <c r="H6" s="15"/>
    </row>
    <row r="7" spans="1:15" ht="12.75" customHeight="1" x14ac:dyDescent="0.2">
      <c r="B7" s="16" t="s">
        <v>9</v>
      </c>
      <c r="C7" s="16"/>
      <c r="F7" s="13"/>
      <c r="G7" s="14"/>
      <c r="H7" s="15"/>
    </row>
    <row r="8" spans="1:15" ht="12.75" customHeight="1" x14ac:dyDescent="0.2">
      <c r="B8" s="16" t="s">
        <v>417</v>
      </c>
      <c r="C8" s="16"/>
      <c r="F8" s="13"/>
      <c r="G8" s="14"/>
      <c r="H8" s="15"/>
      <c r="J8" s="17" t="s">
        <v>4</v>
      </c>
      <c r="K8" s="37" t="s">
        <v>12</v>
      </c>
    </row>
    <row r="9" spans="1:15" ht="12.75" customHeight="1" x14ac:dyDescent="0.2">
      <c r="A9">
        <f>+MAX($A$8:A8)+1</f>
        <v>1</v>
      </c>
      <c r="B9" t="s">
        <v>194</v>
      </c>
      <c r="C9" t="s">
        <v>13</v>
      </c>
      <c r="D9" t="s">
        <v>10</v>
      </c>
      <c r="E9" s="28">
        <v>142365</v>
      </c>
      <c r="F9" s="13">
        <v>2665.6422600000001</v>
      </c>
      <c r="G9" s="14">
        <f t="shared" ref="G9:G40" si="0">+ROUND(F9/VLOOKUP("Grand Total",$B$4:$F$287,5,0),4)</f>
        <v>4.4999999999999998E-2</v>
      </c>
      <c r="H9" s="15"/>
      <c r="I9" s="15"/>
      <c r="J9" s="14" t="s">
        <v>10</v>
      </c>
      <c r="K9" s="48">
        <f t="shared" ref="K9:K38" si="1">SUMIFS($G$5:$G$325,$D$5:$D$325,J9)</f>
        <v>0.21810000000000002</v>
      </c>
    </row>
    <row r="10" spans="1:15" ht="12.75" customHeight="1" x14ac:dyDescent="0.2">
      <c r="A10">
        <f>+MAX($A$8:A9)+1</f>
        <v>2</v>
      </c>
      <c r="B10" t="s">
        <v>197</v>
      </c>
      <c r="C10" t="s">
        <v>11</v>
      </c>
      <c r="D10" t="s">
        <v>10</v>
      </c>
      <c r="E10" s="28">
        <v>778587</v>
      </c>
      <c r="F10" s="13">
        <v>2444.7631799999999</v>
      </c>
      <c r="G10" s="14">
        <f t="shared" si="0"/>
        <v>4.1200000000000001E-2</v>
      </c>
      <c r="H10" s="15"/>
      <c r="J10" s="14" t="s">
        <v>26</v>
      </c>
      <c r="K10" s="48">
        <f t="shared" si="1"/>
        <v>0.1123</v>
      </c>
    </row>
    <row r="11" spans="1:15" ht="12.75" customHeight="1" x14ac:dyDescent="0.2">
      <c r="A11">
        <f>+MAX($A$8:A10)+1</f>
        <v>3</v>
      </c>
      <c r="B11" t="s">
        <v>196</v>
      </c>
      <c r="C11" t="s">
        <v>31</v>
      </c>
      <c r="D11" t="s">
        <v>30</v>
      </c>
      <c r="E11" s="28">
        <v>207332</v>
      </c>
      <c r="F11" s="13">
        <v>1909.631386</v>
      </c>
      <c r="G11" s="14">
        <f t="shared" si="0"/>
        <v>3.2199999999999999E-2</v>
      </c>
      <c r="H11" s="15"/>
      <c r="J11" s="14" t="s">
        <v>22</v>
      </c>
      <c r="K11" s="48">
        <f t="shared" si="1"/>
        <v>5.7399999999999993E-2</v>
      </c>
      <c r="L11" s="36"/>
      <c r="M11" s="92"/>
      <c r="N11" s="36"/>
      <c r="O11" s="14"/>
    </row>
    <row r="12" spans="1:15" ht="12.75" customHeight="1" x14ac:dyDescent="0.2">
      <c r="A12">
        <f>+MAX($A$8:A11)+1</f>
        <v>4</v>
      </c>
      <c r="B12" t="s">
        <v>234</v>
      </c>
      <c r="C12" t="s">
        <v>79</v>
      </c>
      <c r="D12" t="s">
        <v>26</v>
      </c>
      <c r="E12" s="28">
        <v>46292</v>
      </c>
      <c r="F12" s="13">
        <v>1698.3840419999999</v>
      </c>
      <c r="G12" s="14">
        <f t="shared" si="0"/>
        <v>2.86E-2</v>
      </c>
      <c r="H12" s="15"/>
      <c r="J12" s="14" t="s">
        <v>28</v>
      </c>
      <c r="K12" s="48">
        <f t="shared" si="1"/>
        <v>5.4299999999999994E-2</v>
      </c>
      <c r="L12" s="36"/>
      <c r="M12" s="92"/>
      <c r="N12" s="36"/>
      <c r="O12" s="14"/>
    </row>
    <row r="13" spans="1:15" ht="12.75" customHeight="1" x14ac:dyDescent="0.2">
      <c r="A13">
        <f>+MAX($A$8:A12)+1</f>
        <v>5</v>
      </c>
      <c r="B13" t="s">
        <v>16</v>
      </c>
      <c r="C13" t="s">
        <v>17</v>
      </c>
      <c r="D13" t="s">
        <v>10</v>
      </c>
      <c r="E13" s="28">
        <v>543759</v>
      </c>
      <c r="F13" s="13">
        <v>1685.1091409999999</v>
      </c>
      <c r="G13" s="14">
        <f t="shared" si="0"/>
        <v>2.8400000000000002E-2</v>
      </c>
      <c r="H13" s="15"/>
      <c r="J13" s="14" t="s">
        <v>20</v>
      </c>
      <c r="K13" s="48">
        <f t="shared" si="1"/>
        <v>5.4199999999999998E-2</v>
      </c>
      <c r="L13" s="36"/>
      <c r="M13" s="92"/>
      <c r="N13" s="36"/>
      <c r="O13" s="14"/>
    </row>
    <row r="14" spans="1:15" ht="12.75" customHeight="1" x14ac:dyDescent="0.2">
      <c r="A14">
        <f>+MAX($A$8:A13)+1</f>
        <v>6</v>
      </c>
      <c r="B14" t="s">
        <v>195</v>
      </c>
      <c r="C14" t="s">
        <v>15</v>
      </c>
      <c r="D14" t="s">
        <v>14</v>
      </c>
      <c r="E14" s="28">
        <v>145142</v>
      </c>
      <c r="F14" s="13">
        <v>1512.452211</v>
      </c>
      <c r="G14" s="14">
        <f t="shared" si="0"/>
        <v>2.5499999999999998E-2</v>
      </c>
      <c r="H14" s="15"/>
      <c r="J14" s="14" t="s">
        <v>136</v>
      </c>
      <c r="K14" s="48">
        <f t="shared" si="1"/>
        <v>5.3000000000000005E-2</v>
      </c>
      <c r="L14" s="36"/>
      <c r="M14" s="92"/>
      <c r="N14" s="36"/>
      <c r="O14" s="14"/>
    </row>
    <row r="15" spans="1:15" ht="12.75" customHeight="1" x14ac:dyDescent="0.2">
      <c r="A15">
        <f>+MAX($A$8:A14)+1</f>
        <v>7</v>
      </c>
      <c r="B15" t="s">
        <v>227</v>
      </c>
      <c r="C15" t="s">
        <v>66</v>
      </c>
      <c r="D15" t="s">
        <v>28</v>
      </c>
      <c r="E15" s="28">
        <v>357552</v>
      </c>
      <c r="F15" s="13">
        <v>1370.854368</v>
      </c>
      <c r="G15" s="14">
        <f t="shared" si="0"/>
        <v>2.3099999999999999E-2</v>
      </c>
      <c r="H15" s="15"/>
      <c r="J15" s="14" t="s">
        <v>18</v>
      </c>
      <c r="K15" s="48">
        <f t="shared" si="1"/>
        <v>5.2000000000000005E-2</v>
      </c>
      <c r="L15" s="36"/>
      <c r="M15" s="92"/>
      <c r="N15" s="36"/>
      <c r="O15" s="14"/>
    </row>
    <row r="16" spans="1:15" ht="12.75" customHeight="1" x14ac:dyDescent="0.2">
      <c r="A16">
        <f>+MAX($A$8:A15)+1</f>
        <v>8</v>
      </c>
      <c r="B16" t="s">
        <v>322</v>
      </c>
      <c r="C16" t="s">
        <v>323</v>
      </c>
      <c r="D16" t="s">
        <v>146</v>
      </c>
      <c r="E16" s="28">
        <v>262209</v>
      </c>
      <c r="F16" s="13">
        <v>1305.014193</v>
      </c>
      <c r="G16" s="14">
        <f t="shared" si="0"/>
        <v>2.1999999999999999E-2</v>
      </c>
      <c r="H16" s="15"/>
      <c r="J16" s="14" t="s">
        <v>14</v>
      </c>
      <c r="K16" s="48">
        <f t="shared" si="1"/>
        <v>5.1900000000000002E-2</v>
      </c>
      <c r="L16" s="36"/>
      <c r="M16" s="92"/>
      <c r="N16" s="36"/>
      <c r="O16" s="14"/>
    </row>
    <row r="17" spans="1:15" ht="12.75" customHeight="1" x14ac:dyDescent="0.2">
      <c r="A17">
        <f>+MAX($A$8:A16)+1</f>
        <v>9</v>
      </c>
      <c r="B17" t="s">
        <v>228</v>
      </c>
      <c r="C17" t="s">
        <v>71</v>
      </c>
      <c r="D17" t="s">
        <v>28</v>
      </c>
      <c r="E17" s="28">
        <v>102696</v>
      </c>
      <c r="F17" s="13">
        <v>1292.1724200000001</v>
      </c>
      <c r="G17" s="14">
        <f t="shared" si="0"/>
        <v>2.18E-2</v>
      </c>
      <c r="H17" s="15"/>
      <c r="J17" s="14" t="s">
        <v>36</v>
      </c>
      <c r="K17" s="48">
        <f t="shared" si="1"/>
        <v>4.5699999999999998E-2</v>
      </c>
      <c r="L17" s="36"/>
      <c r="M17" s="92"/>
      <c r="N17" s="36"/>
      <c r="O17" s="14"/>
    </row>
    <row r="18" spans="1:15" ht="12.75" customHeight="1" x14ac:dyDescent="0.2">
      <c r="A18">
        <f>+MAX($A$8:A17)+1</f>
        <v>10</v>
      </c>
      <c r="B18" t="s">
        <v>314</v>
      </c>
      <c r="C18" t="s">
        <v>57</v>
      </c>
      <c r="D18" t="s">
        <v>26</v>
      </c>
      <c r="E18" s="28">
        <v>71970</v>
      </c>
      <c r="F18" s="13">
        <v>1225.325235</v>
      </c>
      <c r="G18" s="14">
        <f t="shared" si="0"/>
        <v>2.07E-2</v>
      </c>
      <c r="H18" s="15"/>
      <c r="J18" s="14" t="s">
        <v>24</v>
      </c>
      <c r="K18" s="48">
        <f t="shared" si="1"/>
        <v>4.4799999999999993E-2</v>
      </c>
      <c r="L18" s="36"/>
      <c r="M18" s="92"/>
      <c r="N18" s="36"/>
      <c r="O18" s="14"/>
    </row>
    <row r="19" spans="1:15" ht="12.75" customHeight="1" x14ac:dyDescent="0.2">
      <c r="A19">
        <f>+MAX($A$8:A18)+1</f>
        <v>11</v>
      </c>
      <c r="B19" t="s">
        <v>315</v>
      </c>
      <c r="C19" t="s">
        <v>77</v>
      </c>
      <c r="D19" t="s">
        <v>38</v>
      </c>
      <c r="E19" s="28">
        <v>323315</v>
      </c>
      <c r="F19" s="13">
        <v>1191.5774325</v>
      </c>
      <c r="G19" s="14">
        <f t="shared" si="0"/>
        <v>2.01E-2</v>
      </c>
      <c r="H19" s="15"/>
      <c r="J19" s="14" t="s">
        <v>30</v>
      </c>
      <c r="K19" s="48">
        <f t="shared" si="1"/>
        <v>3.9099999999999996E-2</v>
      </c>
      <c r="L19" s="36"/>
      <c r="M19" s="92"/>
      <c r="N19" s="36"/>
      <c r="O19" s="14"/>
    </row>
    <row r="20" spans="1:15" ht="12.75" customHeight="1" x14ac:dyDescent="0.2">
      <c r="A20">
        <f>+MAX($A$8:A19)+1</f>
        <v>12</v>
      </c>
      <c r="B20" t="s">
        <v>209</v>
      </c>
      <c r="C20" t="s">
        <v>52</v>
      </c>
      <c r="D20" t="s">
        <v>41</v>
      </c>
      <c r="E20" s="28">
        <v>944272</v>
      </c>
      <c r="F20" s="13">
        <v>1187.4220399999999</v>
      </c>
      <c r="G20" s="14">
        <f t="shared" si="0"/>
        <v>0.02</v>
      </c>
      <c r="H20" s="15"/>
      <c r="J20" s="90" t="s">
        <v>38</v>
      </c>
      <c r="K20" s="48">
        <f t="shared" si="1"/>
        <v>3.6699999999999997E-2</v>
      </c>
      <c r="L20" s="36"/>
      <c r="M20" s="92"/>
      <c r="N20" s="36"/>
      <c r="O20" s="14"/>
    </row>
    <row r="21" spans="1:15" ht="12.75" customHeight="1" x14ac:dyDescent="0.2">
      <c r="A21">
        <f>+MAX($A$8:A20)+1</f>
        <v>13</v>
      </c>
      <c r="B21" t="s">
        <v>212</v>
      </c>
      <c r="C21" t="s">
        <v>49</v>
      </c>
      <c r="D21" t="s">
        <v>20</v>
      </c>
      <c r="E21" s="28">
        <v>12016</v>
      </c>
      <c r="F21" s="13">
        <v>1169.1027280000001</v>
      </c>
      <c r="G21" s="14">
        <f t="shared" si="0"/>
        <v>1.9699999999999999E-2</v>
      </c>
      <c r="H21" s="15"/>
      <c r="J21" s="14" t="s">
        <v>41</v>
      </c>
      <c r="K21" s="48">
        <f t="shared" si="1"/>
        <v>3.09E-2</v>
      </c>
      <c r="L21" s="36"/>
      <c r="M21" s="92"/>
      <c r="N21" s="36"/>
      <c r="O21" s="14"/>
    </row>
    <row r="22" spans="1:15" ht="12.75" customHeight="1" x14ac:dyDescent="0.2">
      <c r="A22">
        <f>+MAX($A$8:A21)+1</f>
        <v>14</v>
      </c>
      <c r="B22" t="s">
        <v>404</v>
      </c>
      <c r="C22" t="s">
        <v>403</v>
      </c>
      <c r="D22" t="s">
        <v>26</v>
      </c>
      <c r="E22" s="28">
        <v>329351</v>
      </c>
      <c r="F22" s="13">
        <v>1151.7404470000001</v>
      </c>
      <c r="G22" s="14">
        <f t="shared" si="0"/>
        <v>1.9400000000000001E-2</v>
      </c>
      <c r="H22" s="15"/>
      <c r="J22" s="14" t="s">
        <v>146</v>
      </c>
      <c r="K22" s="48">
        <f t="shared" si="1"/>
        <v>2.1999999999999999E-2</v>
      </c>
      <c r="L22" s="36"/>
      <c r="M22" s="92"/>
      <c r="N22" s="36"/>
      <c r="O22" s="14"/>
    </row>
    <row r="23" spans="1:15" ht="12.75" customHeight="1" x14ac:dyDescent="0.2">
      <c r="A23">
        <f>+MAX($A$8:A22)+1</f>
        <v>15</v>
      </c>
      <c r="B23" t="s">
        <v>353</v>
      </c>
      <c r="C23" t="s">
        <v>423</v>
      </c>
      <c r="D23" t="s">
        <v>136</v>
      </c>
      <c r="E23" s="28">
        <v>113619</v>
      </c>
      <c r="F23" s="13">
        <v>1108.126107</v>
      </c>
      <c r="G23" s="14">
        <f t="shared" si="0"/>
        <v>1.8700000000000001E-2</v>
      </c>
      <c r="H23" s="15"/>
      <c r="J23" s="14" t="s">
        <v>45</v>
      </c>
      <c r="K23" s="48">
        <f t="shared" si="1"/>
        <v>0.02</v>
      </c>
      <c r="L23" s="36"/>
      <c r="M23" s="92"/>
      <c r="N23" s="36"/>
      <c r="O23" s="14"/>
    </row>
    <row r="24" spans="1:15" ht="12.75" customHeight="1" x14ac:dyDescent="0.2">
      <c r="A24">
        <f>+MAX($A$8:A23)+1</f>
        <v>16</v>
      </c>
      <c r="B24" t="s">
        <v>575</v>
      </c>
      <c r="C24" t="s">
        <v>576</v>
      </c>
      <c r="D24" t="s">
        <v>136</v>
      </c>
      <c r="E24" s="28">
        <v>298963</v>
      </c>
      <c r="F24" s="13">
        <v>1107.2094705</v>
      </c>
      <c r="G24" s="14">
        <f t="shared" si="0"/>
        <v>1.8700000000000001E-2</v>
      </c>
      <c r="H24" s="15"/>
      <c r="J24" s="14" t="s">
        <v>515</v>
      </c>
      <c r="K24" s="48">
        <f t="shared" si="1"/>
        <v>1.89E-2</v>
      </c>
      <c r="L24" s="36"/>
      <c r="M24" s="92"/>
      <c r="N24" s="36"/>
      <c r="O24" s="14"/>
    </row>
    <row r="25" spans="1:15" ht="12.75" customHeight="1" x14ac:dyDescent="0.2">
      <c r="A25">
        <f>+MAX($A$8:A24)+1</f>
        <v>17</v>
      </c>
      <c r="B25" t="s">
        <v>198</v>
      </c>
      <c r="C25" t="s">
        <v>21</v>
      </c>
      <c r="D25" t="s">
        <v>20</v>
      </c>
      <c r="E25" s="28">
        <v>253596</v>
      </c>
      <c r="F25" s="13">
        <v>1095.1543259999999</v>
      </c>
      <c r="G25" s="14">
        <f t="shared" si="0"/>
        <v>1.8499999999999999E-2</v>
      </c>
      <c r="H25" s="15"/>
      <c r="J25" s="14" t="s">
        <v>422</v>
      </c>
      <c r="K25" s="48">
        <f t="shared" si="1"/>
        <v>1.7100000000000001E-2</v>
      </c>
      <c r="L25" s="36"/>
      <c r="M25" s="92"/>
      <c r="N25" s="36"/>
      <c r="O25" s="14"/>
    </row>
    <row r="26" spans="1:15" ht="12.75" customHeight="1" x14ac:dyDescent="0.2">
      <c r="A26">
        <f>+MAX($A$8:A25)+1</f>
        <v>18</v>
      </c>
      <c r="B26" t="s">
        <v>200</v>
      </c>
      <c r="C26" t="s">
        <v>27</v>
      </c>
      <c r="D26" t="s">
        <v>24</v>
      </c>
      <c r="E26" s="28">
        <v>62303</v>
      </c>
      <c r="F26" s="13">
        <v>1065.630512</v>
      </c>
      <c r="G26" s="14">
        <f t="shared" si="0"/>
        <v>1.7999999999999999E-2</v>
      </c>
      <c r="H26" s="15"/>
      <c r="J26" t="s">
        <v>51</v>
      </c>
      <c r="K26" s="48">
        <f t="shared" si="1"/>
        <v>1.23E-2</v>
      </c>
      <c r="L26" s="36"/>
      <c r="M26" s="92"/>
      <c r="N26" s="36"/>
      <c r="O26" s="14"/>
    </row>
    <row r="27" spans="1:15" ht="12.75" customHeight="1" x14ac:dyDescent="0.2">
      <c r="A27">
        <f>+MAX($A$8:A26)+1</f>
        <v>19</v>
      </c>
      <c r="B27" t="s">
        <v>206</v>
      </c>
      <c r="C27" t="s">
        <v>48</v>
      </c>
      <c r="D27" t="s">
        <v>26</v>
      </c>
      <c r="E27" s="28">
        <v>21639</v>
      </c>
      <c r="F27" s="13">
        <v>1019.0346075</v>
      </c>
      <c r="G27" s="14">
        <f t="shared" si="0"/>
        <v>1.72E-2</v>
      </c>
      <c r="H27" s="15"/>
      <c r="J27" t="s">
        <v>43</v>
      </c>
      <c r="K27" s="48">
        <f t="shared" si="1"/>
        <v>1.14E-2</v>
      </c>
      <c r="L27" s="36"/>
      <c r="M27" s="92"/>
      <c r="N27" s="36"/>
      <c r="O27" s="14"/>
    </row>
    <row r="28" spans="1:15" ht="12.75" customHeight="1" x14ac:dyDescent="0.2">
      <c r="A28">
        <f>+MAX($A$8:A27)+1</f>
        <v>20</v>
      </c>
      <c r="B28" t="s">
        <v>420</v>
      </c>
      <c r="C28" t="s">
        <v>421</v>
      </c>
      <c r="D28" t="s">
        <v>422</v>
      </c>
      <c r="E28" s="28">
        <v>663035</v>
      </c>
      <c r="F28" s="13">
        <v>1010.7968575</v>
      </c>
      <c r="G28" s="14">
        <f t="shared" si="0"/>
        <v>1.7100000000000001E-2</v>
      </c>
      <c r="H28" s="15"/>
      <c r="J28" t="s">
        <v>34</v>
      </c>
      <c r="K28" s="48">
        <f t="shared" si="1"/>
        <v>1.0999999999999999E-2</v>
      </c>
      <c r="L28" s="36"/>
      <c r="M28" s="92"/>
      <c r="N28" s="36"/>
      <c r="O28" s="14"/>
    </row>
    <row r="29" spans="1:15" ht="12.75" customHeight="1" x14ac:dyDescent="0.2">
      <c r="A29">
        <f>+MAX($A$8:A28)+1</f>
        <v>21</v>
      </c>
      <c r="B29" t="s">
        <v>253</v>
      </c>
      <c r="C29" t="s">
        <v>116</v>
      </c>
      <c r="D29" t="s">
        <v>36</v>
      </c>
      <c r="E29" s="28">
        <v>567700</v>
      </c>
      <c r="F29" s="13">
        <v>1004.829</v>
      </c>
      <c r="G29" s="14">
        <f t="shared" si="0"/>
        <v>1.7000000000000001E-2</v>
      </c>
      <c r="H29" s="15"/>
      <c r="J29" t="s">
        <v>325</v>
      </c>
      <c r="K29" s="48">
        <f t="shared" si="1"/>
        <v>1.06E-2</v>
      </c>
      <c r="M29" s="92"/>
      <c r="N29" s="36"/>
      <c r="O29" s="14"/>
    </row>
    <row r="30" spans="1:15" ht="12.75" customHeight="1" x14ac:dyDescent="0.2">
      <c r="A30">
        <f>+MAX($A$8:A29)+1</f>
        <v>22</v>
      </c>
      <c r="B30" t="s">
        <v>376</v>
      </c>
      <c r="C30" t="s">
        <v>377</v>
      </c>
      <c r="D30" t="s">
        <v>38</v>
      </c>
      <c r="E30" s="28">
        <v>969860</v>
      </c>
      <c r="F30" s="13">
        <v>983.43804</v>
      </c>
      <c r="G30" s="14">
        <f t="shared" si="0"/>
        <v>1.66E-2</v>
      </c>
      <c r="H30" s="15"/>
      <c r="J30" t="s">
        <v>32</v>
      </c>
      <c r="K30" s="48">
        <f t="shared" si="1"/>
        <v>5.8999999999999999E-3</v>
      </c>
      <c r="M30" s="14"/>
      <c r="N30" s="36"/>
      <c r="O30" s="14"/>
    </row>
    <row r="31" spans="1:15" ht="12.75" customHeight="1" x14ac:dyDescent="0.2">
      <c r="A31">
        <f>+MAX($A$8:A30)+1</f>
        <v>23</v>
      </c>
      <c r="B31" t="s">
        <v>251</v>
      </c>
      <c r="C31" t="s">
        <v>113</v>
      </c>
      <c r="D31" t="s">
        <v>20</v>
      </c>
      <c r="E31" s="28">
        <v>25122</v>
      </c>
      <c r="F31" s="13">
        <v>950.90538299999992</v>
      </c>
      <c r="G31" s="14">
        <f t="shared" si="0"/>
        <v>1.6E-2</v>
      </c>
      <c r="H31" s="15"/>
      <c r="J31" s="65" t="s">
        <v>447</v>
      </c>
      <c r="K31" s="48">
        <f t="shared" si="1"/>
        <v>4.0000000000000001E-3</v>
      </c>
      <c r="N31" s="36"/>
      <c r="O31" s="14"/>
    </row>
    <row r="32" spans="1:15" ht="12.75" customHeight="1" x14ac:dyDescent="0.2">
      <c r="A32">
        <f>+MAX($A$8:A31)+1</f>
        <v>24</v>
      </c>
      <c r="B32" t="s">
        <v>218</v>
      </c>
      <c r="C32" t="s">
        <v>61</v>
      </c>
      <c r="D32" t="s">
        <v>22</v>
      </c>
      <c r="E32" s="28">
        <v>137828</v>
      </c>
      <c r="F32" s="13">
        <v>948.18772599999988</v>
      </c>
      <c r="G32" s="14">
        <f t="shared" si="0"/>
        <v>1.6E-2</v>
      </c>
      <c r="H32" s="15"/>
      <c r="J32" t="s">
        <v>54</v>
      </c>
      <c r="K32" s="48">
        <f t="shared" si="1"/>
        <v>0</v>
      </c>
      <c r="N32" s="36"/>
      <c r="O32" s="14"/>
    </row>
    <row r="33" spans="1:15" ht="12.75" customHeight="1" x14ac:dyDescent="0.2">
      <c r="A33">
        <f>+MAX($A$8:A32)+1</f>
        <v>25</v>
      </c>
      <c r="B33" t="s">
        <v>604</v>
      </c>
      <c r="C33" t="s">
        <v>605</v>
      </c>
      <c r="D33" t="s">
        <v>136</v>
      </c>
      <c r="E33" s="28">
        <v>186849</v>
      </c>
      <c r="F33" s="13">
        <v>923.03405999999995</v>
      </c>
      <c r="G33" s="14">
        <f t="shared" si="0"/>
        <v>1.5599999999999999E-2</v>
      </c>
      <c r="H33" s="15"/>
      <c r="J33" t="s">
        <v>62</v>
      </c>
      <c r="K33" s="48">
        <f t="shared" si="1"/>
        <v>0</v>
      </c>
      <c r="N33" s="36"/>
      <c r="O33" s="14"/>
    </row>
    <row r="34" spans="1:15" ht="12.75" customHeight="1" x14ac:dyDescent="0.2">
      <c r="A34">
        <f>+MAX($A$8:A33)+1</f>
        <v>26</v>
      </c>
      <c r="B34" t="s">
        <v>204</v>
      </c>
      <c r="C34" t="s">
        <v>46</v>
      </c>
      <c r="D34" t="s">
        <v>26</v>
      </c>
      <c r="E34" s="28">
        <v>346201</v>
      </c>
      <c r="F34" s="13">
        <v>911.37413249999997</v>
      </c>
      <c r="G34" s="14">
        <f t="shared" si="0"/>
        <v>1.54E-2</v>
      </c>
      <c r="H34" s="15"/>
      <c r="J34" t="s">
        <v>103</v>
      </c>
      <c r="K34" s="48">
        <f t="shared" si="1"/>
        <v>0</v>
      </c>
      <c r="L34" s="87"/>
      <c r="N34" s="36"/>
      <c r="O34" s="14"/>
    </row>
    <row r="35" spans="1:15" ht="12.75" customHeight="1" x14ac:dyDescent="0.2">
      <c r="A35">
        <f>+MAX($A$8:A34)+1</f>
        <v>27</v>
      </c>
      <c r="B35" t="s">
        <v>205</v>
      </c>
      <c r="C35" t="s">
        <v>44</v>
      </c>
      <c r="D35" t="s">
        <v>24</v>
      </c>
      <c r="E35" s="28">
        <v>150743</v>
      </c>
      <c r="F35" s="13">
        <v>878.37946099999999</v>
      </c>
      <c r="G35" s="14">
        <f t="shared" si="0"/>
        <v>1.4800000000000001E-2</v>
      </c>
      <c r="H35" s="15"/>
      <c r="J35" t="s">
        <v>60</v>
      </c>
      <c r="K35" s="48">
        <f t="shared" si="1"/>
        <v>0</v>
      </c>
    </row>
    <row r="36" spans="1:15" ht="12.75" customHeight="1" x14ac:dyDescent="0.2">
      <c r="A36">
        <f>+MAX($A$8:A35)+1</f>
        <v>28</v>
      </c>
      <c r="B36" t="s">
        <v>215</v>
      </c>
      <c r="C36" t="s">
        <v>99</v>
      </c>
      <c r="D36" t="s">
        <v>10</v>
      </c>
      <c r="E36" s="28">
        <v>82252</v>
      </c>
      <c r="F36" s="13">
        <v>830.90970400000003</v>
      </c>
      <c r="G36" s="14">
        <f t="shared" si="0"/>
        <v>1.4E-2</v>
      </c>
      <c r="H36" s="15"/>
      <c r="J36" t="s">
        <v>443</v>
      </c>
      <c r="K36" s="48">
        <f t="shared" si="1"/>
        <v>0</v>
      </c>
      <c r="M36" s="14"/>
    </row>
    <row r="37" spans="1:15" ht="12.75" customHeight="1" x14ac:dyDescent="0.2">
      <c r="A37">
        <f>+MAX($A$8:A36)+1</f>
        <v>29</v>
      </c>
      <c r="B37" t="s">
        <v>219</v>
      </c>
      <c r="C37" t="s">
        <v>19</v>
      </c>
      <c r="D37" t="s">
        <v>14</v>
      </c>
      <c r="E37" s="28">
        <v>30730</v>
      </c>
      <c r="F37" s="13">
        <v>830.07875999999999</v>
      </c>
      <c r="G37" s="14">
        <f t="shared" si="0"/>
        <v>1.4E-2</v>
      </c>
      <c r="H37" s="15"/>
      <c r="J37" s="14" t="s">
        <v>58</v>
      </c>
      <c r="K37" s="48">
        <f t="shared" si="1"/>
        <v>0</v>
      </c>
      <c r="M37" s="14"/>
    </row>
    <row r="38" spans="1:15" ht="12.75" customHeight="1" x14ac:dyDescent="0.2">
      <c r="A38">
        <f>+MAX($A$8:A37)+1</f>
        <v>30</v>
      </c>
      <c r="B38" t="s">
        <v>223</v>
      </c>
      <c r="C38" t="s">
        <v>63</v>
      </c>
      <c r="D38" t="s">
        <v>36</v>
      </c>
      <c r="E38" s="28">
        <v>169704</v>
      </c>
      <c r="F38" s="13">
        <v>802.10595599999999</v>
      </c>
      <c r="G38" s="14">
        <f t="shared" si="0"/>
        <v>1.35E-2</v>
      </c>
      <c r="H38" s="15"/>
      <c r="J38" s="14" t="s">
        <v>56</v>
      </c>
      <c r="K38" s="48">
        <f t="shared" si="1"/>
        <v>0</v>
      </c>
      <c r="M38" s="14"/>
    </row>
    <row r="39" spans="1:15" ht="12.75" customHeight="1" x14ac:dyDescent="0.2">
      <c r="A39">
        <f>+MAX($A$8:A38)+1</f>
        <v>31</v>
      </c>
      <c r="B39" t="s">
        <v>664</v>
      </c>
      <c r="C39" t="s">
        <v>416</v>
      </c>
      <c r="D39" t="s">
        <v>10</v>
      </c>
      <c r="E39" s="28">
        <v>623711</v>
      </c>
      <c r="F39" s="13">
        <v>780.88617199999999</v>
      </c>
      <c r="G39" s="14">
        <f t="shared" si="0"/>
        <v>1.32E-2</v>
      </c>
      <c r="H39" s="15"/>
      <c r="J39" s="14" t="s">
        <v>64</v>
      </c>
      <c r="K39" s="48">
        <f>+SUMIFS($G$5:$G$1000,$B$5:$B$1000,"CBLO / Reverse Repo Investments")+SUMIFS($G$5:$G$1000,$B$5:$B$1000,"Net Receivable/Payable")</f>
        <v>1.6400000000000001E-2</v>
      </c>
      <c r="M39" s="14"/>
    </row>
    <row r="40" spans="1:15" ht="12.75" customHeight="1" x14ac:dyDescent="0.2">
      <c r="A40">
        <f>+MAX($A$8:A39)+1</f>
        <v>32</v>
      </c>
      <c r="B40" t="s">
        <v>444</v>
      </c>
      <c r="C40" t="s">
        <v>68</v>
      </c>
      <c r="D40" t="s">
        <v>22</v>
      </c>
      <c r="E40" s="28">
        <v>136679</v>
      </c>
      <c r="F40" s="13">
        <v>780.64210849999995</v>
      </c>
      <c r="G40" s="14">
        <f t="shared" si="0"/>
        <v>1.32E-2</v>
      </c>
      <c r="H40" s="15"/>
      <c r="L40" s="54"/>
    </row>
    <row r="41" spans="1:15" ht="12.75" customHeight="1" x14ac:dyDescent="0.2">
      <c r="A41">
        <f>+MAX($A$8:A40)+1</f>
        <v>33</v>
      </c>
      <c r="B41" t="s">
        <v>199</v>
      </c>
      <c r="C41" t="s">
        <v>25</v>
      </c>
      <c r="D41" t="s">
        <v>14</v>
      </c>
      <c r="E41" s="28">
        <v>82486</v>
      </c>
      <c r="F41" s="13">
        <v>734.53782999999999</v>
      </c>
      <c r="G41" s="14">
        <f t="shared" ref="G41:G72" si="2">+ROUND(F41/VLOOKUP("Grand Total",$B$4:$F$287,5,0),4)</f>
        <v>1.24E-2</v>
      </c>
      <c r="H41" s="15"/>
    </row>
    <row r="42" spans="1:15" ht="12.75" customHeight="1" x14ac:dyDescent="0.2">
      <c r="A42">
        <f>+MAX($A$8:A41)+1</f>
        <v>34</v>
      </c>
      <c r="B42" t="s">
        <v>231</v>
      </c>
      <c r="C42" t="s">
        <v>80</v>
      </c>
      <c r="D42" t="s">
        <v>51</v>
      </c>
      <c r="E42" s="28">
        <v>276857</v>
      </c>
      <c r="F42" s="13">
        <v>727.9954815000001</v>
      </c>
      <c r="G42" s="14">
        <f t="shared" si="2"/>
        <v>1.23E-2</v>
      </c>
      <c r="H42" s="15"/>
    </row>
    <row r="43" spans="1:15" ht="12.75" customHeight="1" x14ac:dyDescent="0.2">
      <c r="A43">
        <f>+MAX($A$8:A42)+1</f>
        <v>35</v>
      </c>
      <c r="B43" t="s">
        <v>518</v>
      </c>
      <c r="C43" t="s">
        <v>519</v>
      </c>
      <c r="D43" t="s">
        <v>24</v>
      </c>
      <c r="E43" s="28">
        <v>48012</v>
      </c>
      <c r="F43" s="13">
        <v>711.24976800000002</v>
      </c>
      <c r="G43" s="14">
        <f t="shared" si="2"/>
        <v>1.2E-2</v>
      </c>
      <c r="H43" s="15"/>
    </row>
    <row r="44" spans="1:15" ht="12.75" customHeight="1" x14ac:dyDescent="0.2">
      <c r="A44">
        <f>+MAX($A$8:A43)+1</f>
        <v>36</v>
      </c>
      <c r="B44" t="s">
        <v>40</v>
      </c>
      <c r="C44" t="s">
        <v>42</v>
      </c>
      <c r="D44" t="s">
        <v>10</v>
      </c>
      <c r="E44" s="28">
        <v>434753</v>
      </c>
      <c r="F44" s="13">
        <v>698.43069450000007</v>
      </c>
      <c r="G44" s="14">
        <f t="shared" si="2"/>
        <v>1.18E-2</v>
      </c>
      <c r="H44" s="15"/>
    </row>
    <row r="45" spans="1:15" ht="12.75" customHeight="1" x14ac:dyDescent="0.2">
      <c r="A45">
        <f>+MAX($A$8:A44)+1</f>
        <v>37</v>
      </c>
      <c r="B45" t="s">
        <v>345</v>
      </c>
      <c r="C45" t="s">
        <v>346</v>
      </c>
      <c r="D45" t="s">
        <v>18</v>
      </c>
      <c r="E45" s="28">
        <v>60299</v>
      </c>
      <c r="F45" s="13">
        <v>694.91582549999998</v>
      </c>
      <c r="G45" s="14">
        <f t="shared" si="2"/>
        <v>1.17E-2</v>
      </c>
      <c r="H45" s="15"/>
    </row>
    <row r="46" spans="1:15" ht="12.75" customHeight="1" x14ac:dyDescent="0.2">
      <c r="A46">
        <f>+MAX($A$8:A45)+1</f>
        <v>38</v>
      </c>
      <c r="B46" t="s">
        <v>516</v>
      </c>
      <c r="C46" t="s">
        <v>517</v>
      </c>
      <c r="D46" t="s">
        <v>43</v>
      </c>
      <c r="E46" s="28">
        <v>63940</v>
      </c>
      <c r="F46" s="13">
        <v>676.13352999999995</v>
      </c>
      <c r="G46" s="14">
        <f t="shared" si="2"/>
        <v>1.14E-2</v>
      </c>
      <c r="H46" s="15"/>
    </row>
    <row r="47" spans="1:15" ht="12.75" customHeight="1" x14ac:dyDescent="0.2">
      <c r="A47">
        <f>+MAX($A$8:A46)+1</f>
        <v>39</v>
      </c>
      <c r="B47" t="s">
        <v>574</v>
      </c>
      <c r="C47" t="s">
        <v>490</v>
      </c>
      <c r="D47" t="s">
        <v>22</v>
      </c>
      <c r="E47" s="28">
        <v>204217</v>
      </c>
      <c r="F47" s="13">
        <v>663.80735849999996</v>
      </c>
      <c r="G47" s="14">
        <f t="shared" si="2"/>
        <v>1.12E-2</v>
      </c>
      <c r="H47" s="15"/>
    </row>
    <row r="48" spans="1:15" ht="12.75" customHeight="1" x14ac:dyDescent="0.2">
      <c r="A48">
        <f>+MAX($A$8:A47)+1</f>
        <v>40</v>
      </c>
      <c r="B48" t="s">
        <v>623</v>
      </c>
      <c r="C48" t="s">
        <v>624</v>
      </c>
      <c r="D48" t="s">
        <v>26</v>
      </c>
      <c r="E48" s="28">
        <v>9944</v>
      </c>
      <c r="F48" s="13">
        <v>650.13872000000003</v>
      </c>
      <c r="G48" s="14">
        <f t="shared" si="2"/>
        <v>1.0999999999999999E-2</v>
      </c>
      <c r="H48" s="15"/>
    </row>
    <row r="49" spans="1:11" ht="12.75" customHeight="1" x14ac:dyDescent="0.2">
      <c r="A49">
        <f>+MAX($A$8:A48)+1</f>
        <v>41</v>
      </c>
      <c r="B49" t="s">
        <v>217</v>
      </c>
      <c r="C49" t="s">
        <v>65</v>
      </c>
      <c r="D49" t="s">
        <v>34</v>
      </c>
      <c r="E49" s="28">
        <v>122695</v>
      </c>
      <c r="F49" s="13">
        <v>649.85406750000004</v>
      </c>
      <c r="G49" s="14">
        <f t="shared" si="2"/>
        <v>1.0999999999999999E-2</v>
      </c>
      <c r="H49" s="15"/>
    </row>
    <row r="50" spans="1:11" ht="12.75" customHeight="1" x14ac:dyDescent="0.2">
      <c r="A50">
        <f>+MAX($A$8:A49)+1</f>
        <v>42</v>
      </c>
      <c r="B50" t="s">
        <v>282</v>
      </c>
      <c r="C50" t="s">
        <v>149</v>
      </c>
      <c r="D50" t="s">
        <v>41</v>
      </c>
      <c r="E50" s="28">
        <v>75000</v>
      </c>
      <c r="F50" s="13">
        <v>645.22500000000002</v>
      </c>
      <c r="G50" s="14">
        <f t="shared" si="2"/>
        <v>1.09E-2</v>
      </c>
      <c r="H50" s="15"/>
    </row>
    <row r="51" spans="1:11" ht="12.75" customHeight="1" x14ac:dyDescent="0.2">
      <c r="A51">
        <f>+MAX($A$8:A50)+1</f>
        <v>43</v>
      </c>
      <c r="B51" t="s">
        <v>233</v>
      </c>
      <c r="C51" t="s">
        <v>82</v>
      </c>
      <c r="D51" t="s">
        <v>45</v>
      </c>
      <c r="E51" s="28">
        <v>200927</v>
      </c>
      <c r="F51" s="13">
        <v>620.56303950000006</v>
      </c>
      <c r="G51" s="14">
        <f t="shared" si="2"/>
        <v>1.0500000000000001E-2</v>
      </c>
      <c r="H51" s="15"/>
    </row>
    <row r="52" spans="1:11" ht="12.75" customHeight="1" x14ac:dyDescent="0.2">
      <c r="A52">
        <f>+MAX($A$8:A51)+1</f>
        <v>44</v>
      </c>
      <c r="B52" t="s">
        <v>214</v>
      </c>
      <c r="C52" t="s">
        <v>75</v>
      </c>
      <c r="D52" t="s">
        <v>515</v>
      </c>
      <c r="E52" s="28">
        <v>524907</v>
      </c>
      <c r="F52" s="13">
        <v>618.34044600000004</v>
      </c>
      <c r="G52" s="14">
        <f t="shared" si="2"/>
        <v>1.04E-2</v>
      </c>
      <c r="H52" s="15"/>
    </row>
    <row r="53" spans="1:11" ht="12.75" customHeight="1" x14ac:dyDescent="0.2">
      <c r="A53">
        <f>+MAX($A$8:A52)+1</f>
        <v>45</v>
      </c>
      <c r="B53" t="s">
        <v>621</v>
      </c>
      <c r="C53" t="s">
        <v>622</v>
      </c>
      <c r="D53" t="s">
        <v>36</v>
      </c>
      <c r="E53" s="28">
        <v>660000</v>
      </c>
      <c r="F53" s="13">
        <v>617.1</v>
      </c>
      <c r="G53" s="14">
        <f t="shared" si="2"/>
        <v>1.04E-2</v>
      </c>
      <c r="H53" s="15"/>
    </row>
    <row r="54" spans="1:11" ht="12.75" customHeight="1" x14ac:dyDescent="0.2">
      <c r="A54">
        <f>+MAX($A$8:A53)+1</f>
        <v>46</v>
      </c>
      <c r="B54" s="65" t="s">
        <v>207</v>
      </c>
      <c r="C54" s="65" t="s">
        <v>53</v>
      </c>
      <c r="D54" t="s">
        <v>18</v>
      </c>
      <c r="E54" s="28">
        <v>13982</v>
      </c>
      <c r="F54" s="13">
        <v>604.10629200000005</v>
      </c>
      <c r="G54" s="14">
        <f t="shared" si="2"/>
        <v>1.0200000000000001E-2</v>
      </c>
      <c r="H54" s="15"/>
    </row>
    <row r="55" spans="1:11" ht="12.75" customHeight="1" x14ac:dyDescent="0.2">
      <c r="A55">
        <f>+MAX($A$8:A54)+1</f>
        <v>47</v>
      </c>
      <c r="B55" t="s">
        <v>316</v>
      </c>
      <c r="C55" t="s">
        <v>67</v>
      </c>
      <c r="D55" t="s">
        <v>18</v>
      </c>
      <c r="E55" s="28">
        <v>328159</v>
      </c>
      <c r="F55" s="13">
        <v>602.00768549999998</v>
      </c>
      <c r="G55" s="14">
        <f t="shared" si="2"/>
        <v>1.0200000000000001E-2</v>
      </c>
      <c r="H55" s="15"/>
    </row>
    <row r="56" spans="1:11" ht="12.75" customHeight="1" x14ac:dyDescent="0.2">
      <c r="A56">
        <f>+MAX($A$8:A55)+1</f>
        <v>48</v>
      </c>
      <c r="B56" t="s">
        <v>210</v>
      </c>
      <c r="C56" t="s">
        <v>33</v>
      </c>
      <c r="D56" t="s">
        <v>18</v>
      </c>
      <c r="E56" s="28">
        <v>53292</v>
      </c>
      <c r="F56" s="13">
        <v>591.91424399999994</v>
      </c>
      <c r="G56" s="14">
        <f t="shared" si="2"/>
        <v>0.01</v>
      </c>
      <c r="H56" s="15"/>
    </row>
    <row r="57" spans="1:11" ht="12.75" customHeight="1" x14ac:dyDescent="0.2">
      <c r="A57">
        <f>+MAX($A$8:A56)+1</f>
        <v>49</v>
      </c>
      <c r="B57" t="s">
        <v>203</v>
      </c>
      <c r="C57" t="s">
        <v>35</v>
      </c>
      <c r="D57" t="s">
        <v>18</v>
      </c>
      <c r="E57" s="28">
        <v>40937</v>
      </c>
      <c r="F57" s="13">
        <v>588.42843799999991</v>
      </c>
      <c r="G57" s="14">
        <f t="shared" si="2"/>
        <v>9.9000000000000008E-3</v>
      </c>
      <c r="H57" s="15"/>
      <c r="J57" s="14"/>
      <c r="K57" s="48"/>
    </row>
    <row r="58" spans="1:11" ht="12.75" customHeight="1" x14ac:dyDescent="0.2">
      <c r="A58">
        <f>+MAX($A$8:A57)+1</f>
        <v>50</v>
      </c>
      <c r="B58" t="s">
        <v>579</v>
      </c>
      <c r="C58" t="s">
        <v>580</v>
      </c>
      <c r="D58" t="s">
        <v>10</v>
      </c>
      <c r="E58" s="28">
        <v>853115</v>
      </c>
      <c r="F58" s="13">
        <v>583.10410249999995</v>
      </c>
      <c r="G58" s="14">
        <f t="shared" si="2"/>
        <v>9.7999999999999997E-3</v>
      </c>
      <c r="H58" s="15"/>
    </row>
    <row r="59" spans="1:11" ht="12.75" customHeight="1" x14ac:dyDescent="0.2">
      <c r="A59">
        <f>+MAX($A$8:A58)+1</f>
        <v>51</v>
      </c>
      <c r="B59" t="s">
        <v>208</v>
      </c>
      <c r="C59" t="s">
        <v>50</v>
      </c>
      <c r="D59" t="s">
        <v>22</v>
      </c>
      <c r="E59" s="28">
        <v>10546</v>
      </c>
      <c r="F59" s="13">
        <v>582.66122700000005</v>
      </c>
      <c r="G59" s="14">
        <f t="shared" si="2"/>
        <v>9.7999999999999997E-3</v>
      </c>
      <c r="H59" s="15"/>
    </row>
    <row r="60" spans="1:11" ht="12.75" customHeight="1" x14ac:dyDescent="0.2">
      <c r="A60">
        <f>+MAX($A$8:A59)+1</f>
        <v>52</v>
      </c>
      <c r="B60" t="s">
        <v>326</v>
      </c>
      <c r="C60" t="s">
        <v>327</v>
      </c>
      <c r="D60" t="s">
        <v>10</v>
      </c>
      <c r="E60" s="28">
        <v>323668</v>
      </c>
      <c r="F60" s="13">
        <v>581.95506399999999</v>
      </c>
      <c r="G60" s="14">
        <f t="shared" si="2"/>
        <v>9.7999999999999997E-3</v>
      </c>
      <c r="H60" s="15"/>
    </row>
    <row r="61" spans="1:11" ht="12.75" customHeight="1" x14ac:dyDescent="0.2">
      <c r="A61">
        <f>+MAX($A$8:A60)+1</f>
        <v>53</v>
      </c>
      <c r="B61" t="s">
        <v>577</v>
      </c>
      <c r="C61" t="s">
        <v>578</v>
      </c>
      <c r="D61" t="s">
        <v>45</v>
      </c>
      <c r="E61" s="28">
        <v>654548</v>
      </c>
      <c r="F61" s="13">
        <v>562.91128000000003</v>
      </c>
      <c r="G61" s="14">
        <f t="shared" si="2"/>
        <v>9.4999999999999998E-3</v>
      </c>
      <c r="H61" s="15"/>
    </row>
    <row r="62" spans="1:11" ht="12.75" customHeight="1" x14ac:dyDescent="0.2">
      <c r="A62">
        <f>+MAX($A$8:A61)+1</f>
        <v>54</v>
      </c>
      <c r="B62" t="s">
        <v>324</v>
      </c>
      <c r="C62" t="s">
        <v>73</v>
      </c>
      <c r="D62" t="s">
        <v>28</v>
      </c>
      <c r="E62" s="28">
        <v>1365791</v>
      </c>
      <c r="F62" s="13">
        <v>559.97430999999995</v>
      </c>
      <c r="G62" s="14">
        <f t="shared" si="2"/>
        <v>9.4000000000000004E-3</v>
      </c>
      <c r="H62" s="15"/>
    </row>
    <row r="63" spans="1:11" ht="12.75" customHeight="1" x14ac:dyDescent="0.2">
      <c r="A63">
        <f>+MAX($A$8:A62)+1</f>
        <v>55</v>
      </c>
      <c r="B63" t="s">
        <v>168</v>
      </c>
      <c r="C63" t="s">
        <v>184</v>
      </c>
      <c r="D63" t="s">
        <v>10</v>
      </c>
      <c r="E63" s="28">
        <v>154999</v>
      </c>
      <c r="F63" s="13">
        <v>558.61639600000001</v>
      </c>
      <c r="G63" s="14">
        <f t="shared" si="2"/>
        <v>9.4000000000000004E-3</v>
      </c>
      <c r="H63" s="15"/>
    </row>
    <row r="64" spans="1:11" ht="12.75" customHeight="1" x14ac:dyDescent="0.2">
      <c r="A64">
        <f>+MAX($A$8:A63)+1</f>
        <v>56</v>
      </c>
      <c r="B64" t="s">
        <v>220</v>
      </c>
      <c r="C64" t="s">
        <v>29</v>
      </c>
      <c r="D64" t="s">
        <v>10</v>
      </c>
      <c r="E64" s="28">
        <v>97342</v>
      </c>
      <c r="F64" s="13">
        <v>548.96020899999996</v>
      </c>
      <c r="G64" s="14">
        <f t="shared" si="2"/>
        <v>9.2999999999999992E-3</v>
      </c>
      <c r="H64" s="15"/>
    </row>
    <row r="65" spans="1:9" ht="12.75" customHeight="1" x14ac:dyDescent="0.2">
      <c r="A65">
        <f>+MAX($A$8:A64)+1</f>
        <v>57</v>
      </c>
      <c r="B65" s="65" t="s">
        <v>665</v>
      </c>
      <c r="C65" t="s">
        <v>666</v>
      </c>
      <c r="D65" t="s">
        <v>10</v>
      </c>
      <c r="E65" s="28">
        <v>666967</v>
      </c>
      <c r="F65" s="13">
        <v>534.5740505</v>
      </c>
      <c r="G65" s="14">
        <f t="shared" si="2"/>
        <v>8.9999999999999993E-3</v>
      </c>
      <c r="H65" s="15"/>
    </row>
    <row r="66" spans="1:9" ht="12.75" customHeight="1" x14ac:dyDescent="0.2">
      <c r="A66">
        <f>+MAX($A$8:A65)+1</f>
        <v>58</v>
      </c>
      <c r="B66" s="65" t="s">
        <v>254</v>
      </c>
      <c r="C66" t="s">
        <v>573</v>
      </c>
      <c r="D66" t="s">
        <v>10</v>
      </c>
      <c r="E66" s="28">
        <v>168180</v>
      </c>
      <c r="F66" s="13">
        <v>530.01927000000001</v>
      </c>
      <c r="G66" s="14">
        <f t="shared" si="2"/>
        <v>8.8999999999999999E-3</v>
      </c>
      <c r="H66" s="15"/>
    </row>
    <row r="67" spans="1:9" ht="12.75" customHeight="1" x14ac:dyDescent="0.2">
      <c r="A67">
        <f>+MAX($A$8:A66)+1</f>
        <v>59</v>
      </c>
      <c r="B67" s="65" t="s">
        <v>202</v>
      </c>
      <c r="C67" t="s">
        <v>23</v>
      </c>
      <c r="D67" t="s">
        <v>515</v>
      </c>
      <c r="E67" s="28">
        <v>149155</v>
      </c>
      <c r="F67" s="13">
        <v>504.0693225</v>
      </c>
      <c r="G67" s="14">
        <f t="shared" si="2"/>
        <v>8.5000000000000006E-3</v>
      </c>
      <c r="H67" s="15"/>
    </row>
    <row r="68" spans="1:9" ht="12.75" customHeight="1" x14ac:dyDescent="0.2">
      <c r="A68">
        <f>+MAX($A$8:A67)+1</f>
        <v>60</v>
      </c>
      <c r="B68" s="65" t="s">
        <v>226</v>
      </c>
      <c r="C68" t="s">
        <v>70</v>
      </c>
      <c r="D68" t="s">
        <v>10</v>
      </c>
      <c r="E68" s="28">
        <v>451878</v>
      </c>
      <c r="F68" s="13">
        <v>490.28762999999998</v>
      </c>
      <c r="G68" s="14">
        <f t="shared" si="2"/>
        <v>8.3000000000000001E-3</v>
      </c>
      <c r="H68" s="15"/>
    </row>
    <row r="69" spans="1:9" ht="12.75" customHeight="1" x14ac:dyDescent="0.2">
      <c r="A69">
        <f>+MAX($A$8:A68)+1</f>
        <v>61</v>
      </c>
      <c r="B69" s="65" t="s">
        <v>216</v>
      </c>
      <c r="C69" t="s">
        <v>59</v>
      </c>
      <c r="D69" t="s">
        <v>22</v>
      </c>
      <c r="E69" s="28">
        <v>44437</v>
      </c>
      <c r="F69" s="13">
        <v>427.35062899999997</v>
      </c>
      <c r="G69" s="14">
        <f t="shared" si="2"/>
        <v>7.1999999999999998E-3</v>
      </c>
      <c r="H69" s="15"/>
    </row>
    <row r="70" spans="1:9" ht="12.75" customHeight="1" x14ac:dyDescent="0.2">
      <c r="A70">
        <f>+MAX($A$8:A69)+1</f>
        <v>62</v>
      </c>
      <c r="B70" s="65" t="s">
        <v>268</v>
      </c>
      <c r="C70" t="s">
        <v>134</v>
      </c>
      <c r="D70" t="s">
        <v>30</v>
      </c>
      <c r="E70" s="28">
        <v>210942</v>
      </c>
      <c r="F70" s="13">
        <v>407.53994399999999</v>
      </c>
      <c r="G70" s="14">
        <f t="shared" si="2"/>
        <v>6.8999999999999999E-3</v>
      </c>
      <c r="H70" s="15"/>
    </row>
    <row r="71" spans="1:9" ht="12.75" customHeight="1" x14ac:dyDescent="0.2">
      <c r="A71">
        <f>+MAX($A$8:A70)+1</f>
        <v>63</v>
      </c>
      <c r="B71" s="65" t="s">
        <v>221</v>
      </c>
      <c r="C71" t="s">
        <v>74</v>
      </c>
      <c r="D71" t="s">
        <v>32</v>
      </c>
      <c r="E71" s="28">
        <v>144000</v>
      </c>
      <c r="F71" s="13">
        <v>342.72</v>
      </c>
      <c r="G71" s="14">
        <f t="shared" si="2"/>
        <v>5.7999999999999996E-3</v>
      </c>
      <c r="H71" s="15"/>
    </row>
    <row r="72" spans="1:9" ht="12.75" customHeight="1" x14ac:dyDescent="0.2">
      <c r="A72">
        <f>+MAX($A$8:A71)+1</f>
        <v>64</v>
      </c>
      <c r="B72" s="65" t="s">
        <v>222</v>
      </c>
      <c r="C72" t="s">
        <v>76</v>
      </c>
      <c r="D72" t="s">
        <v>36</v>
      </c>
      <c r="E72" s="28">
        <v>3622594</v>
      </c>
      <c r="F72" s="13">
        <v>284.37362899999999</v>
      </c>
      <c r="G72" s="14">
        <f t="shared" si="2"/>
        <v>4.7999999999999996E-3</v>
      </c>
      <c r="H72" s="15"/>
    </row>
    <row r="73" spans="1:9" ht="12.75" customHeight="1" x14ac:dyDescent="0.2">
      <c r="A73">
        <f>+MAX($A$8:A72)+1</f>
        <v>65</v>
      </c>
      <c r="B73" s="65" t="s">
        <v>445</v>
      </c>
      <c r="C73" t="s">
        <v>446</v>
      </c>
      <c r="D73" t="s">
        <v>447</v>
      </c>
      <c r="E73" s="28">
        <v>81066</v>
      </c>
      <c r="F73" s="13">
        <v>235.05086699999998</v>
      </c>
      <c r="G73" s="14">
        <f t="shared" ref="G73:G74" si="3">+ROUND(F73/VLOOKUP("Grand Total",$B$4:$F$287,5,0),4)</f>
        <v>4.0000000000000001E-3</v>
      </c>
      <c r="H73" s="15"/>
    </row>
    <row r="74" spans="1:9" ht="12.75" customHeight="1" x14ac:dyDescent="0.2">
      <c r="A74">
        <f>+MAX($A$8:A73)+1</f>
        <v>66</v>
      </c>
      <c r="B74" s="65" t="s">
        <v>473</v>
      </c>
      <c r="C74" t="s">
        <v>84</v>
      </c>
      <c r="D74" t="s">
        <v>32</v>
      </c>
      <c r="E74" s="28">
        <v>100000</v>
      </c>
      <c r="F74" s="13">
        <v>5.54</v>
      </c>
      <c r="G74" s="14">
        <f t="shared" si="3"/>
        <v>1E-4</v>
      </c>
      <c r="H74" s="15"/>
    </row>
    <row r="75" spans="1:9" ht="12.75" customHeight="1" x14ac:dyDescent="0.2">
      <c r="A75">
        <f>+MAX($A$8:A74)+1</f>
        <v>67</v>
      </c>
      <c r="B75" s="65" t="s">
        <v>606</v>
      </c>
      <c r="C75" t="s">
        <v>85</v>
      </c>
      <c r="D75" t="s">
        <v>103</v>
      </c>
      <c r="E75" s="28">
        <v>511578</v>
      </c>
      <c r="F75" s="13">
        <v>0</v>
      </c>
      <c r="G75" s="108" t="s">
        <v>571</v>
      </c>
      <c r="H75" s="15"/>
    </row>
    <row r="76" spans="1:9" ht="12.75" customHeight="1" x14ac:dyDescent="0.2">
      <c r="B76" s="18" t="s">
        <v>86</v>
      </c>
      <c r="C76" s="18"/>
      <c r="D76" s="18"/>
      <c r="E76" s="29"/>
      <c r="F76" s="19">
        <f>SUM(F9:F75)</f>
        <v>57674.369817999985</v>
      </c>
      <c r="G76" s="20">
        <f>SUM(G9:G75)</f>
        <v>0.97299999999999986</v>
      </c>
      <c r="H76" s="21"/>
      <c r="I76" s="35"/>
    </row>
    <row r="77" spans="1:9" ht="12.75" customHeight="1" x14ac:dyDescent="0.2">
      <c r="F77" s="13"/>
      <c r="G77" s="14"/>
      <c r="H77" s="15"/>
    </row>
    <row r="78" spans="1:9" ht="12.75" customHeight="1" x14ac:dyDescent="0.2">
      <c r="B78" s="16" t="s">
        <v>310</v>
      </c>
      <c r="C78" s="16"/>
      <c r="F78" s="13"/>
      <c r="G78" s="14"/>
      <c r="H78" s="15"/>
    </row>
    <row r="79" spans="1:9" ht="12.75" customHeight="1" x14ac:dyDescent="0.2">
      <c r="A79">
        <f>+MAX($A$8:A78)+1</f>
        <v>68</v>
      </c>
      <c r="B79" t="s">
        <v>237</v>
      </c>
      <c r="C79" s="121" t="s">
        <v>570</v>
      </c>
      <c r="D79" t="s">
        <v>58</v>
      </c>
      <c r="E79" s="28">
        <v>54000</v>
      </c>
      <c r="F79" s="13">
        <v>0</v>
      </c>
      <c r="G79" s="108" t="s">
        <v>571</v>
      </c>
      <c r="H79" s="15"/>
    </row>
    <row r="80" spans="1:9" ht="12.75" customHeight="1" x14ac:dyDescent="0.2">
      <c r="A80">
        <f>+MAX($A$8:A79)+1</f>
        <v>69</v>
      </c>
      <c r="B80" t="s">
        <v>235</v>
      </c>
      <c r="C80" s="65" t="s">
        <v>87</v>
      </c>
      <c r="D80" s="65" t="s">
        <v>54</v>
      </c>
      <c r="E80" s="28">
        <v>200000</v>
      </c>
      <c r="F80" s="13">
        <v>0</v>
      </c>
      <c r="G80" s="108" t="s">
        <v>571</v>
      </c>
      <c r="H80" s="15"/>
    </row>
    <row r="81" spans="1:9" ht="12.75" customHeight="1" x14ac:dyDescent="0.2">
      <c r="A81">
        <f>+MAX($A$8:A80)+1</f>
        <v>70</v>
      </c>
      <c r="B81" t="s">
        <v>241</v>
      </c>
      <c r="C81" s="65" t="s">
        <v>91</v>
      </c>
      <c r="D81" s="65" t="s">
        <v>443</v>
      </c>
      <c r="E81" s="28">
        <v>176305</v>
      </c>
      <c r="F81" s="13">
        <v>0</v>
      </c>
      <c r="G81" s="108" t="s">
        <v>571</v>
      </c>
      <c r="H81" s="15"/>
    </row>
    <row r="82" spans="1:9" ht="12.75" customHeight="1" x14ac:dyDescent="0.2">
      <c r="A82">
        <f>+MAX($A$8:A81)+1</f>
        <v>71</v>
      </c>
      <c r="B82" t="s">
        <v>236</v>
      </c>
      <c r="C82" s="121" t="s">
        <v>570</v>
      </c>
      <c r="D82" s="1" t="s">
        <v>56</v>
      </c>
      <c r="E82" s="28">
        <v>93200</v>
      </c>
      <c r="F82" s="13">
        <v>0</v>
      </c>
      <c r="G82" s="108" t="s">
        <v>571</v>
      </c>
      <c r="H82" s="15"/>
    </row>
    <row r="83" spans="1:9" ht="12.75" customHeight="1" x14ac:dyDescent="0.2">
      <c r="A83">
        <f>+MAX($A$8:A82)+1</f>
        <v>72</v>
      </c>
      <c r="B83" t="s">
        <v>240</v>
      </c>
      <c r="C83" t="s">
        <v>90</v>
      </c>
      <c r="D83" s="1" t="s">
        <v>38</v>
      </c>
      <c r="E83" s="28">
        <v>200</v>
      </c>
      <c r="F83" s="13">
        <v>0</v>
      </c>
      <c r="G83" s="108" t="s">
        <v>571</v>
      </c>
      <c r="H83" s="15"/>
    </row>
    <row r="84" spans="1:9" ht="12.75" customHeight="1" x14ac:dyDescent="0.2">
      <c r="A84">
        <f>+MAX($A$8:A83)+1</f>
        <v>73</v>
      </c>
      <c r="B84" t="s">
        <v>239</v>
      </c>
      <c r="C84" s="65" t="s">
        <v>89</v>
      </c>
      <c r="D84" s="1" t="s">
        <v>62</v>
      </c>
      <c r="E84" s="28">
        <v>39500</v>
      </c>
      <c r="F84" s="13">
        <v>0</v>
      </c>
      <c r="G84" s="108" t="s">
        <v>571</v>
      </c>
      <c r="H84" s="15"/>
    </row>
    <row r="85" spans="1:9" ht="12.75" customHeight="1" x14ac:dyDescent="0.2">
      <c r="A85">
        <f>+MAX($A$8:A84)+1</f>
        <v>74</v>
      </c>
      <c r="B85" t="s">
        <v>238</v>
      </c>
      <c r="C85" t="s">
        <v>88</v>
      </c>
      <c r="D85" s="1" t="s">
        <v>60</v>
      </c>
      <c r="E85" s="28">
        <v>50800</v>
      </c>
      <c r="F85" s="13">
        <v>0</v>
      </c>
      <c r="G85" s="108" t="s">
        <v>571</v>
      </c>
      <c r="H85" s="15"/>
    </row>
    <row r="86" spans="1:9" ht="12.75" customHeight="1" x14ac:dyDescent="0.2">
      <c r="B86" s="18" t="s">
        <v>86</v>
      </c>
      <c r="C86" s="18"/>
      <c r="D86" s="18"/>
      <c r="E86" s="29"/>
      <c r="F86" s="19">
        <f>SUM(F79:F85)</f>
        <v>0</v>
      </c>
      <c r="G86" s="51" t="s">
        <v>571</v>
      </c>
      <c r="H86" s="21"/>
      <c r="I86" s="35"/>
    </row>
    <row r="87" spans="1:9" ht="12.75" customHeight="1" x14ac:dyDescent="0.2">
      <c r="F87" s="13"/>
      <c r="G87" s="14"/>
      <c r="H87" s="15"/>
    </row>
    <row r="88" spans="1:9" ht="12.75" customHeight="1" x14ac:dyDescent="0.2">
      <c r="B88" s="16" t="s">
        <v>93</v>
      </c>
      <c r="C88" s="16"/>
      <c r="F88" s="13"/>
      <c r="G88" s="14"/>
      <c r="H88" s="15"/>
    </row>
    <row r="89" spans="1:9" ht="12.75" customHeight="1" x14ac:dyDescent="0.2">
      <c r="A89">
        <f>+MAX($A$8:A88)+1</f>
        <v>75</v>
      </c>
      <c r="B89" t="s">
        <v>471</v>
      </c>
      <c r="C89" s="65" t="s">
        <v>305</v>
      </c>
      <c r="D89" t="s">
        <v>325</v>
      </c>
      <c r="E89" s="28">
        <v>2014991.537</v>
      </c>
      <c r="F89" s="13">
        <v>626.57572340000002</v>
      </c>
      <c r="G89" s="14">
        <f>+ROUND(F89/VLOOKUP("Grand Total",$B$4:$F$287,5,0),4)</f>
        <v>1.06E-2</v>
      </c>
      <c r="H89" s="15"/>
    </row>
    <row r="90" spans="1:9" ht="12.75" customHeight="1" x14ac:dyDescent="0.2">
      <c r="B90" s="18" t="s">
        <v>86</v>
      </c>
      <c r="C90" s="18"/>
      <c r="D90" s="18"/>
      <c r="E90" s="29"/>
      <c r="F90" s="19">
        <f>SUM(F89:F89)</f>
        <v>626.57572340000002</v>
      </c>
      <c r="G90" s="51">
        <f>SUM(G89:G89)</f>
        <v>1.06E-2</v>
      </c>
      <c r="H90" s="21"/>
      <c r="I90" s="35"/>
    </row>
    <row r="91" spans="1:9" ht="12.75" customHeight="1" x14ac:dyDescent="0.2">
      <c r="F91" s="13"/>
      <c r="G91" s="14"/>
      <c r="H91" s="15"/>
    </row>
    <row r="92" spans="1:9" ht="12.75" customHeight="1" x14ac:dyDescent="0.2">
      <c r="A92" s="95" t="s">
        <v>380</v>
      </c>
      <c r="B92" s="16" t="s">
        <v>94</v>
      </c>
      <c r="C92" s="16"/>
      <c r="F92" s="13">
        <v>1311.2515444000001</v>
      </c>
      <c r="G92" s="14">
        <f>+ROUND(F92/VLOOKUP("Grand Total",$B$4:$F$287,5,0),4)</f>
        <v>2.2100000000000002E-2</v>
      </c>
      <c r="H92" s="15">
        <v>43101</v>
      </c>
    </row>
    <row r="93" spans="1:9" ht="12.75" customHeight="1" x14ac:dyDescent="0.2">
      <c r="B93" s="18" t="s">
        <v>86</v>
      </c>
      <c r="C93" s="18"/>
      <c r="D93" s="18"/>
      <c r="E93" s="29"/>
      <c r="F93" s="19">
        <f>SUM(F92)</f>
        <v>1311.2515444000001</v>
      </c>
      <c r="G93" s="20">
        <f>SUM(G92)</f>
        <v>2.2100000000000002E-2</v>
      </c>
      <c r="H93" s="21"/>
      <c r="I93" s="35"/>
    </row>
    <row r="94" spans="1:9" ht="12.75" customHeight="1" x14ac:dyDescent="0.2">
      <c r="F94" s="13"/>
      <c r="G94" s="14"/>
      <c r="H94" s="15"/>
    </row>
    <row r="95" spans="1:9" ht="12.75" customHeight="1" x14ac:dyDescent="0.2">
      <c r="B95" s="16" t="s">
        <v>95</v>
      </c>
      <c r="C95" s="16"/>
      <c r="F95" s="13"/>
      <c r="G95" s="14"/>
      <c r="H95" s="15"/>
    </row>
    <row r="96" spans="1:9" ht="12.75" customHeight="1" x14ac:dyDescent="0.2">
      <c r="B96" s="16" t="s">
        <v>96</v>
      </c>
      <c r="C96" s="16"/>
      <c r="F96" s="13">
        <v>-331.19907009998133</v>
      </c>
      <c r="G96" s="14">
        <f>+ROUND(F96/VLOOKUP("Grand Total",$B$4:$F$287,5,0),4)-0.01%</f>
        <v>-5.7000000000000002E-3</v>
      </c>
      <c r="H96" s="15"/>
    </row>
    <row r="97" spans="2:9" ht="12.75" customHeight="1" x14ac:dyDescent="0.2">
      <c r="B97" s="18" t="s">
        <v>86</v>
      </c>
      <c r="C97" s="18"/>
      <c r="D97" s="18"/>
      <c r="E97" s="29"/>
      <c r="F97" s="19">
        <f>SUM(F96)</f>
        <v>-331.19907009998133</v>
      </c>
      <c r="G97" s="20">
        <f>SUM(G96)</f>
        <v>-5.7000000000000002E-3</v>
      </c>
      <c r="H97" s="21"/>
      <c r="I97" s="35"/>
    </row>
    <row r="98" spans="2:9" ht="12.75" customHeight="1" x14ac:dyDescent="0.2">
      <c r="B98" s="22" t="s">
        <v>97</v>
      </c>
      <c r="C98" s="22"/>
      <c r="D98" s="22"/>
      <c r="E98" s="30"/>
      <c r="F98" s="23">
        <f>+SUMIF($B$5:B97,"Total",$F$5:F97)</f>
        <v>59280.998015700003</v>
      </c>
      <c r="G98" s="24">
        <f>+SUMIF($B$5:B97,"Total",$G$5:G97)</f>
        <v>0.99999999999999978</v>
      </c>
      <c r="H98" s="25"/>
      <c r="I98" s="35"/>
    </row>
    <row r="99" spans="2:9" ht="12.75" customHeight="1" x14ac:dyDescent="0.2"/>
    <row r="100" spans="2:9" ht="12.75" customHeight="1" x14ac:dyDescent="0.2">
      <c r="B100" s="16" t="s">
        <v>189</v>
      </c>
      <c r="C100" s="16"/>
    </row>
    <row r="101" spans="2:9" ht="12.75" customHeight="1" x14ac:dyDescent="0.2">
      <c r="B101" s="16" t="s">
        <v>190</v>
      </c>
      <c r="C101" s="16"/>
    </row>
    <row r="102" spans="2:9" ht="12.75" customHeight="1" x14ac:dyDescent="0.2">
      <c r="B102" s="16" t="s">
        <v>191</v>
      </c>
      <c r="C102" s="16"/>
      <c r="F102" s="43"/>
      <c r="G102" s="43"/>
    </row>
    <row r="103" spans="2:9" ht="12.75" customHeight="1" x14ac:dyDescent="0.2">
      <c r="B103" s="53" t="s">
        <v>313</v>
      </c>
      <c r="C103" s="16"/>
    </row>
    <row r="104" spans="2:9" ht="12.75" customHeight="1" x14ac:dyDescent="0.2"/>
    <row r="105" spans="2:9" ht="12.75" customHeight="1" x14ac:dyDescent="0.2"/>
    <row r="106" spans="2:9" ht="12.75" customHeight="1" x14ac:dyDescent="0.2"/>
    <row r="107" spans="2:9" ht="12.75" customHeight="1" x14ac:dyDescent="0.2"/>
    <row r="108" spans="2:9" ht="12.75" customHeight="1" x14ac:dyDescent="0.2"/>
    <row r="109" spans="2:9" ht="12.75" customHeight="1" x14ac:dyDescent="0.2"/>
    <row r="110" spans="2:9" ht="12.75" customHeight="1" x14ac:dyDescent="0.2"/>
    <row r="111" spans="2:9" ht="12.75" customHeight="1" x14ac:dyDescent="0.2"/>
    <row r="112" spans="2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</sheetData>
  <sheetProtection password="EDB3" sheet="1" objects="1" scenarios="1"/>
  <sortState ref="J9:K36">
    <sortCondition descending="1" ref="K9:K3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10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7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390</v>
      </c>
      <c r="B1" s="123" t="s">
        <v>337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  <c r="I6" s="98"/>
    </row>
    <row r="7" spans="1:16" ht="12.75" customHeight="1" x14ac:dyDescent="0.2">
      <c r="B7" s="16" t="s">
        <v>92</v>
      </c>
      <c r="C7" s="16"/>
      <c r="F7" s="13"/>
      <c r="G7" s="14"/>
      <c r="H7" s="15"/>
    </row>
    <row r="8" spans="1:16" ht="12.75" customHeight="1" x14ac:dyDescent="0.2">
      <c r="B8" s="16" t="s">
        <v>732</v>
      </c>
      <c r="C8" s="16"/>
      <c r="F8" s="13"/>
      <c r="G8" s="14"/>
      <c r="H8" s="15"/>
      <c r="J8" s="17" t="s">
        <v>4</v>
      </c>
      <c r="K8" s="37" t="s">
        <v>12</v>
      </c>
      <c r="M8" s="14"/>
      <c r="N8" s="36"/>
      <c r="P8" s="14"/>
    </row>
    <row r="9" spans="1:16" ht="12.75" customHeight="1" x14ac:dyDescent="0.2">
      <c r="A9">
        <f>+MAX($A$1:A8)+1</f>
        <v>1</v>
      </c>
      <c r="B9" s="65" t="s">
        <v>733</v>
      </c>
      <c r="C9" s="65" t="s">
        <v>680</v>
      </c>
      <c r="D9" t="s">
        <v>163</v>
      </c>
      <c r="E9" s="28">
        <v>5000</v>
      </c>
      <c r="F9" s="13">
        <v>4861.7250000000004</v>
      </c>
      <c r="G9" s="14">
        <f>+ROUND(F9/VLOOKUP("Grand Total",$B$4:$F$287,5,0),4)</f>
        <v>6.6199999999999995E-2</v>
      </c>
      <c r="H9" s="15">
        <v>43250</v>
      </c>
      <c r="I9" s="99"/>
      <c r="J9" s="14" t="s">
        <v>369</v>
      </c>
      <c r="K9" s="48">
        <f t="shared" ref="K9:K25" si="0">SUMIFS($G$5:$G$320,$D$5:$D$320,J9)</f>
        <v>0.1386</v>
      </c>
      <c r="M9" s="14"/>
      <c r="N9" s="36"/>
      <c r="P9" s="14"/>
    </row>
    <row r="10" spans="1:16" ht="12.75" customHeight="1" x14ac:dyDescent="0.2">
      <c r="A10">
        <f>+MAX($A$1:A9)+1</f>
        <v>2</v>
      </c>
      <c r="B10" s="65" t="s">
        <v>197</v>
      </c>
      <c r="C10" s="65" t="s">
        <v>591</v>
      </c>
      <c r="D10" t="s">
        <v>295</v>
      </c>
      <c r="E10" s="28">
        <v>4840</v>
      </c>
      <c r="F10" s="13">
        <v>4693.5996800000003</v>
      </c>
      <c r="G10" s="14">
        <f>+ROUND(F10/VLOOKUP("Grand Total",$B$4:$F$287,5,0),4)</f>
        <v>6.3899999999999998E-2</v>
      </c>
      <c r="H10" s="15">
        <v>43264</v>
      </c>
      <c r="I10" s="99"/>
      <c r="J10" s="14" t="s">
        <v>163</v>
      </c>
      <c r="K10" s="48">
        <f t="shared" si="0"/>
        <v>0.13120000000000001</v>
      </c>
      <c r="M10" s="14"/>
      <c r="N10" s="36"/>
      <c r="P10" s="14"/>
    </row>
    <row r="11" spans="1:16" ht="12.75" customHeight="1" x14ac:dyDescent="0.2">
      <c r="A11">
        <f>+MAX($A$1:A10)+1</f>
        <v>3</v>
      </c>
      <c r="B11" s="65" t="s">
        <v>734</v>
      </c>
      <c r="C11" s="65" t="s">
        <v>681</v>
      </c>
      <c r="D11" t="s">
        <v>163</v>
      </c>
      <c r="E11" s="28">
        <v>5000</v>
      </c>
      <c r="F11" s="13">
        <v>4687.8249999999998</v>
      </c>
      <c r="G11" s="14">
        <f>+ROUND(F11/VLOOKUP("Grand Total",$B$4:$F$287,5,0),4)</f>
        <v>6.3799999999999996E-2</v>
      </c>
      <c r="H11" s="15">
        <v>43445</v>
      </c>
      <c r="I11" s="99"/>
      <c r="J11" s="14" t="s">
        <v>295</v>
      </c>
      <c r="K11" s="48">
        <f t="shared" si="0"/>
        <v>9.2699999999999991E-2</v>
      </c>
      <c r="M11" s="14"/>
      <c r="N11" s="36"/>
      <c r="P11" s="14"/>
    </row>
    <row r="12" spans="1:16" ht="12.75" customHeight="1" x14ac:dyDescent="0.2">
      <c r="B12" s="18" t="s">
        <v>86</v>
      </c>
      <c r="C12" s="18"/>
      <c r="D12" s="18"/>
      <c r="E12" s="29"/>
      <c r="F12" s="19">
        <f>SUM(F9:F11)</f>
        <v>14243.149680000002</v>
      </c>
      <c r="G12" s="20">
        <f>SUM(G9:G11)</f>
        <v>0.19389999999999999</v>
      </c>
      <c r="H12" s="21"/>
      <c r="J12" s="14" t="s">
        <v>109</v>
      </c>
      <c r="K12" s="48">
        <f t="shared" si="0"/>
        <v>6.8000000000000005E-2</v>
      </c>
      <c r="M12" s="14"/>
      <c r="N12" s="36"/>
      <c r="P12" s="14"/>
    </row>
    <row r="13" spans="1:16" ht="12.75" customHeight="1" x14ac:dyDescent="0.2">
      <c r="B13" s="16"/>
      <c r="C13" s="16"/>
      <c r="F13" s="13"/>
      <c r="G13" s="14"/>
      <c r="H13" s="15"/>
      <c r="J13" s="14" t="s">
        <v>297</v>
      </c>
      <c r="K13" s="48">
        <f t="shared" si="0"/>
        <v>6.5299999999999997E-2</v>
      </c>
      <c r="M13" s="14"/>
    </row>
    <row r="14" spans="1:16" ht="12.75" customHeight="1" x14ac:dyDescent="0.2">
      <c r="B14" s="16" t="s">
        <v>312</v>
      </c>
      <c r="C14" s="16"/>
      <c r="F14" s="13"/>
      <c r="G14" s="14"/>
      <c r="H14" s="15"/>
      <c r="J14" s="14" t="s">
        <v>375</v>
      </c>
      <c r="K14" s="48">
        <f t="shared" si="0"/>
        <v>5.62E-2</v>
      </c>
      <c r="M14" s="14"/>
    </row>
    <row r="15" spans="1:16" ht="12.75" customHeight="1" x14ac:dyDescent="0.2">
      <c r="A15">
        <f>+MAX($A$1:A14)+1</f>
        <v>4</v>
      </c>
      <c r="B15" t="s">
        <v>200</v>
      </c>
      <c r="C15" t="s">
        <v>592</v>
      </c>
      <c r="D15" t="s">
        <v>164</v>
      </c>
      <c r="E15" s="28">
        <v>500</v>
      </c>
      <c r="F15" s="13">
        <v>2397.06</v>
      </c>
      <c r="G15" s="14">
        <f t="shared" ref="G15:G23" si="1">+ROUND(F15/VLOOKUP("Grand Total",$B$4:$F$287,5,0),4)</f>
        <v>3.2599999999999997E-2</v>
      </c>
      <c r="H15" s="15">
        <v>43308</v>
      </c>
      <c r="I15" s="99"/>
      <c r="J15" s="14" t="s">
        <v>465</v>
      </c>
      <c r="K15" s="48">
        <f t="shared" si="0"/>
        <v>5.4199999999999998E-2</v>
      </c>
      <c r="M15" s="14"/>
    </row>
    <row r="16" spans="1:16" ht="12.75" customHeight="1" x14ac:dyDescent="0.2">
      <c r="A16">
        <f>+MAX($A$1:A15)+1</f>
        <v>5</v>
      </c>
      <c r="B16" t="s">
        <v>296</v>
      </c>
      <c r="C16" t="s">
        <v>641</v>
      </c>
      <c r="D16" t="s">
        <v>610</v>
      </c>
      <c r="E16" s="28">
        <v>440</v>
      </c>
      <c r="F16" s="13">
        <v>2040.2360000000001</v>
      </c>
      <c r="G16" s="14">
        <f t="shared" si="1"/>
        <v>2.7799999999999998E-2</v>
      </c>
      <c r="H16" s="15">
        <v>43430</v>
      </c>
      <c r="I16" s="99"/>
      <c r="J16" s="14" t="s">
        <v>595</v>
      </c>
      <c r="K16" s="48">
        <f t="shared" si="0"/>
        <v>5.3800000000000001E-2</v>
      </c>
      <c r="M16" s="14"/>
      <c r="N16" s="36"/>
      <c r="O16" s="14"/>
    </row>
    <row r="17" spans="1:16" ht="12.75" customHeight="1" x14ac:dyDescent="0.2">
      <c r="A17">
        <f>+MAX($A$1:A16)+1</f>
        <v>6</v>
      </c>
      <c r="B17" t="s">
        <v>594</v>
      </c>
      <c r="C17" t="s">
        <v>642</v>
      </c>
      <c r="D17" t="s">
        <v>595</v>
      </c>
      <c r="E17" s="28">
        <v>400</v>
      </c>
      <c r="F17" s="13">
        <v>1983.0319999999999</v>
      </c>
      <c r="G17" s="14">
        <f t="shared" si="1"/>
        <v>2.7E-2</v>
      </c>
      <c r="H17" s="15">
        <v>43129</v>
      </c>
      <c r="I17" s="99"/>
      <c r="J17" s="14" t="s">
        <v>610</v>
      </c>
      <c r="K17" s="48">
        <f t="shared" si="0"/>
        <v>5.33E-2</v>
      </c>
      <c r="M17" s="14"/>
      <c r="N17" s="36"/>
      <c r="O17" s="14"/>
    </row>
    <row r="18" spans="1:16" ht="12.75" customHeight="1" x14ac:dyDescent="0.2">
      <c r="A18">
        <f>+MAX($A$1:A17)+1</f>
        <v>7</v>
      </c>
      <c r="B18" t="s">
        <v>594</v>
      </c>
      <c r="C18" t="s">
        <v>682</v>
      </c>
      <c r="D18" t="s">
        <v>595</v>
      </c>
      <c r="E18" s="28">
        <v>400</v>
      </c>
      <c r="F18" s="13">
        <v>1966.942</v>
      </c>
      <c r="G18" s="14">
        <f t="shared" si="1"/>
        <v>2.6800000000000001E-2</v>
      </c>
      <c r="H18" s="15">
        <v>43158</v>
      </c>
      <c r="I18" s="99"/>
      <c r="J18" s="14" t="s">
        <v>176</v>
      </c>
      <c r="K18" s="48">
        <f t="shared" si="0"/>
        <v>4.6899999999999997E-2</v>
      </c>
      <c r="M18" s="14"/>
      <c r="N18" s="36"/>
      <c r="O18" s="14"/>
      <c r="P18" s="14"/>
    </row>
    <row r="19" spans="1:16" ht="12.75" customHeight="1" x14ac:dyDescent="0.2">
      <c r="A19">
        <f>+MAX($A$1:A18)+1</f>
        <v>8</v>
      </c>
      <c r="B19" s="65" t="s">
        <v>205</v>
      </c>
      <c r="C19" t="s">
        <v>561</v>
      </c>
      <c r="D19" t="s">
        <v>295</v>
      </c>
      <c r="E19" s="28">
        <v>360</v>
      </c>
      <c r="F19" s="13">
        <v>1736.6489999999999</v>
      </c>
      <c r="G19" s="14">
        <f t="shared" si="1"/>
        <v>2.3599999999999999E-2</v>
      </c>
      <c r="H19" s="15">
        <v>43269</v>
      </c>
      <c r="I19" s="99"/>
      <c r="J19" s="14" t="s">
        <v>796</v>
      </c>
      <c r="K19" s="48">
        <f t="shared" si="0"/>
        <v>3.4000000000000002E-2</v>
      </c>
      <c r="M19" s="14"/>
      <c r="N19" s="36"/>
      <c r="O19" s="14"/>
      <c r="P19" s="14"/>
    </row>
    <row r="20" spans="1:16" ht="12.75" customHeight="1" x14ac:dyDescent="0.2">
      <c r="A20">
        <f>+MAX($A$1:A19)+1</f>
        <v>9</v>
      </c>
      <c r="B20" t="s">
        <v>296</v>
      </c>
      <c r="C20" t="s">
        <v>634</v>
      </c>
      <c r="D20" t="s">
        <v>610</v>
      </c>
      <c r="E20" s="28">
        <v>300</v>
      </c>
      <c r="F20" s="13">
        <v>1484.3534999999999</v>
      </c>
      <c r="G20" s="14">
        <f t="shared" si="1"/>
        <v>2.0199999999999999E-2</v>
      </c>
      <c r="H20" s="15">
        <v>43152</v>
      </c>
      <c r="I20" s="99"/>
      <c r="J20" s="14" t="s">
        <v>559</v>
      </c>
      <c r="K20" s="48">
        <f t="shared" si="0"/>
        <v>3.32E-2</v>
      </c>
      <c r="M20" s="14"/>
      <c r="N20" s="36"/>
      <c r="O20" s="14"/>
      <c r="P20" s="14"/>
    </row>
    <row r="21" spans="1:16" ht="12.75" customHeight="1" x14ac:dyDescent="0.2">
      <c r="A21">
        <f>+MAX($A$1:A20)+1</f>
        <v>10</v>
      </c>
      <c r="B21" t="s">
        <v>296</v>
      </c>
      <c r="C21" t="s">
        <v>590</v>
      </c>
      <c r="D21" t="s">
        <v>610</v>
      </c>
      <c r="E21" s="28">
        <v>82</v>
      </c>
      <c r="F21" s="13">
        <v>387.16955999999999</v>
      </c>
      <c r="G21" s="14">
        <f t="shared" si="1"/>
        <v>5.3E-3</v>
      </c>
      <c r="H21" s="15">
        <v>43350</v>
      </c>
      <c r="I21" s="99"/>
      <c r="J21" s="14" t="s">
        <v>164</v>
      </c>
      <c r="K21" s="48">
        <f t="shared" si="0"/>
        <v>3.2599999999999997E-2</v>
      </c>
      <c r="M21" s="14"/>
      <c r="N21" s="36"/>
      <c r="O21" s="14"/>
      <c r="P21" s="14"/>
    </row>
    <row r="22" spans="1:16" ht="12.75" customHeight="1" x14ac:dyDescent="0.2">
      <c r="A22">
        <f>+MAX($A$1:A21)+1</f>
        <v>11</v>
      </c>
      <c r="B22" t="s">
        <v>611</v>
      </c>
      <c r="C22" t="s">
        <v>612</v>
      </c>
      <c r="D22" t="s">
        <v>295</v>
      </c>
      <c r="E22" s="28">
        <v>80</v>
      </c>
      <c r="F22" s="13">
        <v>385.6952</v>
      </c>
      <c r="G22" s="14">
        <f t="shared" si="1"/>
        <v>5.1999999999999998E-3</v>
      </c>
      <c r="H22" s="15">
        <v>43265</v>
      </c>
      <c r="I22" s="99"/>
      <c r="J22" s="14" t="s">
        <v>510</v>
      </c>
      <c r="K22" s="48">
        <f t="shared" si="0"/>
        <v>2.46E-2</v>
      </c>
      <c r="M22" s="14"/>
      <c r="N22" s="36"/>
      <c r="O22" s="14"/>
      <c r="P22" s="14"/>
    </row>
    <row r="23" spans="1:16" ht="12.75" customHeight="1" x14ac:dyDescent="0.2">
      <c r="A23">
        <f>+MAX($A$1:A22)+1</f>
        <v>12</v>
      </c>
      <c r="B23" t="s">
        <v>355</v>
      </c>
      <c r="C23" t="s">
        <v>562</v>
      </c>
      <c r="D23" t="s">
        <v>163</v>
      </c>
      <c r="E23" s="28">
        <v>18</v>
      </c>
      <c r="F23" s="13">
        <v>86.803380000000004</v>
      </c>
      <c r="G23" s="14">
        <f t="shared" si="1"/>
        <v>1.1999999999999999E-3</v>
      </c>
      <c r="H23" s="15">
        <v>43273</v>
      </c>
      <c r="I23" s="99"/>
      <c r="J23" s="14" t="s">
        <v>298</v>
      </c>
      <c r="K23" s="48">
        <f t="shared" si="0"/>
        <v>1.9300000000000001E-2</v>
      </c>
      <c r="M23" s="14"/>
      <c r="N23" s="36"/>
      <c r="O23" s="14"/>
      <c r="P23" s="14"/>
    </row>
    <row r="24" spans="1:16" ht="12.75" customHeight="1" x14ac:dyDescent="0.2">
      <c r="B24" s="18" t="s">
        <v>86</v>
      </c>
      <c r="C24" s="18"/>
      <c r="D24" s="18"/>
      <c r="E24" s="29"/>
      <c r="F24" s="19">
        <f>SUM(F15:F23)</f>
        <v>12467.940639999999</v>
      </c>
      <c r="G24" s="20">
        <f>SUM(G15:G23)</f>
        <v>0.16970000000000002</v>
      </c>
      <c r="H24" s="21"/>
      <c r="J24" s="14" t="s">
        <v>564</v>
      </c>
      <c r="K24" s="48">
        <f t="shared" si="0"/>
        <v>1.3599999999999999E-2</v>
      </c>
      <c r="L24" s="54"/>
      <c r="N24" s="36"/>
      <c r="O24" s="14"/>
      <c r="P24" s="14"/>
    </row>
    <row r="25" spans="1:16" ht="12.75" customHeight="1" x14ac:dyDescent="0.2">
      <c r="F25" s="13"/>
      <c r="G25" s="14"/>
      <c r="H25" s="15"/>
      <c r="J25" s="14" t="s">
        <v>413</v>
      </c>
      <c r="K25" s="48">
        <f t="shared" si="0"/>
        <v>8.4999999999999989E-3</v>
      </c>
      <c r="M25" s="90"/>
      <c r="N25" s="36"/>
      <c r="O25" s="14"/>
      <c r="P25" s="14"/>
    </row>
    <row r="26" spans="1:16" ht="12.75" customHeight="1" x14ac:dyDescent="0.2">
      <c r="B26" s="16" t="s">
        <v>170</v>
      </c>
      <c r="C26" s="16"/>
      <c r="F26" s="13"/>
      <c r="G26" s="14"/>
      <c r="H26" s="15"/>
      <c r="I26" s="35"/>
      <c r="J26" s="14" t="s">
        <v>64</v>
      </c>
      <c r="K26" s="48">
        <f>+SUMIFS($G$5:$G$1000,$B$5:$B$1000,"CBLO / Reverse Repo Investments")+SUMIFS($G$5:$G$1000,$B$5:$B$1000,"Net Receivable/Payable")</f>
        <v>7.3999999999999996E-2</v>
      </c>
      <c r="M26" s="14"/>
      <c r="N26" s="36"/>
      <c r="O26" s="14"/>
      <c r="P26" s="14"/>
    </row>
    <row r="27" spans="1:16" ht="12.75" customHeight="1" x14ac:dyDescent="0.2">
      <c r="A27">
        <f>+MAX($A$1:A26)+1</f>
        <v>13</v>
      </c>
      <c r="B27" s="65" t="s">
        <v>635</v>
      </c>
      <c r="C27" t="s">
        <v>636</v>
      </c>
      <c r="D27" t="s">
        <v>413</v>
      </c>
      <c r="E27" s="28">
        <v>357000</v>
      </c>
      <c r="F27" s="13">
        <v>352.676016</v>
      </c>
      <c r="G27" s="14">
        <f>+ROUND(F27/VLOOKUP("Grand Total",$B$4:$F$287,5,0),4)</f>
        <v>4.7999999999999996E-3</v>
      </c>
      <c r="H27" s="15">
        <v>43172</v>
      </c>
      <c r="I27" s="99"/>
      <c r="J27" s="14"/>
      <c r="K27" s="48"/>
      <c r="N27" s="36"/>
      <c r="O27" s="14"/>
      <c r="P27" s="14"/>
    </row>
    <row r="28" spans="1:16" ht="12.75" customHeight="1" x14ac:dyDescent="0.2">
      <c r="A28">
        <f>+MAX($A$1:A27)+1</f>
        <v>14</v>
      </c>
      <c r="B28" s="65" t="s">
        <v>613</v>
      </c>
      <c r="C28" t="s">
        <v>614</v>
      </c>
      <c r="D28" t="s">
        <v>413</v>
      </c>
      <c r="E28" s="28">
        <v>249600</v>
      </c>
      <c r="F28" s="13">
        <v>248.85719039999998</v>
      </c>
      <c r="G28" s="14">
        <f>+ROUND(F28/VLOOKUP("Grand Total",$B$4:$F$287,5,0),4)</f>
        <v>3.3999999999999998E-3</v>
      </c>
      <c r="H28" s="15">
        <v>43117</v>
      </c>
      <c r="I28" s="99"/>
      <c r="J28" s="14"/>
      <c r="K28" s="48"/>
      <c r="N28" s="36"/>
      <c r="O28" s="14"/>
      <c r="P28" s="14"/>
    </row>
    <row r="29" spans="1:16" ht="12.75" customHeight="1" x14ac:dyDescent="0.2">
      <c r="A29">
        <f>+MAX($A$1:A28)+1</f>
        <v>15</v>
      </c>
      <c r="B29" s="65" t="s">
        <v>613</v>
      </c>
      <c r="C29" t="s">
        <v>643</v>
      </c>
      <c r="D29" t="s">
        <v>413</v>
      </c>
      <c r="E29" s="28">
        <v>20600</v>
      </c>
      <c r="F29" s="13">
        <v>20.4639782</v>
      </c>
      <c r="G29" s="14">
        <f>+ROUND(F29/VLOOKUP("Grand Total",$B$4:$F$287,5,0),4)</f>
        <v>2.9999999999999997E-4</v>
      </c>
      <c r="H29" s="15">
        <v>43139</v>
      </c>
      <c r="I29" s="99"/>
      <c r="J29" s="14"/>
      <c r="K29" s="48"/>
      <c r="N29" s="36"/>
      <c r="O29" s="14"/>
      <c r="P29" s="14"/>
    </row>
    <row r="30" spans="1:16" ht="12.75" customHeight="1" x14ac:dyDescent="0.2">
      <c r="B30" s="18" t="s">
        <v>86</v>
      </c>
      <c r="C30" s="18"/>
      <c r="D30" s="18"/>
      <c r="E30" s="29"/>
      <c r="F30" s="19">
        <f>SUM(F27:F29)</f>
        <v>621.99718459999997</v>
      </c>
      <c r="G30" s="20">
        <f>SUM(G27:G29)</f>
        <v>8.4999999999999989E-3</v>
      </c>
      <c r="H30" s="21"/>
      <c r="L30" s="54"/>
      <c r="M30" s="14"/>
      <c r="N30" s="36"/>
      <c r="O30" s="14"/>
      <c r="P30" s="14"/>
    </row>
    <row r="31" spans="1:16" ht="12.75" customHeight="1" x14ac:dyDescent="0.2">
      <c r="F31" s="13"/>
      <c r="G31" s="14"/>
      <c r="H31" s="15"/>
      <c r="J31" s="14"/>
      <c r="K31" s="48"/>
      <c r="M31" s="90"/>
      <c r="N31" s="36"/>
      <c r="O31" s="14"/>
      <c r="P31" s="14"/>
    </row>
    <row r="32" spans="1:16" ht="12.75" customHeight="1" x14ac:dyDescent="0.2">
      <c r="B32" s="16" t="s">
        <v>126</v>
      </c>
      <c r="C32" s="16"/>
      <c r="F32" s="13"/>
      <c r="G32" s="14"/>
      <c r="H32" s="15"/>
      <c r="I32" s="35"/>
      <c r="N32" s="36"/>
      <c r="P32" s="14"/>
    </row>
    <row r="33" spans="1:16" ht="12.75" customHeight="1" x14ac:dyDescent="0.2">
      <c r="B33" s="31" t="s">
        <v>311</v>
      </c>
      <c r="C33" s="16"/>
      <c r="F33" s="13"/>
      <c r="G33" s="14"/>
      <c r="H33" s="15"/>
      <c r="N33" s="36"/>
      <c r="P33" s="14"/>
    </row>
    <row r="34" spans="1:16" ht="12.75" customHeight="1" x14ac:dyDescent="0.2">
      <c r="A34">
        <f>+MAX($A$1:A33)+1</f>
        <v>16</v>
      </c>
      <c r="B34" t="s">
        <v>683</v>
      </c>
      <c r="C34" t="s">
        <v>405</v>
      </c>
      <c r="D34" t="s">
        <v>369</v>
      </c>
      <c r="E34" s="28">
        <v>500</v>
      </c>
      <c r="F34" s="13">
        <v>5049.5249999999996</v>
      </c>
      <c r="G34" s="14">
        <f t="shared" ref="G34:G50" si="2">+ROUND(F34/VLOOKUP("Grand Total",$B$4:$F$287,5,0),4)</f>
        <v>6.8699999999999997E-2</v>
      </c>
      <c r="H34" s="15">
        <v>43892</v>
      </c>
      <c r="I34" s="99"/>
    </row>
    <row r="35" spans="1:16" s="65" customFormat="1" ht="12.75" customHeight="1" x14ac:dyDescent="0.2">
      <c r="A35">
        <f>+MAX($A$1:A34)+1</f>
        <v>17</v>
      </c>
      <c r="B35" s="65" t="s">
        <v>508</v>
      </c>
      <c r="C35" s="65" t="s">
        <v>509</v>
      </c>
      <c r="D35" s="65" t="s">
        <v>297</v>
      </c>
      <c r="E35" s="85">
        <v>480</v>
      </c>
      <c r="F35" s="86">
        <v>4797.5136000000002</v>
      </c>
      <c r="G35" s="90">
        <f t="shared" si="2"/>
        <v>6.5299999999999997E-2</v>
      </c>
      <c r="H35" s="89">
        <v>43630</v>
      </c>
      <c r="I35" s="99"/>
      <c r="N35" s="84"/>
      <c r="P35" s="90"/>
    </row>
    <row r="36" spans="1:16" ht="12.75" customHeight="1" x14ac:dyDescent="0.2">
      <c r="A36">
        <f>+MAX($A$1:A35)+1</f>
        <v>18</v>
      </c>
      <c r="B36" s="65" t="s">
        <v>684</v>
      </c>
      <c r="C36" t="s">
        <v>463</v>
      </c>
      <c r="D36" t="s">
        <v>109</v>
      </c>
      <c r="E36" s="28">
        <v>250</v>
      </c>
      <c r="F36" s="13">
        <v>2510.4974999999999</v>
      </c>
      <c r="G36" s="14">
        <f t="shared" si="2"/>
        <v>3.4200000000000001E-2</v>
      </c>
      <c r="H36" s="15">
        <v>43431</v>
      </c>
      <c r="I36" s="99"/>
      <c r="N36" s="36"/>
      <c r="P36" s="14"/>
    </row>
    <row r="37" spans="1:16" ht="12.75" customHeight="1" x14ac:dyDescent="0.2">
      <c r="A37">
        <f>+MAX($A$1:A36)+1</f>
        <v>19</v>
      </c>
      <c r="B37" t="s">
        <v>685</v>
      </c>
      <c r="C37" s="65" t="s">
        <v>484</v>
      </c>
      <c r="D37" s="65" t="s">
        <v>796</v>
      </c>
      <c r="E37" s="85">
        <v>250</v>
      </c>
      <c r="F37" s="86">
        <v>2499.9524999999999</v>
      </c>
      <c r="G37" s="90">
        <f t="shared" si="2"/>
        <v>3.4000000000000002E-2</v>
      </c>
      <c r="H37" s="15">
        <v>43105</v>
      </c>
      <c r="I37" s="99"/>
    </row>
    <row r="38" spans="1:16" ht="12.75" customHeight="1" x14ac:dyDescent="0.2">
      <c r="A38">
        <f>+MAX($A$1:A37)+1</f>
        <v>20</v>
      </c>
      <c r="B38" s="65" t="s">
        <v>686</v>
      </c>
      <c r="C38" t="s">
        <v>615</v>
      </c>
      <c r="D38" t="s">
        <v>109</v>
      </c>
      <c r="E38" s="28">
        <v>25</v>
      </c>
      <c r="F38" s="13">
        <v>2484.1275000000001</v>
      </c>
      <c r="G38" s="14">
        <f t="shared" si="2"/>
        <v>3.3799999999999997E-2</v>
      </c>
      <c r="H38" s="15">
        <v>43787</v>
      </c>
      <c r="I38" s="99"/>
      <c r="N38" s="36"/>
      <c r="P38" s="14"/>
    </row>
    <row r="39" spans="1:16" ht="12.75" customHeight="1" x14ac:dyDescent="0.2">
      <c r="A39">
        <f>+MAX($A$1:A38)+1</f>
        <v>21</v>
      </c>
      <c r="B39" s="65" t="s">
        <v>558</v>
      </c>
      <c r="C39" t="s">
        <v>535</v>
      </c>
      <c r="D39" t="s">
        <v>465</v>
      </c>
      <c r="E39" s="28">
        <v>250</v>
      </c>
      <c r="F39" s="13">
        <v>2483.4850000000001</v>
      </c>
      <c r="G39" s="14">
        <f t="shared" si="2"/>
        <v>3.3799999999999997E-2</v>
      </c>
      <c r="H39" s="15">
        <v>43671</v>
      </c>
      <c r="I39" s="99"/>
      <c r="N39" s="36"/>
      <c r="P39" s="14"/>
    </row>
    <row r="40" spans="1:16" ht="12.75" customHeight="1" x14ac:dyDescent="0.2">
      <c r="A40">
        <f>+MAX($A$1:A39)+1</f>
        <v>22</v>
      </c>
      <c r="B40" s="65" t="s">
        <v>466</v>
      </c>
      <c r="C40" t="s">
        <v>433</v>
      </c>
      <c r="D40" t="s">
        <v>369</v>
      </c>
      <c r="E40" s="28">
        <v>243000</v>
      </c>
      <c r="F40" s="13">
        <v>2454.6280499999998</v>
      </c>
      <c r="G40" s="14">
        <f t="shared" si="2"/>
        <v>3.3399999999999999E-2</v>
      </c>
      <c r="H40" s="15">
        <v>43717</v>
      </c>
      <c r="I40" s="99"/>
    </row>
    <row r="41" spans="1:16" ht="12.75" customHeight="1" x14ac:dyDescent="0.2">
      <c r="A41">
        <f>+MAX($A$1:A40)+1</f>
        <v>23</v>
      </c>
      <c r="B41" s="65" t="s">
        <v>357</v>
      </c>
      <c r="C41" t="s">
        <v>358</v>
      </c>
      <c r="D41" t="s">
        <v>559</v>
      </c>
      <c r="E41" s="28">
        <v>242</v>
      </c>
      <c r="F41" s="13">
        <v>2437.1457</v>
      </c>
      <c r="G41" s="14">
        <f t="shared" si="2"/>
        <v>3.32E-2</v>
      </c>
      <c r="H41" s="15">
        <v>43309</v>
      </c>
      <c r="I41" s="99"/>
    </row>
    <row r="42" spans="1:16" ht="12.75" customHeight="1" x14ac:dyDescent="0.2">
      <c r="A42">
        <f>+MAX($A$1:A41)+1</f>
        <v>24</v>
      </c>
      <c r="B42" t="s">
        <v>616</v>
      </c>
      <c r="C42" t="s">
        <v>359</v>
      </c>
      <c r="D42" t="s">
        <v>176</v>
      </c>
      <c r="E42" s="28">
        <v>235</v>
      </c>
      <c r="F42" s="13">
        <v>2356.5988000000002</v>
      </c>
      <c r="G42" s="14">
        <f t="shared" si="2"/>
        <v>3.2099999999999997E-2</v>
      </c>
      <c r="H42" s="15">
        <v>43299</v>
      </c>
      <c r="I42" s="99"/>
    </row>
    <row r="43" spans="1:16" ht="12.75" customHeight="1" x14ac:dyDescent="0.2">
      <c r="A43">
        <f>+MAX($A$1:A42)+1</f>
        <v>25</v>
      </c>
      <c r="B43" s="65" t="s">
        <v>563</v>
      </c>
      <c r="C43" t="s">
        <v>539</v>
      </c>
      <c r="D43" t="s">
        <v>510</v>
      </c>
      <c r="E43" s="28">
        <v>182</v>
      </c>
      <c r="F43" s="13">
        <v>1805.35628</v>
      </c>
      <c r="G43" s="14">
        <f t="shared" si="2"/>
        <v>2.46E-2</v>
      </c>
      <c r="H43" s="15">
        <v>44026</v>
      </c>
      <c r="I43" s="99"/>
    </row>
    <row r="44" spans="1:16" ht="12.75" customHeight="1" x14ac:dyDescent="0.2">
      <c r="A44">
        <f>+MAX($A$1:A43)+1</f>
        <v>26</v>
      </c>
      <c r="B44" t="s">
        <v>687</v>
      </c>
      <c r="C44" t="s">
        <v>464</v>
      </c>
      <c r="D44" t="s">
        <v>465</v>
      </c>
      <c r="E44" s="28">
        <v>150000</v>
      </c>
      <c r="F44" s="13">
        <v>1499.1434999999999</v>
      </c>
      <c r="G44" s="14">
        <f t="shared" si="2"/>
        <v>2.0400000000000001E-2</v>
      </c>
      <c r="H44" s="15">
        <v>43579</v>
      </c>
      <c r="I44" s="99"/>
    </row>
    <row r="45" spans="1:16" ht="12.75" customHeight="1" x14ac:dyDescent="0.2">
      <c r="A45">
        <f>+MAX($A$1:A44)+1</f>
        <v>27</v>
      </c>
      <c r="B45" s="65" t="s">
        <v>688</v>
      </c>
      <c r="C45" t="s">
        <v>340</v>
      </c>
      <c r="D45" t="s">
        <v>298</v>
      </c>
      <c r="E45" s="28">
        <v>140</v>
      </c>
      <c r="F45" s="13">
        <v>1421.2338</v>
      </c>
      <c r="G45" s="14">
        <f t="shared" si="2"/>
        <v>1.9300000000000001E-2</v>
      </c>
      <c r="H45" s="15">
        <v>43621</v>
      </c>
      <c r="I45" s="99"/>
    </row>
    <row r="46" spans="1:16" ht="12.75" customHeight="1" x14ac:dyDescent="0.2">
      <c r="A46">
        <f>+MAX($A$1:A45)+1</f>
        <v>28</v>
      </c>
      <c r="B46" s="65" t="s">
        <v>689</v>
      </c>
      <c r="C46" t="s">
        <v>440</v>
      </c>
      <c r="D46" t="s">
        <v>176</v>
      </c>
      <c r="E46" s="28">
        <v>110</v>
      </c>
      <c r="F46" s="13">
        <v>1085.3458000000001</v>
      </c>
      <c r="G46" s="14">
        <f t="shared" si="2"/>
        <v>1.4800000000000001E-2</v>
      </c>
      <c r="H46" s="15">
        <v>44489</v>
      </c>
      <c r="I46" s="99"/>
    </row>
    <row r="47" spans="1:16" ht="12.75" customHeight="1" x14ac:dyDescent="0.2">
      <c r="A47">
        <f>+MAX($A$1:A46)+1</f>
        <v>29</v>
      </c>
      <c r="B47" s="65" t="s">
        <v>690</v>
      </c>
      <c r="C47" t="s">
        <v>596</v>
      </c>
      <c r="D47" t="s">
        <v>369</v>
      </c>
      <c r="E47" s="28">
        <v>100</v>
      </c>
      <c r="F47" s="13">
        <v>1010.668</v>
      </c>
      <c r="G47" s="14">
        <f t="shared" si="2"/>
        <v>1.38E-2</v>
      </c>
      <c r="H47" s="15">
        <v>43903</v>
      </c>
      <c r="I47" s="99"/>
    </row>
    <row r="48" spans="1:16" ht="12.75" customHeight="1" x14ac:dyDescent="0.2">
      <c r="A48">
        <f>+MAX($A$1:A47)+1</f>
        <v>30</v>
      </c>
      <c r="B48" s="65" t="s">
        <v>373</v>
      </c>
      <c r="C48" t="s">
        <v>374</v>
      </c>
      <c r="D48" t="s">
        <v>564</v>
      </c>
      <c r="E48" s="28">
        <v>100</v>
      </c>
      <c r="F48" s="13">
        <v>1003.074</v>
      </c>
      <c r="G48" s="14">
        <f t="shared" si="2"/>
        <v>1.3599999999999999E-2</v>
      </c>
      <c r="H48" s="15">
        <v>43132</v>
      </c>
      <c r="I48" s="99"/>
    </row>
    <row r="49" spans="1:16" ht="12.75" customHeight="1" x14ac:dyDescent="0.2">
      <c r="A49">
        <f>+MAX($A$1:A48)+1</f>
        <v>31</v>
      </c>
      <c r="B49" s="65" t="s">
        <v>431</v>
      </c>
      <c r="C49" t="s">
        <v>432</v>
      </c>
      <c r="D49" t="s">
        <v>369</v>
      </c>
      <c r="E49" s="28">
        <v>92</v>
      </c>
      <c r="F49" s="13">
        <v>924.05444</v>
      </c>
      <c r="G49" s="14">
        <f t="shared" si="2"/>
        <v>1.26E-2</v>
      </c>
      <c r="H49" s="15">
        <v>43322</v>
      </c>
      <c r="I49" s="99"/>
    </row>
    <row r="50" spans="1:16" ht="12.75" customHeight="1" x14ac:dyDescent="0.2">
      <c r="A50">
        <f>+MAX($A$1:A49)+1</f>
        <v>32</v>
      </c>
      <c r="B50" s="65" t="s">
        <v>367</v>
      </c>
      <c r="C50" t="s">
        <v>370</v>
      </c>
      <c r="D50" t="s">
        <v>369</v>
      </c>
      <c r="E50" s="28">
        <v>74</v>
      </c>
      <c r="F50" s="13">
        <v>742.45309999999995</v>
      </c>
      <c r="G50" s="14">
        <f t="shared" si="2"/>
        <v>1.01E-2</v>
      </c>
      <c r="H50" s="15">
        <v>43175</v>
      </c>
      <c r="I50" s="99"/>
    </row>
    <row r="51" spans="1:16" ht="12.75" customHeight="1" x14ac:dyDescent="0.2">
      <c r="B51" s="18" t="s">
        <v>86</v>
      </c>
      <c r="C51" s="18"/>
      <c r="D51" s="18"/>
      <c r="E51" s="29"/>
      <c r="F51" s="19">
        <f>SUM(F34:F50)</f>
        <v>36564.80257</v>
      </c>
      <c r="G51" s="20">
        <f>SUM(G34:G50)</f>
        <v>0.49770000000000003</v>
      </c>
      <c r="H51" s="21"/>
      <c r="J51" s="52"/>
      <c r="K51"/>
    </row>
    <row r="52" spans="1:16" ht="12.75" customHeight="1" x14ac:dyDescent="0.2">
      <c r="F52" s="13"/>
      <c r="G52" s="14"/>
      <c r="H52" s="15"/>
      <c r="M52" s="90"/>
      <c r="N52" s="36"/>
      <c r="O52" s="14"/>
      <c r="P52" s="14"/>
    </row>
    <row r="53" spans="1:16" ht="12.75" customHeight="1" x14ac:dyDescent="0.2">
      <c r="B53" s="16" t="s">
        <v>572</v>
      </c>
      <c r="C53" s="16"/>
      <c r="F53" s="13"/>
      <c r="G53" s="14"/>
      <c r="H53" s="15"/>
      <c r="I53" s="35"/>
      <c r="J53" s="14"/>
      <c r="M53" s="14"/>
      <c r="N53" s="36"/>
      <c r="O53" s="14"/>
      <c r="P53" s="14"/>
    </row>
    <row r="54" spans="1:16" ht="12.75" customHeight="1" x14ac:dyDescent="0.2">
      <c r="A54">
        <f>+MAX($A$1:A53)+1</f>
        <v>33</v>
      </c>
      <c r="B54" s="65" t="s">
        <v>565</v>
      </c>
      <c r="C54" t="s">
        <v>566</v>
      </c>
      <c r="D54" t="s">
        <v>375</v>
      </c>
      <c r="E54" s="28">
        <v>400</v>
      </c>
      <c r="F54" s="13">
        <v>4130.6040000000003</v>
      </c>
      <c r="G54" s="14">
        <f>+ROUND(F54/VLOOKUP("Grand Total",$B$4:$F$287,5,0),4)</f>
        <v>5.62E-2</v>
      </c>
      <c r="H54" s="15">
        <v>43321</v>
      </c>
      <c r="I54" s="99"/>
      <c r="J54" s="14"/>
      <c r="N54" s="36"/>
      <c r="O54" s="14"/>
      <c r="P54" s="14"/>
    </row>
    <row r="55" spans="1:16" ht="12.75" customHeight="1" x14ac:dyDescent="0.2">
      <c r="B55" s="18" t="s">
        <v>86</v>
      </c>
      <c r="C55" s="18"/>
      <c r="D55" s="18"/>
      <c r="E55" s="29"/>
      <c r="F55" s="19">
        <f>SUM(F54:F54)</f>
        <v>4130.6040000000003</v>
      </c>
      <c r="G55" s="20">
        <f>SUM(G54:G54)</f>
        <v>5.62E-2</v>
      </c>
      <c r="H55" s="21"/>
      <c r="L55" s="54"/>
      <c r="M55" s="14"/>
      <c r="N55" s="36"/>
      <c r="O55" s="14"/>
      <c r="P55" s="14"/>
    </row>
    <row r="56" spans="1:16" ht="12.75" customHeight="1" x14ac:dyDescent="0.2">
      <c r="F56" s="13"/>
      <c r="G56" s="14"/>
      <c r="H56" s="15"/>
      <c r="M56" s="90"/>
      <c r="N56" s="36"/>
      <c r="O56" s="14"/>
      <c r="P56" s="14"/>
    </row>
    <row r="57" spans="1:16" ht="12.75" customHeight="1" x14ac:dyDescent="0.2">
      <c r="A57" s="95" t="s">
        <v>380</v>
      </c>
      <c r="B57" s="16" t="s">
        <v>94</v>
      </c>
      <c r="C57" s="16"/>
      <c r="F57" s="13">
        <v>13726.5340149</v>
      </c>
      <c r="G57" s="14">
        <f>+ROUND(F57/VLOOKUP("Grand Total",$B$4:$F$287,5,0),4)</f>
        <v>0.18679999999999999</v>
      </c>
      <c r="H57" s="15">
        <v>43101</v>
      </c>
      <c r="I57" s="99"/>
      <c r="J57" s="52"/>
      <c r="K57"/>
    </row>
    <row r="58" spans="1:16" ht="12.75" customHeight="1" x14ac:dyDescent="0.2">
      <c r="B58" s="18" t="s">
        <v>86</v>
      </c>
      <c r="C58" s="18"/>
      <c r="D58" s="18"/>
      <c r="E58" s="29"/>
      <c r="F58" s="19">
        <f>SUM(F57)</f>
        <v>13726.5340149</v>
      </c>
      <c r="G58" s="20">
        <f>SUM(G57)</f>
        <v>0.18679999999999999</v>
      </c>
      <c r="H58" s="21"/>
      <c r="K58"/>
    </row>
    <row r="59" spans="1:16" ht="12.75" customHeight="1" x14ac:dyDescent="0.2">
      <c r="F59" s="13"/>
      <c r="G59" s="14"/>
      <c r="H59" s="15"/>
      <c r="K59"/>
    </row>
    <row r="60" spans="1:16" ht="12.75" customHeight="1" x14ac:dyDescent="0.2">
      <c r="B60" s="16" t="s">
        <v>95</v>
      </c>
      <c r="C60" s="16"/>
      <c r="F60" s="13"/>
      <c r="G60" s="14"/>
      <c r="H60" s="15"/>
      <c r="I60" s="35"/>
      <c r="K60"/>
    </row>
    <row r="61" spans="1:16" ht="12.75" customHeight="1" x14ac:dyDescent="0.2">
      <c r="B61" s="16" t="s">
        <v>96</v>
      </c>
      <c r="C61" s="16"/>
      <c r="F61" s="13">
        <v>-8263.7059275000356</v>
      </c>
      <c r="G61" s="14">
        <f>+ROUND(F61/VLOOKUP("Grand Total",$B$4:$F$287,5,0),4)-0.04%</f>
        <v>-0.1128</v>
      </c>
      <c r="H61" s="15"/>
      <c r="K61"/>
    </row>
    <row r="62" spans="1:16" ht="12.75" customHeight="1" x14ac:dyDescent="0.2">
      <c r="B62" s="18" t="s">
        <v>86</v>
      </c>
      <c r="C62" s="18"/>
      <c r="D62" s="18"/>
      <c r="E62" s="29"/>
      <c r="F62" s="19">
        <f>SUM(F61)</f>
        <v>-8263.7059275000356</v>
      </c>
      <c r="G62" s="20">
        <f>SUM(G61)</f>
        <v>-0.1128</v>
      </c>
      <c r="H62" s="21"/>
      <c r="K62"/>
    </row>
    <row r="63" spans="1:16" ht="12.75" customHeight="1" x14ac:dyDescent="0.2">
      <c r="B63" s="22" t="s">
        <v>97</v>
      </c>
      <c r="C63" s="22"/>
      <c r="D63" s="22"/>
      <c r="E63" s="30"/>
      <c r="F63" s="23">
        <f>+SUMIF($B$5:B62,"Total",$F$5:F62)</f>
        <v>73491.322161999968</v>
      </c>
      <c r="G63" s="24">
        <f>+SUMIF($B$5:B62,"Total",$G$5:G62)</f>
        <v>1.0000000000000002</v>
      </c>
      <c r="H63" s="25"/>
      <c r="K63"/>
    </row>
    <row r="64" spans="1:16" ht="12.75" customHeight="1" x14ac:dyDescent="0.2">
      <c r="I64" s="35"/>
      <c r="K64"/>
    </row>
    <row r="65" spans="2:11" ht="12.75" customHeight="1" x14ac:dyDescent="0.2">
      <c r="B65" s="16" t="s">
        <v>799</v>
      </c>
      <c r="C65" s="16"/>
      <c r="F65" s="42"/>
      <c r="I65" s="35"/>
      <c r="K65"/>
    </row>
    <row r="66" spans="2:11" ht="12.75" customHeight="1" x14ac:dyDescent="0.2">
      <c r="B66" s="16" t="s">
        <v>189</v>
      </c>
      <c r="C66" s="16"/>
      <c r="F66" s="42"/>
      <c r="K66"/>
    </row>
    <row r="67" spans="2:11" ht="12.75" customHeight="1" x14ac:dyDescent="0.2">
      <c r="B67" s="16" t="s">
        <v>793</v>
      </c>
      <c r="C67" s="16"/>
      <c r="K67"/>
    </row>
    <row r="68" spans="2:11" ht="12.75" customHeight="1" x14ac:dyDescent="0.2">
      <c r="K68"/>
    </row>
    <row r="69" spans="2:11" ht="12.75" customHeight="1" x14ac:dyDescent="0.2">
      <c r="K69"/>
    </row>
    <row r="70" spans="2:11" ht="12.75" customHeight="1" x14ac:dyDescent="0.2">
      <c r="K70"/>
    </row>
    <row r="71" spans="2:11" ht="12.75" customHeight="1" x14ac:dyDescent="0.2">
      <c r="K71"/>
    </row>
    <row r="72" spans="2:11" ht="12.75" customHeight="1" x14ac:dyDescent="0.2">
      <c r="E72"/>
      <c r="I72"/>
      <c r="K72"/>
    </row>
    <row r="73" spans="2:11" ht="12.75" customHeight="1" x14ac:dyDescent="0.2">
      <c r="E73"/>
      <c r="I73"/>
      <c r="K73"/>
    </row>
    <row r="74" spans="2:11" ht="12.75" customHeight="1" x14ac:dyDescent="0.2">
      <c r="E74"/>
      <c r="I74"/>
      <c r="K74"/>
    </row>
    <row r="75" spans="2:11" ht="12.75" customHeight="1" x14ac:dyDescent="0.2">
      <c r="E75"/>
      <c r="I75"/>
      <c r="K75"/>
    </row>
    <row r="76" spans="2:11" ht="12.75" customHeight="1" x14ac:dyDescent="0.2">
      <c r="E76"/>
      <c r="I76"/>
      <c r="K76"/>
    </row>
    <row r="77" spans="2:11" ht="12.75" customHeight="1" x14ac:dyDescent="0.2">
      <c r="E77"/>
      <c r="I77"/>
      <c r="K77"/>
    </row>
    <row r="78" spans="2:11" ht="12.75" customHeight="1" x14ac:dyDescent="0.2">
      <c r="E78"/>
      <c r="I78"/>
      <c r="K78"/>
    </row>
    <row r="79" spans="2:11" ht="12.75" customHeight="1" x14ac:dyDescent="0.2">
      <c r="E79"/>
      <c r="I79"/>
      <c r="K79"/>
    </row>
    <row r="80" spans="2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  <row r="104" spans="5:11" ht="12.75" customHeight="1" x14ac:dyDescent="0.2">
      <c r="E104"/>
      <c r="I104"/>
      <c r="K104"/>
    </row>
    <row r="105" spans="5:11" ht="12.75" customHeight="1" x14ac:dyDescent="0.2">
      <c r="E105"/>
      <c r="I105"/>
      <c r="K105"/>
    </row>
    <row r="106" spans="5:11" x14ac:dyDescent="0.2">
      <c r="E106"/>
      <c r="I106"/>
      <c r="K106"/>
    </row>
    <row r="107" spans="5:11" x14ac:dyDescent="0.2">
      <c r="E107"/>
      <c r="I107"/>
      <c r="K107"/>
    </row>
    <row r="108" spans="5:11" x14ac:dyDescent="0.2">
      <c r="E108"/>
      <c r="I108"/>
      <c r="K108"/>
    </row>
  </sheetData>
  <sheetProtection password="EDB3" sheet="1" objects="1" scenarios="1"/>
  <sortState ref="J9:K25">
    <sortCondition descending="1" ref="K9:K25"/>
  </sortState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391</v>
      </c>
      <c r="B1" s="123" t="s">
        <v>338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C7" s="16"/>
      <c r="F7" s="13"/>
      <c r="G7" s="14"/>
      <c r="H7" s="15"/>
    </row>
    <row r="8" spans="1:16" ht="12.75" customHeight="1" x14ac:dyDescent="0.2">
      <c r="B8" s="16" t="s">
        <v>312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s="65" t="s">
        <v>620</v>
      </c>
      <c r="C9" t="s">
        <v>644</v>
      </c>
      <c r="D9" t="s">
        <v>163</v>
      </c>
      <c r="E9" s="28">
        <v>118</v>
      </c>
      <c r="F9" s="13">
        <v>586.32016999999996</v>
      </c>
      <c r="G9" s="14">
        <f t="shared" ref="G9:G14" si="0">+ROUND(F9/VLOOKUP("Grand Total",$B$4:$F$304,5,0),4)</f>
        <v>7.2800000000000004E-2</v>
      </c>
      <c r="H9" s="15">
        <v>43129</v>
      </c>
      <c r="I9" s="64"/>
      <c r="J9" s="14" t="s">
        <v>109</v>
      </c>
      <c r="K9" s="48">
        <f t="shared" ref="K9:K20" si="1">SUMIFS($G$5:$G$327,$D$5:$D$327,J9)</f>
        <v>0.23710000000000001</v>
      </c>
    </row>
    <row r="10" spans="1:16" ht="12.75" customHeight="1" x14ac:dyDescent="0.2">
      <c r="A10">
        <f>+MAX($A$8:A9)+1</f>
        <v>2</v>
      </c>
      <c r="B10" s="1" t="s">
        <v>454</v>
      </c>
      <c r="C10" t="s">
        <v>691</v>
      </c>
      <c r="D10" t="s">
        <v>163</v>
      </c>
      <c r="E10" s="28">
        <v>100</v>
      </c>
      <c r="F10" s="13">
        <v>496.56299999999999</v>
      </c>
      <c r="G10" s="14">
        <f t="shared" si="0"/>
        <v>6.1600000000000002E-2</v>
      </c>
      <c r="H10" s="15">
        <v>43137</v>
      </c>
      <c r="I10" s="64"/>
      <c r="J10" s="14" t="s">
        <v>163</v>
      </c>
      <c r="K10" s="48">
        <f t="shared" si="1"/>
        <v>0.13440000000000002</v>
      </c>
    </row>
    <row r="11" spans="1:16" ht="12.75" customHeight="1" x14ac:dyDescent="0.2">
      <c r="A11">
        <f>+MAX($A$8:A10)+1</f>
        <v>3</v>
      </c>
      <c r="B11" s="1" t="s">
        <v>594</v>
      </c>
      <c r="C11" t="s">
        <v>642</v>
      </c>
      <c r="D11" t="s">
        <v>595</v>
      </c>
      <c r="E11" s="28">
        <v>80</v>
      </c>
      <c r="F11" s="13">
        <v>396.60640000000001</v>
      </c>
      <c r="G11" s="14">
        <f t="shared" si="0"/>
        <v>4.9200000000000001E-2</v>
      </c>
      <c r="H11" s="15">
        <v>43129</v>
      </c>
      <c r="I11" s="64"/>
      <c r="J11" s="14" t="s">
        <v>795</v>
      </c>
      <c r="K11" s="48">
        <f t="shared" si="1"/>
        <v>8.6900000000000005E-2</v>
      </c>
    </row>
    <row r="12" spans="1:16" ht="12.75" customHeight="1" x14ac:dyDescent="0.2">
      <c r="A12">
        <f>+MAX($A$8:A11)+1</f>
        <v>4</v>
      </c>
      <c r="B12" s="1" t="s">
        <v>296</v>
      </c>
      <c r="C12" t="s">
        <v>645</v>
      </c>
      <c r="D12" t="s">
        <v>610</v>
      </c>
      <c r="E12" s="28">
        <v>80</v>
      </c>
      <c r="F12" s="13">
        <v>371.27800000000002</v>
      </c>
      <c r="G12" s="14">
        <f t="shared" si="0"/>
        <v>4.6100000000000002E-2</v>
      </c>
      <c r="H12" s="15">
        <v>43426</v>
      </c>
      <c r="I12" s="64"/>
      <c r="J12" s="14" t="s">
        <v>610</v>
      </c>
      <c r="K12" s="48">
        <f t="shared" si="1"/>
        <v>8.1300000000000011E-2</v>
      </c>
    </row>
    <row r="13" spans="1:16" ht="12.75" customHeight="1" x14ac:dyDescent="0.2">
      <c r="A13">
        <f>+MAX($A$8:A12)+1</f>
        <v>5</v>
      </c>
      <c r="B13" s="1" t="s">
        <v>296</v>
      </c>
      <c r="C13" t="s">
        <v>590</v>
      </c>
      <c r="D13" t="s">
        <v>610</v>
      </c>
      <c r="E13" s="28">
        <v>60</v>
      </c>
      <c r="F13" s="13">
        <v>283.29480000000001</v>
      </c>
      <c r="G13" s="14">
        <f t="shared" si="0"/>
        <v>3.5200000000000002E-2</v>
      </c>
      <c r="H13" s="15">
        <v>43350</v>
      </c>
      <c r="I13" s="64"/>
      <c r="J13" s="14" t="s">
        <v>595</v>
      </c>
      <c r="K13" s="48">
        <f t="shared" si="1"/>
        <v>7.3599999999999999E-2</v>
      </c>
    </row>
    <row r="14" spans="1:16" ht="12.75" customHeight="1" x14ac:dyDescent="0.2">
      <c r="A14">
        <f>+MAX($A$8:A13)+1</f>
        <v>6</v>
      </c>
      <c r="B14" s="1" t="s">
        <v>594</v>
      </c>
      <c r="C14" t="s">
        <v>682</v>
      </c>
      <c r="D14" t="s">
        <v>595</v>
      </c>
      <c r="E14" s="28">
        <v>40</v>
      </c>
      <c r="F14" s="13">
        <v>196.6942</v>
      </c>
      <c r="G14" s="14">
        <f t="shared" si="0"/>
        <v>2.4400000000000002E-2</v>
      </c>
      <c r="H14" s="15">
        <v>43158</v>
      </c>
      <c r="I14" s="64"/>
      <c r="J14" s="14" t="s">
        <v>369</v>
      </c>
      <c r="K14" s="48">
        <f t="shared" si="1"/>
        <v>7.2700000000000001E-2</v>
      </c>
    </row>
    <row r="15" spans="1:16" ht="12.75" customHeight="1" x14ac:dyDescent="0.2">
      <c r="B15" s="18" t="s">
        <v>86</v>
      </c>
      <c r="C15" s="18"/>
      <c r="D15" s="18"/>
      <c r="E15" s="29"/>
      <c r="F15" s="19">
        <f>SUM(F9:F14)</f>
        <v>2330.75657</v>
      </c>
      <c r="G15" s="20">
        <f>SUM(G9:G14)</f>
        <v>0.2893</v>
      </c>
      <c r="H15" s="21"/>
      <c r="J15" t="s">
        <v>297</v>
      </c>
      <c r="K15" s="48">
        <f t="shared" si="1"/>
        <v>6.8199999999999997E-2</v>
      </c>
      <c r="M15" s="14"/>
      <c r="N15" s="36"/>
      <c r="P15" s="14"/>
    </row>
    <row r="16" spans="1:16" ht="12.75" customHeight="1" x14ac:dyDescent="0.2">
      <c r="B16" s="16"/>
      <c r="C16" s="16"/>
      <c r="F16" s="13"/>
      <c r="G16" s="14"/>
      <c r="H16" s="15"/>
      <c r="J16" t="s">
        <v>375</v>
      </c>
      <c r="K16" s="48">
        <f t="shared" si="1"/>
        <v>6.4100000000000004E-2</v>
      </c>
    </row>
    <row r="17" spans="1:16" ht="12.75" customHeight="1" x14ac:dyDescent="0.2">
      <c r="B17" s="16" t="s">
        <v>170</v>
      </c>
      <c r="C17" s="16"/>
      <c r="F17" s="13"/>
      <c r="G17" s="14"/>
      <c r="H17" s="15"/>
      <c r="J17" s="81" t="s">
        <v>564</v>
      </c>
      <c r="K17" s="48">
        <f t="shared" si="1"/>
        <v>2.4899999999999999E-2</v>
      </c>
    </row>
    <row r="18" spans="1:16" ht="12.75" customHeight="1" x14ac:dyDescent="0.2">
      <c r="A18">
        <f>+MAX($A$8:A17)+1</f>
        <v>7</v>
      </c>
      <c r="B18" s="65" t="s">
        <v>635</v>
      </c>
      <c r="C18" t="s">
        <v>636</v>
      </c>
      <c r="D18" t="s">
        <v>413</v>
      </c>
      <c r="E18" s="28">
        <v>12000</v>
      </c>
      <c r="F18" s="13">
        <v>11.854656</v>
      </c>
      <c r="G18" s="14">
        <f>+ROUND(F18/VLOOKUP("Grand Total",$B$4:$F$304,5,0),4)</f>
        <v>1.5E-3</v>
      </c>
      <c r="H18" s="15">
        <v>43172</v>
      </c>
      <c r="I18" s="64"/>
      <c r="J18" s="14" t="s">
        <v>559</v>
      </c>
      <c r="K18" s="48">
        <f t="shared" si="1"/>
        <v>1.2500000000000001E-2</v>
      </c>
    </row>
    <row r="19" spans="1:16" ht="12.75" customHeight="1" x14ac:dyDescent="0.2">
      <c r="B19" s="18" t="s">
        <v>86</v>
      </c>
      <c r="C19" s="18"/>
      <c r="D19" s="18"/>
      <c r="E19" s="29"/>
      <c r="F19" s="19">
        <f>SUM(F18:F18)</f>
        <v>11.854656</v>
      </c>
      <c r="G19" s="20">
        <f>SUM(G18:G18)</f>
        <v>1.5E-3</v>
      </c>
      <c r="H19" s="21"/>
      <c r="J19" t="s">
        <v>172</v>
      </c>
      <c r="K19" s="48">
        <f t="shared" si="1"/>
        <v>1.2500000000000001E-2</v>
      </c>
      <c r="M19" s="14"/>
      <c r="N19" s="36"/>
      <c r="P19" s="14"/>
    </row>
    <row r="20" spans="1:16" ht="12.75" customHeight="1" x14ac:dyDescent="0.2">
      <c r="B20" s="16"/>
      <c r="C20" s="16"/>
      <c r="F20" s="13"/>
      <c r="G20" s="14"/>
      <c r="H20" s="15"/>
      <c r="J20" s="14" t="s">
        <v>413</v>
      </c>
      <c r="K20" s="48">
        <f t="shared" si="1"/>
        <v>1.5E-3</v>
      </c>
    </row>
    <row r="21" spans="1:16" ht="12.75" customHeight="1" x14ac:dyDescent="0.2">
      <c r="B21" s="16" t="s">
        <v>126</v>
      </c>
      <c r="C21" s="16"/>
      <c r="F21" s="13"/>
      <c r="G21" s="14"/>
      <c r="H21" s="15"/>
      <c r="I21" s="35"/>
      <c r="J21" s="14" t="s">
        <v>64</v>
      </c>
      <c r="K21" s="48">
        <f>+SUMIFS($G$5:$G$1001,$B$5:$B$1001,"CBLO / Reverse Repo Investments")+SUMIFS($G$5:$G$1001,$B$5:$B$1001,"Net Receivable/Payable")</f>
        <v>0.1303</v>
      </c>
      <c r="N21" s="36"/>
      <c r="P21" s="14"/>
    </row>
    <row r="22" spans="1:16" ht="12.75" customHeight="1" x14ac:dyDescent="0.2">
      <c r="B22" s="31" t="s">
        <v>417</v>
      </c>
      <c r="C22" s="16"/>
      <c r="F22" s="13"/>
      <c r="G22" s="14"/>
      <c r="H22" s="15"/>
      <c r="J22" s="14"/>
      <c r="K22" s="48"/>
      <c r="M22" s="14"/>
      <c r="N22" s="36"/>
      <c r="P22" s="14"/>
    </row>
    <row r="23" spans="1:16" ht="12.75" customHeight="1" x14ac:dyDescent="0.2">
      <c r="A23">
        <f>+MAX($A$8:A22)+1</f>
        <v>8</v>
      </c>
      <c r="B23" s="65" t="s">
        <v>788</v>
      </c>
      <c r="C23" s="121" t="s">
        <v>570</v>
      </c>
      <c r="D23" t="s">
        <v>795</v>
      </c>
      <c r="E23" s="28">
        <v>70</v>
      </c>
      <c r="F23" s="13">
        <v>699.99789999999996</v>
      </c>
      <c r="G23" s="14">
        <f t="shared" ref="G23:G30" si="2">+ROUND(F23/VLOOKUP("Grand Total",$B$4:$F$297,5,0),4)</f>
        <v>8.6900000000000005E-2</v>
      </c>
      <c r="H23" s="15">
        <v>43826</v>
      </c>
      <c r="I23" s="64"/>
      <c r="J23" s="14"/>
      <c r="K23" s="48"/>
      <c r="L23" s="54"/>
      <c r="M23" s="14"/>
    </row>
    <row r="24" spans="1:16" s="1" customFormat="1" ht="12.75" customHeight="1" x14ac:dyDescent="0.2">
      <c r="A24">
        <f>+MAX($A$8:A23)+1</f>
        <v>9</v>
      </c>
      <c r="B24" s="1" t="s">
        <v>735</v>
      </c>
      <c r="C24" s="1" t="s">
        <v>509</v>
      </c>
      <c r="D24" s="1" t="s">
        <v>297</v>
      </c>
      <c r="E24" s="57">
        <v>55</v>
      </c>
      <c r="F24" s="58">
        <v>549.71510000000001</v>
      </c>
      <c r="G24" s="14">
        <f t="shared" si="2"/>
        <v>6.8199999999999997E-2</v>
      </c>
      <c r="H24" s="60">
        <v>43630</v>
      </c>
      <c r="I24" s="64"/>
      <c r="J24" s="14"/>
      <c r="K24" s="36"/>
      <c r="L24" s="54"/>
      <c r="M24" s="14"/>
      <c r="N24" s="61"/>
      <c r="P24" s="59"/>
    </row>
    <row r="25" spans="1:16" s="1" customFormat="1" ht="12.75" customHeight="1" x14ac:dyDescent="0.2">
      <c r="A25">
        <f>+MAX($A$8:A24)+1</f>
        <v>10</v>
      </c>
      <c r="B25" s="1" t="s">
        <v>736</v>
      </c>
      <c r="C25" s="1" t="s">
        <v>433</v>
      </c>
      <c r="D25" s="1" t="s">
        <v>369</v>
      </c>
      <c r="E25" s="57">
        <v>50000</v>
      </c>
      <c r="F25" s="58">
        <v>505.0675</v>
      </c>
      <c r="G25" s="14">
        <f t="shared" si="2"/>
        <v>6.2700000000000006E-2</v>
      </c>
      <c r="H25" s="60">
        <v>43717</v>
      </c>
      <c r="I25" s="64"/>
      <c r="J25"/>
      <c r="K25" s="36"/>
      <c r="M25" s="59"/>
      <c r="N25" s="61"/>
      <c r="P25" s="59"/>
    </row>
    <row r="26" spans="1:16" s="1" customFormat="1" ht="12.75" customHeight="1" x14ac:dyDescent="0.2">
      <c r="A26">
        <f>+MAX($A$8:A25)+1</f>
        <v>11</v>
      </c>
      <c r="B26" s="65" t="s">
        <v>693</v>
      </c>
      <c r="C26" s="1" t="s">
        <v>694</v>
      </c>
      <c r="D26" s="1" t="s">
        <v>109</v>
      </c>
      <c r="E26" s="57">
        <v>50</v>
      </c>
      <c r="F26" s="58">
        <v>502.209</v>
      </c>
      <c r="G26" s="14">
        <f t="shared" si="2"/>
        <v>6.2300000000000001E-2</v>
      </c>
      <c r="H26" s="60">
        <v>43584</v>
      </c>
      <c r="I26" s="64"/>
      <c r="N26" s="61"/>
      <c r="P26" s="59"/>
    </row>
    <row r="27" spans="1:16" s="1" customFormat="1" ht="12.75" customHeight="1" x14ac:dyDescent="0.2">
      <c r="A27">
        <f>+MAX($A$8:A26)+1</f>
        <v>12</v>
      </c>
      <c r="B27" s="65" t="s">
        <v>656</v>
      </c>
      <c r="C27" s="1" t="s">
        <v>601</v>
      </c>
      <c r="D27" s="1" t="s">
        <v>109</v>
      </c>
      <c r="E27" s="57">
        <v>50</v>
      </c>
      <c r="F27" s="58">
        <v>492.90800000000002</v>
      </c>
      <c r="G27" s="14">
        <f t="shared" si="2"/>
        <v>6.1199999999999997E-2</v>
      </c>
      <c r="H27" s="60">
        <v>44104</v>
      </c>
      <c r="I27" s="64"/>
      <c r="N27" s="61"/>
      <c r="P27" s="59"/>
    </row>
    <row r="28" spans="1:16" s="1" customFormat="1" ht="12.75" customHeight="1" x14ac:dyDescent="0.2">
      <c r="A28">
        <f>+MAX($A$8:A27)+1</f>
        <v>13</v>
      </c>
      <c r="B28" s="1" t="s">
        <v>737</v>
      </c>
      <c r="C28" s="1" t="s">
        <v>534</v>
      </c>
      <c r="D28" s="1" t="s">
        <v>109</v>
      </c>
      <c r="E28" s="57">
        <v>32</v>
      </c>
      <c r="F28" s="58">
        <v>408.99959999999999</v>
      </c>
      <c r="G28" s="14">
        <f t="shared" si="2"/>
        <v>5.0799999999999998E-2</v>
      </c>
      <c r="H28" s="60">
        <v>43757</v>
      </c>
      <c r="I28" s="64"/>
      <c r="N28" s="61"/>
      <c r="P28" s="59"/>
    </row>
    <row r="29" spans="1:16" s="1" customFormat="1" ht="12.75" customHeight="1" x14ac:dyDescent="0.2">
      <c r="A29">
        <f>+MAX($A$8:A28)+1</f>
        <v>14</v>
      </c>
      <c r="B29" s="1" t="s">
        <v>738</v>
      </c>
      <c r="C29" s="1" t="s">
        <v>537</v>
      </c>
      <c r="D29" s="1" t="s">
        <v>109</v>
      </c>
      <c r="E29" s="57">
        <v>30</v>
      </c>
      <c r="F29" s="58">
        <v>298.86270000000002</v>
      </c>
      <c r="G29" s="14">
        <f t="shared" si="2"/>
        <v>3.7100000000000001E-2</v>
      </c>
      <c r="H29" s="60">
        <v>44091</v>
      </c>
      <c r="I29" s="64"/>
      <c r="N29" s="61"/>
      <c r="P29" s="59"/>
    </row>
    <row r="30" spans="1:16" s="1" customFormat="1" ht="12.75" customHeight="1" x14ac:dyDescent="0.2">
      <c r="A30">
        <f>+MAX($A$8:A29)+1</f>
        <v>15</v>
      </c>
      <c r="B30" s="1" t="s">
        <v>739</v>
      </c>
      <c r="C30" s="1" t="s">
        <v>374</v>
      </c>
      <c r="D30" s="1" t="s">
        <v>564</v>
      </c>
      <c r="E30" s="57">
        <v>20</v>
      </c>
      <c r="F30" s="58">
        <v>200.6148</v>
      </c>
      <c r="G30" s="14">
        <f t="shared" si="2"/>
        <v>2.4899999999999999E-2</v>
      </c>
      <c r="H30" s="60">
        <v>43132</v>
      </c>
      <c r="I30" s="64"/>
      <c r="N30" s="61"/>
      <c r="P30" s="59"/>
    </row>
    <row r="31" spans="1:16" s="1" customFormat="1" ht="12.75" customHeight="1" x14ac:dyDescent="0.2">
      <c r="A31">
        <f>+MAX($A$8:A30)+1</f>
        <v>16</v>
      </c>
      <c r="B31" s="1" t="s">
        <v>740</v>
      </c>
      <c r="C31" s="1" t="s">
        <v>646</v>
      </c>
      <c r="D31" s="1" t="s">
        <v>109</v>
      </c>
      <c r="E31" s="57">
        <v>10</v>
      </c>
      <c r="F31" s="58">
        <v>105.5714</v>
      </c>
      <c r="G31" s="14">
        <f t="shared" ref="G31:G35" si="3">+ROUND(F31/VLOOKUP("Grand Total",$B$4:$F$297,5,0),4)</f>
        <v>1.3100000000000001E-2</v>
      </c>
      <c r="H31" s="60">
        <v>44418</v>
      </c>
      <c r="I31" s="64"/>
      <c r="N31" s="61"/>
      <c r="P31" s="59"/>
    </row>
    <row r="32" spans="1:16" s="1" customFormat="1" ht="12.75" customHeight="1" x14ac:dyDescent="0.2">
      <c r="A32">
        <f>+MAX($A$8:A31)+1</f>
        <v>17</v>
      </c>
      <c r="B32" s="1" t="s">
        <v>741</v>
      </c>
      <c r="C32" s="1" t="s">
        <v>695</v>
      </c>
      <c r="D32" s="1" t="s">
        <v>109</v>
      </c>
      <c r="E32" s="57">
        <v>10</v>
      </c>
      <c r="F32" s="58">
        <v>101.30159999999999</v>
      </c>
      <c r="G32" s="14">
        <f t="shared" si="3"/>
        <v>1.26E-2</v>
      </c>
      <c r="H32" s="60">
        <v>43480</v>
      </c>
      <c r="I32" s="64"/>
      <c r="N32" s="61"/>
      <c r="P32" s="59"/>
    </row>
    <row r="33" spans="1:16" s="1" customFormat="1" ht="12.75" customHeight="1" x14ac:dyDescent="0.2">
      <c r="A33">
        <f>+MAX($A$8:A32)+1</f>
        <v>18</v>
      </c>
      <c r="B33" s="1" t="s">
        <v>742</v>
      </c>
      <c r="C33" s="1" t="s">
        <v>358</v>
      </c>
      <c r="D33" s="1" t="s">
        <v>559</v>
      </c>
      <c r="E33" s="57">
        <v>10</v>
      </c>
      <c r="F33" s="58">
        <v>100.7085</v>
      </c>
      <c r="G33" s="14">
        <f t="shared" si="3"/>
        <v>1.2500000000000001E-2</v>
      </c>
      <c r="H33" s="60">
        <v>43309</v>
      </c>
      <c r="I33" s="64"/>
      <c r="N33" s="61"/>
      <c r="P33" s="59"/>
    </row>
    <row r="34" spans="1:16" s="1" customFormat="1" ht="12.75" customHeight="1" x14ac:dyDescent="0.2">
      <c r="A34">
        <f>+MAX($A$8:A33)+1</f>
        <v>19</v>
      </c>
      <c r="B34" s="1" t="s">
        <v>743</v>
      </c>
      <c r="C34" s="1" t="s">
        <v>173</v>
      </c>
      <c r="D34" s="1" t="s">
        <v>172</v>
      </c>
      <c r="E34" s="57">
        <v>10</v>
      </c>
      <c r="F34" s="58">
        <v>100.4097</v>
      </c>
      <c r="G34" s="14">
        <f t="shared" si="3"/>
        <v>1.2500000000000001E-2</v>
      </c>
      <c r="H34" s="60">
        <v>43259</v>
      </c>
      <c r="I34" s="64"/>
      <c r="N34" s="61"/>
      <c r="P34" s="59"/>
    </row>
    <row r="35" spans="1:16" s="1" customFormat="1" ht="12.75" customHeight="1" x14ac:dyDescent="0.2">
      <c r="A35">
        <f>+MAX($A$8:A34)+1</f>
        <v>20</v>
      </c>
      <c r="B35" s="1" t="s">
        <v>744</v>
      </c>
      <c r="C35" s="1" t="s">
        <v>370</v>
      </c>
      <c r="D35" s="1" t="s">
        <v>369</v>
      </c>
      <c r="E35" s="57">
        <v>8</v>
      </c>
      <c r="F35" s="58">
        <v>80.265199999999993</v>
      </c>
      <c r="G35" s="14">
        <f t="shared" si="3"/>
        <v>0.01</v>
      </c>
      <c r="H35" s="60">
        <v>43175</v>
      </c>
      <c r="I35" s="64"/>
      <c r="N35" s="61"/>
      <c r="P35" s="59"/>
    </row>
    <row r="36" spans="1:16" ht="12.75" customHeight="1" x14ac:dyDescent="0.2">
      <c r="B36" s="18" t="s">
        <v>86</v>
      </c>
      <c r="C36" s="18"/>
      <c r="D36" s="18"/>
      <c r="E36" s="29"/>
      <c r="F36" s="19">
        <f>SUM(F23:F35)</f>
        <v>4146.6309999999994</v>
      </c>
      <c r="G36" s="20">
        <f>SUM(G23:G35)</f>
        <v>0.51480000000000004</v>
      </c>
      <c r="H36" s="21"/>
      <c r="I36" s="35"/>
    </row>
    <row r="37" spans="1:16" s="46" customFormat="1" ht="12.75" customHeight="1" x14ac:dyDescent="0.2">
      <c r="B37" s="67"/>
      <c r="C37" s="67"/>
      <c r="D37" s="67"/>
      <c r="E37" s="68"/>
      <c r="F37" s="69"/>
      <c r="G37" s="70"/>
      <c r="H37" s="71"/>
      <c r="I37" s="71"/>
      <c r="K37" s="48"/>
    </row>
    <row r="38" spans="1:16" ht="12.75" customHeight="1" x14ac:dyDescent="0.2">
      <c r="B38" s="16" t="s">
        <v>572</v>
      </c>
      <c r="C38" s="16"/>
      <c r="F38" s="13"/>
      <c r="G38" s="14"/>
      <c r="H38" s="15"/>
      <c r="J38" s="17"/>
      <c r="K38" s="37"/>
    </row>
    <row r="39" spans="1:16" ht="12.75" customHeight="1" x14ac:dyDescent="0.2">
      <c r="A39">
        <f>+MAX($A$8:A38)+1</f>
        <v>21</v>
      </c>
      <c r="B39" s="65" t="s">
        <v>565</v>
      </c>
      <c r="C39" t="s">
        <v>566</v>
      </c>
      <c r="D39" t="s">
        <v>375</v>
      </c>
      <c r="E39" s="28">
        <v>50</v>
      </c>
      <c r="F39" s="13">
        <v>516.32550000000003</v>
      </c>
      <c r="G39" s="14">
        <f>+ROUND(F39/VLOOKUP("Grand Total",$B$4:$F$304,5,0),4)</f>
        <v>6.4100000000000004E-2</v>
      </c>
      <c r="H39" s="15">
        <v>43321</v>
      </c>
      <c r="I39" s="64"/>
      <c r="J39" s="14"/>
      <c r="K39" s="48"/>
    </row>
    <row r="40" spans="1:16" ht="12.75" customHeight="1" x14ac:dyDescent="0.2">
      <c r="B40" s="18" t="s">
        <v>86</v>
      </c>
      <c r="C40" s="18"/>
      <c r="D40" s="18"/>
      <c r="E40" s="29"/>
      <c r="F40" s="19">
        <f>SUM(F39:F39)</f>
        <v>516.32550000000003</v>
      </c>
      <c r="G40" s="20">
        <f>SUM(G39:G39)</f>
        <v>6.4100000000000004E-2</v>
      </c>
      <c r="H40" s="21"/>
      <c r="K40" s="48"/>
      <c r="M40" s="14"/>
      <c r="N40" s="36"/>
      <c r="P40" s="14"/>
    </row>
    <row r="41" spans="1:16" s="46" customFormat="1" ht="12.75" customHeight="1" x14ac:dyDescent="0.2">
      <c r="B41" s="67"/>
      <c r="C41" s="67"/>
      <c r="D41" s="67"/>
      <c r="E41" s="68"/>
      <c r="F41" s="69"/>
      <c r="G41" s="70"/>
      <c r="H41" s="71"/>
      <c r="I41" s="71"/>
      <c r="K41" s="48"/>
    </row>
    <row r="42" spans="1:16" ht="12.75" customHeight="1" x14ac:dyDescent="0.2">
      <c r="A42" s="95" t="s">
        <v>380</v>
      </c>
      <c r="B42" s="16" t="s">
        <v>94</v>
      </c>
      <c r="C42" s="16"/>
      <c r="F42" s="13">
        <v>1002.0384409000001</v>
      </c>
      <c r="G42" s="14">
        <f>+ROUND(F42/VLOOKUP("Grand Total",$B$4:$F$304,5,0),4)</f>
        <v>0.1244</v>
      </c>
      <c r="H42" s="15">
        <v>43101</v>
      </c>
    </row>
    <row r="43" spans="1:16" ht="12.75" customHeight="1" x14ac:dyDescent="0.2">
      <c r="B43" s="18" t="s">
        <v>86</v>
      </c>
      <c r="C43" s="18"/>
      <c r="D43" s="18"/>
      <c r="E43" s="29"/>
      <c r="F43" s="19">
        <f>SUM(F42)</f>
        <v>1002.0384409000001</v>
      </c>
      <c r="G43" s="20">
        <f>SUM(G42)</f>
        <v>0.1244</v>
      </c>
      <c r="H43" s="21"/>
    </row>
    <row r="44" spans="1:16" ht="12.75" customHeight="1" x14ac:dyDescent="0.2">
      <c r="F44" s="13"/>
      <c r="G44" s="14"/>
      <c r="H44" s="15"/>
      <c r="I44" s="35"/>
    </row>
    <row r="45" spans="1:16" ht="12.75" customHeight="1" x14ac:dyDescent="0.2">
      <c r="B45" s="16" t="s">
        <v>95</v>
      </c>
      <c r="C45" s="16"/>
      <c r="F45" s="13"/>
      <c r="G45" s="14"/>
      <c r="H45" s="15"/>
    </row>
    <row r="46" spans="1:16" ht="12.75" customHeight="1" x14ac:dyDescent="0.2">
      <c r="B46" s="16" t="s">
        <v>96</v>
      </c>
      <c r="C46" s="16"/>
      <c r="F46" s="13">
        <v>50.012977999999748</v>
      </c>
      <c r="G46" s="14">
        <f>+ROUND(F46/VLOOKUP("Grand Total",$B$4:$F$304,5,0),4)-0.03%</f>
        <v>5.8999999999999999E-3</v>
      </c>
      <c r="H46" s="15"/>
    </row>
    <row r="47" spans="1:16" ht="12.75" customHeight="1" x14ac:dyDescent="0.2">
      <c r="B47" s="18" t="s">
        <v>86</v>
      </c>
      <c r="C47" s="18"/>
      <c r="D47" s="18"/>
      <c r="E47" s="29"/>
      <c r="F47" s="19">
        <f>SUM(F46)</f>
        <v>50.012977999999748</v>
      </c>
      <c r="G47" s="20">
        <f>SUM(G46)</f>
        <v>5.8999999999999999E-3</v>
      </c>
      <c r="H47" s="21"/>
      <c r="I47" s="35"/>
    </row>
    <row r="48" spans="1:16" ht="12.75" customHeight="1" x14ac:dyDescent="0.2">
      <c r="B48" s="22" t="s">
        <v>97</v>
      </c>
      <c r="C48" s="22"/>
      <c r="D48" s="22"/>
      <c r="E48" s="30"/>
      <c r="F48" s="23">
        <f>+SUMIF($B$5:B47,"Total",$F$5:F47)</f>
        <v>8057.6191448999989</v>
      </c>
      <c r="G48" s="24">
        <f>+SUMIF($B$5:B47,"Total",$G$5:G47)</f>
        <v>1</v>
      </c>
      <c r="H48" s="25"/>
    </row>
    <row r="49" spans="2:9" ht="12.75" customHeight="1" x14ac:dyDescent="0.2"/>
    <row r="50" spans="2:9" ht="12.75" customHeight="1" x14ac:dyDescent="0.2">
      <c r="B50" s="16" t="s">
        <v>799</v>
      </c>
      <c r="C50" s="16"/>
    </row>
    <row r="51" spans="2:9" ht="12.75" customHeight="1" x14ac:dyDescent="0.2">
      <c r="B51" s="16" t="s">
        <v>189</v>
      </c>
      <c r="C51" s="16"/>
      <c r="I51" s="35"/>
    </row>
    <row r="52" spans="2:9" ht="12.75" customHeight="1" x14ac:dyDescent="0.2">
      <c r="B52" s="53" t="s">
        <v>313</v>
      </c>
      <c r="C52" s="16"/>
      <c r="I52" s="35"/>
    </row>
    <row r="53" spans="2:9" ht="12.75" customHeight="1" x14ac:dyDescent="0.2">
      <c r="B53" s="16" t="s">
        <v>790</v>
      </c>
      <c r="C53" s="16"/>
    </row>
    <row r="54" spans="2:9" ht="12.75" customHeight="1" x14ac:dyDescent="0.2">
      <c r="B54" s="16"/>
      <c r="C54" s="16"/>
    </row>
    <row r="55" spans="2:9" ht="12.75" customHeight="1" x14ac:dyDescent="0.2"/>
    <row r="56" spans="2:9" ht="12.75" customHeight="1" x14ac:dyDescent="0.2"/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</sheetData>
  <sheetProtection password="EDB3" sheet="1" objects="1" scenarios="1"/>
  <sortState ref="J9:K20">
    <sortCondition descending="1" ref="K9:K2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6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392</v>
      </c>
      <c r="B1" s="123" t="s">
        <v>193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F7" s="13"/>
      <c r="G7" s="14"/>
      <c r="H7" s="15"/>
    </row>
    <row r="8" spans="1:16" ht="12.75" customHeight="1" x14ac:dyDescent="0.2">
      <c r="B8" s="16" t="s">
        <v>312</v>
      </c>
      <c r="C8" s="16"/>
      <c r="F8" s="13"/>
      <c r="G8" s="14"/>
      <c r="H8" s="15"/>
      <c r="I8" s="64"/>
      <c r="L8" s="54"/>
      <c r="M8" s="14"/>
      <c r="N8" s="36"/>
      <c r="P8" s="14"/>
    </row>
    <row r="9" spans="1:16" ht="12.75" customHeight="1" x14ac:dyDescent="0.2">
      <c r="A9">
        <f>+MAX($A8:A$8)+1</f>
        <v>1</v>
      </c>
      <c r="B9" s="1" t="s">
        <v>296</v>
      </c>
      <c r="C9" t="s">
        <v>590</v>
      </c>
      <c r="D9" t="s">
        <v>610</v>
      </c>
      <c r="E9" s="28">
        <v>100</v>
      </c>
      <c r="F9" s="13">
        <v>472.15800000000002</v>
      </c>
      <c r="G9" s="14">
        <f>+ROUND(F9/VLOOKUP("Grand Total",$B$4:$F$295,5,0),4)</f>
        <v>4.0899999999999999E-2</v>
      </c>
      <c r="H9" s="15">
        <v>43350</v>
      </c>
      <c r="I9" s="64"/>
      <c r="J9" s="17" t="s">
        <v>4</v>
      </c>
      <c r="K9" s="37" t="s">
        <v>12</v>
      </c>
    </row>
    <row r="10" spans="1:16" ht="12.75" customHeight="1" x14ac:dyDescent="0.2">
      <c r="B10" s="18" t="s">
        <v>86</v>
      </c>
      <c r="C10" s="18"/>
      <c r="D10" s="18"/>
      <c r="E10" s="29"/>
      <c r="F10" s="19">
        <f>SUM(F9:F9)</f>
        <v>472.15800000000002</v>
      </c>
      <c r="G10" s="20">
        <f>SUM(G9:G9)</f>
        <v>4.0899999999999999E-2</v>
      </c>
      <c r="H10" s="21"/>
      <c r="I10" s="64"/>
      <c r="J10" s="14" t="s">
        <v>413</v>
      </c>
      <c r="K10" s="48">
        <f t="shared" ref="K10:K17" si="0">SUMIFS($G$5:$G$332,$D$5:$D$332,J10)</f>
        <v>0.46860000000000002</v>
      </c>
    </row>
    <row r="11" spans="1:16" ht="12.75" customHeight="1" x14ac:dyDescent="0.2">
      <c r="F11" s="13"/>
      <c r="G11" s="14"/>
      <c r="H11" s="15"/>
      <c r="J11" s="90" t="s">
        <v>109</v>
      </c>
      <c r="K11" s="48">
        <f t="shared" si="0"/>
        <v>0.29770000000000002</v>
      </c>
    </row>
    <row r="12" spans="1:16" ht="12.75" customHeight="1" x14ac:dyDescent="0.2">
      <c r="B12" s="16" t="s">
        <v>171</v>
      </c>
      <c r="C12" s="16"/>
      <c r="F12" s="13"/>
      <c r="G12" s="14"/>
      <c r="H12" s="15"/>
      <c r="I12" s="64"/>
      <c r="J12" t="s">
        <v>369</v>
      </c>
      <c r="K12" s="48">
        <f t="shared" si="0"/>
        <v>6.1199999999999997E-2</v>
      </c>
      <c r="L12" s="54"/>
      <c r="M12" s="14"/>
      <c r="N12" s="36"/>
      <c r="P12" s="14"/>
    </row>
    <row r="13" spans="1:16" ht="12.75" customHeight="1" x14ac:dyDescent="0.2">
      <c r="A13">
        <f>+MAX($A$8:A12)+1</f>
        <v>2</v>
      </c>
      <c r="B13" s="1" t="s">
        <v>638</v>
      </c>
      <c r="C13" t="s">
        <v>639</v>
      </c>
      <c r="D13" t="s">
        <v>413</v>
      </c>
      <c r="E13" s="28">
        <v>1350000</v>
      </c>
      <c r="F13" s="13">
        <v>1301.1232500000001</v>
      </c>
      <c r="G13" s="14">
        <f t="shared" ref="G13:G19" si="1">+ROUND(F13/VLOOKUP("Grand Total",$B$4:$F$295,5,0),4)</f>
        <v>0.11269999999999999</v>
      </c>
      <c r="H13" s="15">
        <v>46522</v>
      </c>
      <c r="I13" s="64"/>
      <c r="J13" t="s">
        <v>488</v>
      </c>
      <c r="K13" s="48">
        <f t="shared" si="0"/>
        <v>4.3400000000000001E-2</v>
      </c>
    </row>
    <row r="14" spans="1:16" ht="12.75" customHeight="1" x14ac:dyDescent="0.2">
      <c r="A14">
        <f>+MAX($A$8:A13)+1</f>
        <v>3</v>
      </c>
      <c r="B14" s="1" t="s">
        <v>567</v>
      </c>
      <c r="C14" t="s">
        <v>568</v>
      </c>
      <c r="D14" t="s">
        <v>413</v>
      </c>
      <c r="E14" s="28">
        <v>1150000</v>
      </c>
      <c r="F14" s="13">
        <v>1150.0023000000001</v>
      </c>
      <c r="G14" s="14">
        <f t="shared" si="1"/>
        <v>9.9599999999999994E-2</v>
      </c>
      <c r="H14" s="15">
        <v>45066</v>
      </c>
      <c r="I14" s="64"/>
      <c r="J14" t="s">
        <v>176</v>
      </c>
      <c r="K14" s="48">
        <f t="shared" si="0"/>
        <v>4.2700000000000002E-2</v>
      </c>
    </row>
    <row r="15" spans="1:16" ht="12.75" customHeight="1" x14ac:dyDescent="0.2">
      <c r="A15">
        <f>+MAX($A$8:A14)+1</f>
        <v>4</v>
      </c>
      <c r="B15" s="1" t="s">
        <v>597</v>
      </c>
      <c r="C15" t="s">
        <v>598</v>
      </c>
      <c r="D15" t="s">
        <v>413</v>
      </c>
      <c r="E15" s="28">
        <v>800000</v>
      </c>
      <c r="F15" s="13">
        <v>808.80240000000003</v>
      </c>
      <c r="G15" s="14">
        <f t="shared" si="1"/>
        <v>7.0099999999999996E-2</v>
      </c>
      <c r="H15" s="15">
        <v>49297</v>
      </c>
      <c r="I15" s="64"/>
      <c r="J15" t="s">
        <v>610</v>
      </c>
      <c r="K15" s="48">
        <f t="shared" si="0"/>
        <v>4.0899999999999999E-2</v>
      </c>
    </row>
    <row r="16" spans="1:16" ht="12.75" customHeight="1" x14ac:dyDescent="0.2">
      <c r="A16">
        <f>+MAX($A$8:A15)+1</f>
        <v>5</v>
      </c>
      <c r="B16" s="1" t="s">
        <v>506</v>
      </c>
      <c r="C16" t="s">
        <v>507</v>
      </c>
      <c r="D16" t="s">
        <v>413</v>
      </c>
      <c r="E16" s="28">
        <v>750000</v>
      </c>
      <c r="F16" s="13">
        <v>766.13324999999998</v>
      </c>
      <c r="G16" s="14">
        <f t="shared" si="1"/>
        <v>6.6400000000000001E-2</v>
      </c>
      <c r="H16" s="15">
        <v>45275</v>
      </c>
      <c r="I16" s="64"/>
      <c r="J16" s="14" t="s">
        <v>796</v>
      </c>
      <c r="K16" s="48">
        <f t="shared" si="0"/>
        <v>1.7299999999999999E-2</v>
      </c>
    </row>
    <row r="17" spans="1:11" ht="12.75" customHeight="1" x14ac:dyDescent="0.2">
      <c r="A17">
        <f>+MAX($A$8:A16)+1</f>
        <v>6</v>
      </c>
      <c r="B17" s="1" t="s">
        <v>647</v>
      </c>
      <c r="C17" t="s">
        <v>648</v>
      </c>
      <c r="D17" t="s">
        <v>413</v>
      </c>
      <c r="E17" s="28">
        <v>700000</v>
      </c>
      <c r="F17" s="13">
        <v>701.40070000000003</v>
      </c>
      <c r="G17" s="14">
        <f t="shared" si="1"/>
        <v>6.08E-2</v>
      </c>
      <c r="H17" s="15">
        <v>47197</v>
      </c>
      <c r="I17" s="64"/>
      <c r="J17" t="s">
        <v>172</v>
      </c>
      <c r="K17" s="48">
        <f t="shared" si="0"/>
        <v>7.7999999999999996E-3</v>
      </c>
    </row>
    <row r="18" spans="1:11" ht="12.75" customHeight="1" x14ac:dyDescent="0.2">
      <c r="A18">
        <f>+MAX($A$8:A17)+1</f>
        <v>7</v>
      </c>
      <c r="B18" s="1" t="s">
        <v>649</v>
      </c>
      <c r="C18" t="s">
        <v>650</v>
      </c>
      <c r="D18" t="s">
        <v>413</v>
      </c>
      <c r="E18" s="28">
        <v>500000</v>
      </c>
      <c r="F18" s="13">
        <v>499.20049999999998</v>
      </c>
      <c r="G18" s="14">
        <f t="shared" si="1"/>
        <v>4.3200000000000002E-2</v>
      </c>
      <c r="H18" s="15">
        <v>47612</v>
      </c>
      <c r="I18" s="64"/>
      <c r="J18" s="14" t="s">
        <v>64</v>
      </c>
      <c r="K18" s="48">
        <f>+SUMIFS($G$5:$G$1000,$B$5:$B$1000,"CBLO / Reverse Repo Investments")+SUMIFS($G$5:$G$1000,$B$5:$B$1000,"Net Receivable/Payable")</f>
        <v>2.0399999999999998E-2</v>
      </c>
    </row>
    <row r="19" spans="1:11" ht="12.75" customHeight="1" x14ac:dyDescent="0.2">
      <c r="A19">
        <f>+MAX($A$8:A18)+1</f>
        <v>8</v>
      </c>
      <c r="B19" s="1" t="s">
        <v>696</v>
      </c>
      <c r="C19" t="s">
        <v>697</v>
      </c>
      <c r="D19" t="s">
        <v>413</v>
      </c>
      <c r="E19" s="28">
        <v>200000</v>
      </c>
      <c r="F19" s="13">
        <v>182.14680000000001</v>
      </c>
      <c r="G19" s="14">
        <f t="shared" si="1"/>
        <v>1.5800000000000002E-2</v>
      </c>
      <c r="H19" s="15">
        <v>48918</v>
      </c>
      <c r="I19" s="64"/>
      <c r="K19" s="48"/>
    </row>
    <row r="20" spans="1:11" ht="12.75" customHeight="1" x14ac:dyDescent="0.2">
      <c r="B20" s="18" t="s">
        <v>86</v>
      </c>
      <c r="C20" s="18"/>
      <c r="D20" s="18"/>
      <c r="E20" s="29"/>
      <c r="F20" s="19">
        <f>SUM(F13:F19)</f>
        <v>5408.8092000000006</v>
      </c>
      <c r="G20" s="20">
        <f>SUM(G13:G19)</f>
        <v>0.46860000000000002</v>
      </c>
      <c r="H20" s="21"/>
      <c r="I20" s="64"/>
      <c r="J20" s="14"/>
      <c r="K20" s="48"/>
    </row>
    <row r="21" spans="1:11" ht="12.75" customHeight="1" x14ac:dyDescent="0.2">
      <c r="F21" s="13"/>
      <c r="G21" s="14"/>
      <c r="H21" s="15"/>
      <c r="I21" s="64"/>
    </row>
    <row r="22" spans="1:11" ht="12.75" customHeight="1" x14ac:dyDescent="0.2">
      <c r="B22" s="16" t="s">
        <v>126</v>
      </c>
      <c r="C22" s="16"/>
      <c r="F22" s="13"/>
      <c r="G22" s="14"/>
      <c r="H22" s="15"/>
      <c r="I22" s="64"/>
      <c r="J22" s="14"/>
      <c r="K22" s="48"/>
    </row>
    <row r="23" spans="1:11" ht="12.75" customHeight="1" x14ac:dyDescent="0.2">
      <c r="B23" s="31" t="s">
        <v>417</v>
      </c>
      <c r="C23" s="16"/>
      <c r="F23" s="13"/>
      <c r="G23" s="14"/>
      <c r="H23" s="15"/>
      <c r="I23" s="64"/>
      <c r="J23" s="14"/>
    </row>
    <row r="24" spans="1:11" ht="12.75" customHeight="1" x14ac:dyDescent="0.2">
      <c r="A24">
        <f>+MAX($A$8:A23)+1</f>
        <v>9</v>
      </c>
      <c r="B24" s="65" t="s">
        <v>745</v>
      </c>
      <c r="C24" t="s">
        <v>453</v>
      </c>
      <c r="D24" t="s">
        <v>109</v>
      </c>
      <c r="E24" s="28">
        <v>50</v>
      </c>
      <c r="F24" s="13">
        <v>523.49649999999997</v>
      </c>
      <c r="G24" s="14">
        <f>+ROUND(F24/VLOOKUP("Grand Total",$B$4:$F$295,5,0),4)</f>
        <v>4.53E-2</v>
      </c>
      <c r="H24" s="15">
        <v>44852</v>
      </c>
      <c r="I24" s="64"/>
    </row>
    <row r="25" spans="1:11" ht="12.75" customHeight="1" x14ac:dyDescent="0.2">
      <c r="A25">
        <f>+MAX($A$8:A24)+1</f>
        <v>10</v>
      </c>
      <c r="B25" s="65" t="s">
        <v>698</v>
      </c>
      <c r="C25" t="s">
        <v>651</v>
      </c>
      <c r="D25" t="s">
        <v>109</v>
      </c>
      <c r="E25" s="28">
        <v>50</v>
      </c>
      <c r="F25" s="13">
        <v>512.45849999999996</v>
      </c>
      <c r="G25" s="14">
        <f>+ROUND(F25/VLOOKUP("Grand Total",$B$4:$F$295,5,0),4)</f>
        <v>4.4400000000000002E-2</v>
      </c>
      <c r="H25" s="15">
        <v>45042</v>
      </c>
      <c r="I25" s="64"/>
    </row>
    <row r="26" spans="1:11" ht="12.75" customHeight="1" x14ac:dyDescent="0.2">
      <c r="A26">
        <f>+MAX($A$8:A25)+1</f>
        <v>11</v>
      </c>
      <c r="B26" s="65" t="s">
        <v>746</v>
      </c>
      <c r="C26" s="65" t="s">
        <v>341</v>
      </c>
      <c r="D26" t="s">
        <v>109</v>
      </c>
      <c r="E26" s="28">
        <v>100</v>
      </c>
      <c r="F26" s="13">
        <v>505.9</v>
      </c>
      <c r="G26" s="14">
        <f t="shared" ref="G26:G36" si="2">+ROUND(F26/VLOOKUP("Grand Total",$B$4:$F$298,5,0),4)</f>
        <v>4.3799999999999999E-2</v>
      </c>
      <c r="H26" s="15">
        <v>43948</v>
      </c>
      <c r="I26" s="64"/>
    </row>
    <row r="27" spans="1:11" ht="12.75" customHeight="1" x14ac:dyDescent="0.2">
      <c r="A27">
        <f>+MAX($A$8:A26)+1</f>
        <v>12</v>
      </c>
      <c r="B27" s="65" t="s">
        <v>747</v>
      </c>
      <c r="C27" s="65" t="s">
        <v>418</v>
      </c>
      <c r="D27" t="s">
        <v>109</v>
      </c>
      <c r="E27" s="28">
        <v>50</v>
      </c>
      <c r="F27" s="13">
        <v>505.24700000000001</v>
      </c>
      <c r="G27" s="14">
        <f t="shared" si="2"/>
        <v>4.3799999999999999E-2</v>
      </c>
      <c r="H27" s="15">
        <v>44127</v>
      </c>
      <c r="I27" s="64"/>
    </row>
    <row r="28" spans="1:11" ht="12.75" customHeight="1" x14ac:dyDescent="0.2">
      <c r="A28">
        <f>+MAX($A$8:A27)+1</f>
        <v>13</v>
      </c>
      <c r="B28" s="65" t="s">
        <v>744</v>
      </c>
      <c r="C28" s="65" t="s">
        <v>451</v>
      </c>
      <c r="D28" t="s">
        <v>369</v>
      </c>
      <c r="E28" s="28">
        <v>50000</v>
      </c>
      <c r="F28" s="13">
        <v>505.18200000000002</v>
      </c>
      <c r="G28" s="14">
        <f t="shared" si="2"/>
        <v>4.3799999999999999E-2</v>
      </c>
      <c r="H28" s="15">
        <v>43693</v>
      </c>
      <c r="I28" s="64"/>
    </row>
    <row r="29" spans="1:11" ht="12.75" customHeight="1" x14ac:dyDescent="0.2">
      <c r="A29">
        <f>+MAX($A$8:A28)+1</f>
        <v>14</v>
      </c>
      <c r="B29" s="65" t="s">
        <v>748</v>
      </c>
      <c r="C29" s="65" t="s">
        <v>487</v>
      </c>
      <c r="D29" t="s">
        <v>488</v>
      </c>
      <c r="E29" s="28">
        <v>50</v>
      </c>
      <c r="F29" s="13">
        <v>501.05650000000003</v>
      </c>
      <c r="G29" s="14">
        <f t="shared" si="2"/>
        <v>4.3400000000000001E-2</v>
      </c>
      <c r="H29" s="15">
        <v>44693</v>
      </c>
      <c r="I29" s="64"/>
    </row>
    <row r="30" spans="1:11" ht="12.75" customHeight="1" x14ac:dyDescent="0.2">
      <c r="A30">
        <f>+MAX($A$8:A29)+1</f>
        <v>15</v>
      </c>
      <c r="B30" s="65" t="s">
        <v>749</v>
      </c>
      <c r="C30" s="65" t="s">
        <v>615</v>
      </c>
      <c r="D30" t="s">
        <v>109</v>
      </c>
      <c r="E30" s="28">
        <v>5</v>
      </c>
      <c r="F30" s="13">
        <v>496.82549999999998</v>
      </c>
      <c r="G30" s="14">
        <f t="shared" si="2"/>
        <v>4.2999999999999997E-2</v>
      </c>
      <c r="H30" s="15">
        <v>43787</v>
      </c>
      <c r="I30" s="64"/>
    </row>
    <row r="31" spans="1:11" ht="12.75" customHeight="1" x14ac:dyDescent="0.2">
      <c r="A31">
        <f>+MAX($A$8:A30)+1</f>
        <v>16</v>
      </c>
      <c r="B31" s="65" t="s">
        <v>699</v>
      </c>
      <c r="C31" s="65" t="s">
        <v>569</v>
      </c>
      <c r="D31" t="s">
        <v>176</v>
      </c>
      <c r="E31" s="28">
        <v>50</v>
      </c>
      <c r="F31" s="13">
        <v>492.64400000000001</v>
      </c>
      <c r="G31" s="14">
        <f t="shared" si="2"/>
        <v>4.2700000000000002E-2</v>
      </c>
      <c r="H31" s="15">
        <v>44376</v>
      </c>
      <c r="I31" s="64"/>
    </row>
    <row r="32" spans="1:11" ht="12.75" customHeight="1" x14ac:dyDescent="0.2">
      <c r="A32">
        <f>+MAX($A$8:A31)+1</f>
        <v>17</v>
      </c>
      <c r="B32" s="65" t="s">
        <v>750</v>
      </c>
      <c r="C32" s="65" t="s">
        <v>602</v>
      </c>
      <c r="D32" t="s">
        <v>109</v>
      </c>
      <c r="E32" s="28">
        <v>50</v>
      </c>
      <c r="F32" s="13">
        <v>486.69</v>
      </c>
      <c r="G32" s="14">
        <f t="shared" si="2"/>
        <v>4.2200000000000001E-2</v>
      </c>
      <c r="H32" s="15">
        <v>44804</v>
      </c>
      <c r="I32" s="64"/>
    </row>
    <row r="33" spans="1:10" ht="12.75" customHeight="1" x14ac:dyDescent="0.2">
      <c r="A33">
        <f>+MAX($A$8:A32)+1</f>
        <v>18</v>
      </c>
      <c r="B33" s="65" t="s">
        <v>751</v>
      </c>
      <c r="C33" s="65" t="s">
        <v>419</v>
      </c>
      <c r="D33" t="s">
        <v>109</v>
      </c>
      <c r="E33" s="28">
        <v>40</v>
      </c>
      <c r="F33" s="13">
        <v>406.28120000000001</v>
      </c>
      <c r="G33" s="14">
        <f t="shared" si="2"/>
        <v>3.5200000000000002E-2</v>
      </c>
      <c r="H33" s="15">
        <v>44343</v>
      </c>
      <c r="I33" s="64"/>
    </row>
    <row r="34" spans="1:10" ht="12.75" customHeight="1" x14ac:dyDescent="0.2">
      <c r="A34">
        <f>+MAX($A$8:A33)+1</f>
        <v>19</v>
      </c>
      <c r="B34" s="65" t="s">
        <v>752</v>
      </c>
      <c r="C34" s="65" t="s">
        <v>432</v>
      </c>
      <c r="D34" t="s">
        <v>369</v>
      </c>
      <c r="E34" s="28">
        <v>20</v>
      </c>
      <c r="F34" s="13">
        <v>200.88140000000001</v>
      </c>
      <c r="G34" s="14">
        <f t="shared" si="2"/>
        <v>1.7399999999999999E-2</v>
      </c>
      <c r="H34" s="15">
        <v>43322</v>
      </c>
      <c r="I34" s="64"/>
    </row>
    <row r="35" spans="1:10" ht="12.75" customHeight="1" x14ac:dyDescent="0.2">
      <c r="A35">
        <f>+MAX($A$8:A34)+1</f>
        <v>20</v>
      </c>
      <c r="B35" s="65" t="s">
        <v>753</v>
      </c>
      <c r="C35" s="65" t="s">
        <v>484</v>
      </c>
      <c r="D35" t="s">
        <v>796</v>
      </c>
      <c r="E35" s="28">
        <v>20</v>
      </c>
      <c r="F35" s="13">
        <v>199.99619999999999</v>
      </c>
      <c r="G35" s="14">
        <f t="shared" si="2"/>
        <v>1.7299999999999999E-2</v>
      </c>
      <c r="H35" s="15">
        <v>43105</v>
      </c>
      <c r="I35" s="64"/>
    </row>
    <row r="36" spans="1:10" ht="12.75" customHeight="1" x14ac:dyDescent="0.2">
      <c r="A36">
        <f>+MAX($A$8:A35)+1</f>
        <v>21</v>
      </c>
      <c r="B36" s="65" t="s">
        <v>743</v>
      </c>
      <c r="C36" s="65" t="s">
        <v>173</v>
      </c>
      <c r="D36" t="s">
        <v>172</v>
      </c>
      <c r="E36" s="28">
        <v>9</v>
      </c>
      <c r="F36" s="13">
        <v>90.368729999999999</v>
      </c>
      <c r="G36" s="14">
        <f t="shared" si="2"/>
        <v>7.7999999999999996E-3</v>
      </c>
      <c r="H36" s="15">
        <v>43259</v>
      </c>
      <c r="I36" s="64"/>
    </row>
    <row r="37" spans="1:10" ht="12.75" customHeight="1" x14ac:dyDescent="0.2">
      <c r="B37" s="18" t="s">
        <v>86</v>
      </c>
      <c r="C37" s="18"/>
      <c r="D37" s="18"/>
      <c r="E37" s="29"/>
      <c r="F37" s="19">
        <f>SUM(F24:F36)</f>
        <v>5427.0275300000003</v>
      </c>
      <c r="G37" s="20">
        <f>SUM(G24:G36)</f>
        <v>0.47010000000000002</v>
      </c>
      <c r="H37" s="21"/>
      <c r="J37" s="52"/>
    </row>
    <row r="38" spans="1:10" ht="12.75" customHeight="1" x14ac:dyDescent="0.2">
      <c r="F38" s="13"/>
      <c r="G38" s="14"/>
      <c r="H38" s="15"/>
    </row>
    <row r="39" spans="1:10" ht="12.75" customHeight="1" x14ac:dyDescent="0.2">
      <c r="A39" s="95" t="s">
        <v>380</v>
      </c>
      <c r="B39" s="16" t="s">
        <v>94</v>
      </c>
      <c r="C39" s="16"/>
      <c r="F39" s="13">
        <v>14.9602621</v>
      </c>
      <c r="G39" s="14">
        <f>+ROUND(F39/VLOOKUP("Grand Total",$B$4:$F$295,5,0),4)</f>
        <v>1.2999999999999999E-3</v>
      </c>
      <c r="H39" s="15">
        <v>43101</v>
      </c>
    </row>
    <row r="40" spans="1:10" ht="12.75" customHeight="1" x14ac:dyDescent="0.2">
      <c r="B40" s="18" t="s">
        <v>86</v>
      </c>
      <c r="C40" s="18"/>
      <c r="D40" s="18"/>
      <c r="E40" s="29"/>
      <c r="F40" s="19">
        <f>SUM(F39)</f>
        <v>14.9602621</v>
      </c>
      <c r="G40" s="20">
        <f>SUM(G39)</f>
        <v>1.2999999999999999E-3</v>
      </c>
      <c r="H40" s="21"/>
      <c r="I40" s="35"/>
    </row>
    <row r="41" spans="1:10" ht="12.75" customHeight="1" x14ac:dyDescent="0.2">
      <c r="F41" s="13"/>
      <c r="G41" s="14"/>
      <c r="H41" s="15"/>
    </row>
    <row r="42" spans="1:10" ht="12.75" customHeight="1" x14ac:dyDescent="0.2">
      <c r="B42" s="16" t="s">
        <v>95</v>
      </c>
      <c r="C42" s="16"/>
      <c r="F42" s="13"/>
      <c r="G42" s="14"/>
      <c r="H42" s="15"/>
    </row>
    <row r="43" spans="1:10" ht="12.75" customHeight="1" x14ac:dyDescent="0.2">
      <c r="B43" s="16" t="s">
        <v>96</v>
      </c>
      <c r="C43" s="16"/>
      <c r="F43" s="43">
        <v>221.20119799999884</v>
      </c>
      <c r="G43" s="14">
        <f>+ROUND(F43/VLOOKUP("Grand Total",$B$4:$F$295,5,0),4)-0.01%</f>
        <v>1.9099999999999999E-2</v>
      </c>
      <c r="H43" s="15"/>
    </row>
    <row r="44" spans="1:10" ht="12.75" customHeight="1" x14ac:dyDescent="0.2">
      <c r="B44" s="18" t="s">
        <v>86</v>
      </c>
      <c r="C44" s="18"/>
      <c r="D44" s="18"/>
      <c r="E44" s="29"/>
      <c r="F44" s="50">
        <f>SUM(F43)</f>
        <v>221.20119799999884</v>
      </c>
      <c r="G44" s="20">
        <f>SUM(G43)</f>
        <v>1.9099999999999999E-2</v>
      </c>
      <c r="H44" s="21"/>
      <c r="I44" s="35"/>
    </row>
    <row r="45" spans="1:10" ht="12.75" customHeight="1" x14ac:dyDescent="0.2">
      <c r="B45" s="22" t="s">
        <v>97</v>
      </c>
      <c r="C45" s="22"/>
      <c r="D45" s="22"/>
      <c r="E45" s="30"/>
      <c r="F45" s="23">
        <f>+SUMIF($B$5:B44,"Total",$F$5:F44)</f>
        <v>11544.1561901</v>
      </c>
      <c r="G45" s="24">
        <f>+SUMIF($B$5:B44,"Total",$G$5:G44)</f>
        <v>1</v>
      </c>
      <c r="H45" s="25"/>
      <c r="I45" s="35"/>
    </row>
    <row r="46" spans="1:10" ht="12.75" customHeight="1" x14ac:dyDescent="0.2"/>
    <row r="47" spans="1:10" ht="12.75" customHeight="1" x14ac:dyDescent="0.2">
      <c r="B47" s="16" t="s">
        <v>799</v>
      </c>
      <c r="C47" s="16"/>
    </row>
    <row r="48" spans="1:10" ht="12.75" customHeight="1" x14ac:dyDescent="0.2">
      <c r="B48" s="16" t="s">
        <v>189</v>
      </c>
      <c r="C48" s="16"/>
    </row>
    <row r="49" spans="2:3" ht="12.75" customHeight="1" x14ac:dyDescent="0.2">
      <c r="B49" s="16"/>
      <c r="C49" s="16"/>
    </row>
    <row r="50" spans="2:3" ht="12.75" customHeight="1" x14ac:dyDescent="0.2">
      <c r="B50" s="16"/>
      <c r="C50" s="16"/>
    </row>
    <row r="51" spans="2:3" ht="12.75" customHeight="1" x14ac:dyDescent="0.2">
      <c r="B51" s="16"/>
      <c r="C51" s="16"/>
    </row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sheetProtection password="EDB3" sheet="1" objects="1" scenarios="1"/>
  <sortState ref="J10:K17">
    <sortCondition descending="1" ref="K10:K17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8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393</v>
      </c>
      <c r="B1" s="123" t="s">
        <v>339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F7" s="13"/>
      <c r="G7" s="14"/>
      <c r="H7" s="15"/>
      <c r="J7" s="17" t="s">
        <v>4</v>
      </c>
      <c r="K7" s="37" t="s">
        <v>12</v>
      </c>
    </row>
    <row r="8" spans="1:16" ht="12.75" customHeight="1" x14ac:dyDescent="0.2">
      <c r="B8" s="16" t="s">
        <v>312</v>
      </c>
      <c r="C8" s="16"/>
      <c r="F8" s="13"/>
      <c r="G8" s="14"/>
      <c r="H8" s="15"/>
      <c r="J8" s="14" t="s">
        <v>109</v>
      </c>
      <c r="K8" s="48">
        <f t="shared" ref="K8:K20" si="0">SUMIFS($G$5:$G$335,$D$5:$D$335,J8)</f>
        <v>0.34240000000000004</v>
      </c>
      <c r="M8" s="14"/>
      <c r="N8" s="36"/>
      <c r="P8" s="14"/>
    </row>
    <row r="9" spans="1:16" ht="12.75" customHeight="1" x14ac:dyDescent="0.2">
      <c r="A9">
        <f>+MAX($A$8:A8)+1</f>
        <v>1</v>
      </c>
      <c r="B9" t="s">
        <v>296</v>
      </c>
      <c r="C9" t="s">
        <v>645</v>
      </c>
      <c r="D9" t="s">
        <v>610</v>
      </c>
      <c r="E9" s="28">
        <v>380</v>
      </c>
      <c r="F9" s="13">
        <v>1763.5705</v>
      </c>
      <c r="G9" s="14">
        <f>+ROUND(F9/VLOOKUP("Grand Total",$B$4:$F$277,5,0),4)</f>
        <v>3.78E-2</v>
      </c>
      <c r="H9" s="89">
        <v>43426</v>
      </c>
      <c r="J9" s="14" t="s">
        <v>369</v>
      </c>
      <c r="K9" s="48">
        <f t="shared" si="0"/>
        <v>8.77E-2</v>
      </c>
      <c r="M9" s="14"/>
      <c r="N9" s="36"/>
      <c r="P9" s="14"/>
    </row>
    <row r="10" spans="1:16" ht="12.75" customHeight="1" x14ac:dyDescent="0.2">
      <c r="B10" s="18" t="s">
        <v>86</v>
      </c>
      <c r="C10" s="18"/>
      <c r="D10" s="18"/>
      <c r="E10" s="29"/>
      <c r="F10" s="19">
        <f>SUM(F9:F9)</f>
        <v>1763.5705</v>
      </c>
      <c r="G10" s="20">
        <f>SUM(G9:G9)</f>
        <v>3.78E-2</v>
      </c>
      <c r="H10" s="21"/>
      <c r="J10" t="s">
        <v>413</v>
      </c>
      <c r="K10" s="48">
        <f t="shared" si="0"/>
        <v>7.4899999999999994E-2</v>
      </c>
    </row>
    <row r="11" spans="1:16" ht="12.75" customHeight="1" x14ac:dyDescent="0.2">
      <c r="F11" s="13"/>
      <c r="G11" s="14"/>
      <c r="H11" s="15"/>
      <c r="J11" s="14" t="s">
        <v>176</v>
      </c>
      <c r="K11" s="48">
        <f t="shared" si="0"/>
        <v>7.2599999999999998E-2</v>
      </c>
    </row>
    <row r="12" spans="1:16" ht="12.75" customHeight="1" x14ac:dyDescent="0.2">
      <c r="B12" s="16" t="s">
        <v>171</v>
      </c>
      <c r="C12" s="16"/>
      <c r="F12" s="13"/>
      <c r="G12" s="14"/>
      <c r="H12" s="15"/>
      <c r="J12" s="14" t="s">
        <v>465</v>
      </c>
      <c r="K12" s="48">
        <f t="shared" si="0"/>
        <v>6.6099999999999992E-2</v>
      </c>
      <c r="M12" s="14"/>
      <c r="N12" s="36"/>
      <c r="P12" s="14"/>
    </row>
    <row r="13" spans="1:16" ht="12.75" customHeight="1" x14ac:dyDescent="0.2">
      <c r="A13">
        <f>+MAX($A$8:A12)+1</f>
        <v>2</v>
      </c>
      <c r="B13" t="s">
        <v>320</v>
      </c>
      <c r="C13" t="s">
        <v>299</v>
      </c>
      <c r="D13" t="s">
        <v>413</v>
      </c>
      <c r="E13" s="28">
        <v>500000</v>
      </c>
      <c r="F13" s="13">
        <v>517.01649999999995</v>
      </c>
      <c r="G13" s="14">
        <f>+ROUND(F13/VLOOKUP("Grand Total",$B$4:$F$277,5,0),4)</f>
        <v>1.11E-2</v>
      </c>
      <c r="H13" s="89">
        <v>44175</v>
      </c>
      <c r="J13" s="14" t="s">
        <v>488</v>
      </c>
      <c r="K13" s="48">
        <f t="shared" si="0"/>
        <v>5.3699999999999998E-2</v>
      </c>
      <c r="M13" s="14"/>
      <c r="N13" s="36"/>
      <c r="P13" s="14"/>
    </row>
    <row r="14" spans="1:16" ht="12.75" customHeight="1" x14ac:dyDescent="0.2">
      <c r="A14">
        <f>+MAX($A$8:A13)+1</f>
        <v>3</v>
      </c>
      <c r="B14" t="s">
        <v>652</v>
      </c>
      <c r="C14" t="s">
        <v>653</v>
      </c>
      <c r="D14" t="s">
        <v>413</v>
      </c>
      <c r="E14" s="28">
        <v>500000</v>
      </c>
      <c r="F14" s="13">
        <v>510.48599999999999</v>
      </c>
      <c r="G14" s="14">
        <f>+ROUND(F14/VLOOKUP("Grand Total",$B$4:$F$277,5,0),4)</f>
        <v>1.09E-2</v>
      </c>
      <c r="H14" s="89">
        <v>45802</v>
      </c>
      <c r="J14" s="14" t="s">
        <v>297</v>
      </c>
      <c r="K14" s="48">
        <f t="shared" si="0"/>
        <v>5.3600000000000002E-2</v>
      </c>
      <c r="M14" s="14"/>
      <c r="N14" s="36"/>
      <c r="P14" s="14"/>
    </row>
    <row r="15" spans="1:16" ht="12.75" customHeight="1" x14ac:dyDescent="0.2">
      <c r="A15">
        <f>+MAX($A$8:A14)+1</f>
        <v>4</v>
      </c>
      <c r="B15" t="s">
        <v>700</v>
      </c>
      <c r="C15" t="s">
        <v>701</v>
      </c>
      <c r="D15" t="s">
        <v>413</v>
      </c>
      <c r="E15" s="28">
        <v>500000</v>
      </c>
      <c r="F15" s="13">
        <v>500.70249999999999</v>
      </c>
      <c r="G15" s="14">
        <f>+ROUND(F15/VLOOKUP("Grand Total",$B$4:$F$277,5,0),4)</f>
        <v>1.0699999999999999E-2</v>
      </c>
      <c r="H15" s="89">
        <v>45465</v>
      </c>
      <c r="J15" s="14" t="s">
        <v>169</v>
      </c>
      <c r="K15" s="48">
        <f t="shared" si="0"/>
        <v>5.33E-2</v>
      </c>
      <c r="M15" s="14"/>
      <c r="N15" s="36"/>
      <c r="P15" s="14"/>
    </row>
    <row r="16" spans="1:16" ht="12.75" customHeight="1" x14ac:dyDescent="0.2">
      <c r="A16">
        <f>+MAX($A$8:A15)+1</f>
        <v>5</v>
      </c>
      <c r="B16" t="s">
        <v>485</v>
      </c>
      <c r="C16" t="s">
        <v>486</v>
      </c>
      <c r="D16" t="s">
        <v>413</v>
      </c>
      <c r="E16" s="28">
        <v>45300</v>
      </c>
      <c r="F16" s="13">
        <v>44.743217699999995</v>
      </c>
      <c r="G16" s="14">
        <f>+ROUND(F16/VLOOKUP("Grand Total",$B$4:$F$277,5,0),4)</f>
        <v>1E-3</v>
      </c>
      <c r="H16" s="89">
        <v>44914</v>
      </c>
      <c r="J16" s="14" t="s">
        <v>796</v>
      </c>
      <c r="K16" s="48">
        <f t="shared" si="0"/>
        <v>4.2900000000000001E-2</v>
      </c>
      <c r="M16" s="14"/>
      <c r="N16" s="36"/>
      <c r="P16" s="14"/>
    </row>
    <row r="17" spans="1:16" ht="12.75" customHeight="1" x14ac:dyDescent="0.2">
      <c r="B17" s="18" t="s">
        <v>86</v>
      </c>
      <c r="C17" s="18"/>
      <c r="D17" s="18"/>
      <c r="E17" s="29"/>
      <c r="F17" s="19">
        <f>SUM(F13:F16)</f>
        <v>1572.9482177</v>
      </c>
      <c r="G17" s="20">
        <f>SUM(G13:G16)</f>
        <v>3.3700000000000001E-2</v>
      </c>
      <c r="H17" s="21"/>
      <c r="J17" s="14" t="s">
        <v>610</v>
      </c>
      <c r="K17" s="48">
        <f t="shared" si="0"/>
        <v>3.78E-2</v>
      </c>
    </row>
    <row r="18" spans="1:16" ht="12.75" customHeight="1" x14ac:dyDescent="0.2">
      <c r="F18" s="13"/>
      <c r="G18" s="14"/>
      <c r="H18" s="15"/>
      <c r="J18" s="14" t="s">
        <v>172</v>
      </c>
      <c r="K18" s="48">
        <f t="shared" si="0"/>
        <v>2.3699999999999999E-2</v>
      </c>
    </row>
    <row r="19" spans="1:16" ht="12.75" customHeight="1" x14ac:dyDescent="0.2">
      <c r="B19" s="16" t="s">
        <v>452</v>
      </c>
      <c r="C19" s="16"/>
      <c r="F19" s="13"/>
      <c r="G19" s="14"/>
      <c r="H19" s="15"/>
      <c r="J19" t="s">
        <v>559</v>
      </c>
      <c r="K19" s="48">
        <f t="shared" si="0"/>
        <v>2.1600000000000001E-2</v>
      </c>
      <c r="M19" s="14"/>
      <c r="N19" s="36"/>
      <c r="P19" s="14"/>
    </row>
    <row r="20" spans="1:16" ht="12.75" customHeight="1" x14ac:dyDescent="0.2">
      <c r="A20">
        <f>+MAX($A$8:A19)+1</f>
        <v>6</v>
      </c>
      <c r="B20" t="s">
        <v>654</v>
      </c>
      <c r="C20" t="s">
        <v>655</v>
      </c>
      <c r="D20" t="s">
        <v>413</v>
      </c>
      <c r="E20" s="28">
        <v>2000000</v>
      </c>
      <c r="F20" s="13">
        <v>1918.9860000000001</v>
      </c>
      <c r="G20" s="14">
        <f>+ROUND(F20/VLOOKUP("Grand Total",$B$4:$F$277,5,0),4)</f>
        <v>4.1200000000000001E-2</v>
      </c>
      <c r="H20" s="89">
        <v>46608</v>
      </c>
      <c r="J20" t="s">
        <v>564</v>
      </c>
      <c r="K20" s="48">
        <f t="shared" si="0"/>
        <v>6.4999999999999997E-3</v>
      </c>
      <c r="L20" s="54">
        <f>+SUM($K$8:K9)</f>
        <v>0.43010000000000004</v>
      </c>
      <c r="M20" s="14"/>
      <c r="N20" s="36"/>
      <c r="P20" s="14"/>
    </row>
    <row r="21" spans="1:16" ht="12.75" customHeight="1" x14ac:dyDescent="0.2">
      <c r="B21" s="18" t="s">
        <v>86</v>
      </c>
      <c r="C21" s="18"/>
      <c r="D21" s="18"/>
      <c r="E21" s="29"/>
      <c r="F21" s="19">
        <f>SUM(F20:F20)</f>
        <v>1918.9860000000001</v>
      </c>
      <c r="G21" s="20">
        <f>SUM(G20:G20)</f>
        <v>4.1200000000000001E-2</v>
      </c>
      <c r="H21" s="21"/>
      <c r="J21" s="14" t="s">
        <v>64</v>
      </c>
      <c r="K21" s="48">
        <f>+SUMIFS($G$5:$G$1000,$B$5:$B$1000,"CBLO / Reverse Repo Investments")+SUMIFS($G$5:$G$1000,$B$5:$B$1000,"Net Receivable/Payable")</f>
        <v>6.3199999999999992E-2</v>
      </c>
    </row>
    <row r="22" spans="1:16" ht="12.75" customHeight="1" x14ac:dyDescent="0.2">
      <c r="F22" s="13"/>
      <c r="G22" s="14"/>
      <c r="H22" s="15"/>
      <c r="J22" s="14"/>
      <c r="K22" s="48"/>
    </row>
    <row r="23" spans="1:16" ht="12.75" customHeight="1" x14ac:dyDescent="0.2">
      <c r="B23" s="16" t="s">
        <v>126</v>
      </c>
      <c r="C23" s="16"/>
      <c r="F23" s="13"/>
      <c r="G23" s="14"/>
      <c r="H23" s="15"/>
      <c r="J23" s="14"/>
      <c r="K23" s="48"/>
    </row>
    <row r="24" spans="1:16" ht="12.75" customHeight="1" x14ac:dyDescent="0.2">
      <c r="B24" s="31" t="s">
        <v>417</v>
      </c>
      <c r="C24" s="16"/>
      <c r="F24" s="13"/>
      <c r="G24" s="14"/>
      <c r="H24" s="15"/>
    </row>
    <row r="25" spans="1:16" ht="12.75" customHeight="1" x14ac:dyDescent="0.2">
      <c r="A25">
        <f>+MAX($A$8:A24)+1</f>
        <v>7</v>
      </c>
      <c r="B25" s="65" t="s">
        <v>736</v>
      </c>
      <c r="C25" t="s">
        <v>433</v>
      </c>
      <c r="D25" t="s">
        <v>369</v>
      </c>
      <c r="E25" s="28">
        <v>255000</v>
      </c>
      <c r="F25" s="13">
        <v>2575.8442500000001</v>
      </c>
      <c r="G25" s="14">
        <f t="shared" ref="G25:G45" si="1">+ROUND(F25/VLOOKUP("Grand Total",$B$4:$F$277,5,0),4)</f>
        <v>5.5199999999999999E-2</v>
      </c>
      <c r="H25" s="15">
        <v>43717</v>
      </c>
    </row>
    <row r="26" spans="1:16" ht="12.75" customHeight="1" x14ac:dyDescent="0.2">
      <c r="A26">
        <f>+MAX($A$8:A25)+1</f>
        <v>8</v>
      </c>
      <c r="B26" s="65" t="s">
        <v>754</v>
      </c>
      <c r="C26" t="s">
        <v>333</v>
      </c>
      <c r="D26" t="s">
        <v>109</v>
      </c>
      <c r="E26" s="28">
        <v>250</v>
      </c>
      <c r="F26" s="13">
        <v>2564.9375</v>
      </c>
      <c r="G26" s="14">
        <f t="shared" si="1"/>
        <v>5.5E-2</v>
      </c>
      <c r="H26" s="15">
        <v>43788</v>
      </c>
    </row>
    <row r="27" spans="1:16" ht="12.75" customHeight="1" x14ac:dyDescent="0.2">
      <c r="A27">
        <f>+MAX($A$8:A26)+1</f>
        <v>9</v>
      </c>
      <c r="B27" s="65" t="s">
        <v>748</v>
      </c>
      <c r="C27" t="s">
        <v>487</v>
      </c>
      <c r="D27" t="s">
        <v>488</v>
      </c>
      <c r="E27" s="28">
        <v>250</v>
      </c>
      <c r="F27" s="13">
        <v>2505.2824999999998</v>
      </c>
      <c r="G27" s="14">
        <f t="shared" si="1"/>
        <v>5.3699999999999998E-2</v>
      </c>
      <c r="H27" s="15">
        <v>44693</v>
      </c>
    </row>
    <row r="28" spans="1:16" ht="12.75" customHeight="1" x14ac:dyDescent="0.2">
      <c r="A28">
        <f>+MAX($A$8:A27)+1</f>
        <v>10</v>
      </c>
      <c r="B28" t="s">
        <v>735</v>
      </c>
      <c r="C28" t="s">
        <v>509</v>
      </c>
      <c r="D28" t="s">
        <v>297</v>
      </c>
      <c r="E28" s="28">
        <v>250</v>
      </c>
      <c r="F28" s="13">
        <v>2498.7049999999999</v>
      </c>
      <c r="G28" s="14">
        <f t="shared" si="1"/>
        <v>5.3600000000000002E-2</v>
      </c>
      <c r="H28" s="15">
        <v>43630</v>
      </c>
      <c r="J28" s="46"/>
      <c r="K28" s="48"/>
    </row>
    <row r="29" spans="1:16" ht="12.75" customHeight="1" x14ac:dyDescent="0.2">
      <c r="A29">
        <f>+MAX($A$8:A28)+1</f>
        <v>11</v>
      </c>
      <c r="B29" s="65" t="s">
        <v>755</v>
      </c>
      <c r="C29" t="s">
        <v>414</v>
      </c>
      <c r="D29" t="s">
        <v>109</v>
      </c>
      <c r="E29" s="28">
        <v>25</v>
      </c>
      <c r="F29" s="13">
        <v>2497.4749999999999</v>
      </c>
      <c r="G29" s="14">
        <f t="shared" si="1"/>
        <v>5.3600000000000002E-2</v>
      </c>
      <c r="H29" s="15">
        <v>43780</v>
      </c>
    </row>
    <row r="30" spans="1:16" ht="12.75" customHeight="1" x14ac:dyDescent="0.2">
      <c r="A30">
        <f>+MAX($A$8:A29)+1</f>
        <v>12</v>
      </c>
      <c r="B30" s="65" t="s">
        <v>756</v>
      </c>
      <c r="C30" t="s">
        <v>538</v>
      </c>
      <c r="D30" t="s">
        <v>109</v>
      </c>
      <c r="E30" s="28">
        <v>25</v>
      </c>
      <c r="F30" s="13">
        <v>2489.5225</v>
      </c>
      <c r="G30" s="14">
        <f t="shared" si="1"/>
        <v>5.3400000000000003E-2</v>
      </c>
      <c r="H30" s="15">
        <v>43445</v>
      </c>
    </row>
    <row r="31" spans="1:16" ht="12.75" customHeight="1" x14ac:dyDescent="0.2">
      <c r="A31">
        <f>+MAX($A$8:A30)+1</f>
        <v>13</v>
      </c>
      <c r="B31" s="65" t="s">
        <v>757</v>
      </c>
      <c r="C31" t="s">
        <v>450</v>
      </c>
      <c r="D31" t="s">
        <v>169</v>
      </c>
      <c r="E31" s="28">
        <v>250</v>
      </c>
      <c r="F31" s="13">
        <v>2486.665</v>
      </c>
      <c r="G31" s="14">
        <f t="shared" si="1"/>
        <v>5.33E-2</v>
      </c>
      <c r="H31" s="15">
        <v>43951</v>
      </c>
    </row>
    <row r="32" spans="1:16" s="46" customFormat="1" ht="12.75" customHeight="1" x14ac:dyDescent="0.2">
      <c r="A32">
        <f>+MAX($A$8:A31)+1</f>
        <v>14</v>
      </c>
      <c r="B32" s="65" t="s">
        <v>536</v>
      </c>
      <c r="C32" t="s">
        <v>618</v>
      </c>
      <c r="D32" t="s">
        <v>109</v>
      </c>
      <c r="E32" s="28">
        <v>250</v>
      </c>
      <c r="F32" s="13">
        <v>2479.7824999999998</v>
      </c>
      <c r="G32" s="14">
        <f t="shared" si="1"/>
        <v>5.3199999999999997E-2</v>
      </c>
      <c r="H32" s="15">
        <v>44424</v>
      </c>
      <c r="I32" s="64"/>
      <c r="J32"/>
      <c r="K32" s="36"/>
    </row>
    <row r="33" spans="1:11" ht="12.75" customHeight="1" x14ac:dyDescent="0.2">
      <c r="A33">
        <f>+MAX($A$8:A32)+1</f>
        <v>15</v>
      </c>
      <c r="B33" s="65" t="s">
        <v>656</v>
      </c>
      <c r="C33" t="s">
        <v>601</v>
      </c>
      <c r="D33" t="s">
        <v>109</v>
      </c>
      <c r="E33" s="28">
        <v>250</v>
      </c>
      <c r="F33" s="13">
        <v>2464.54</v>
      </c>
      <c r="G33" s="14">
        <f t="shared" si="1"/>
        <v>5.2900000000000003E-2</v>
      </c>
      <c r="H33" s="15">
        <v>44104</v>
      </c>
      <c r="J33" s="52"/>
    </row>
    <row r="34" spans="1:11" ht="12.75" customHeight="1" x14ac:dyDescent="0.2">
      <c r="A34">
        <f>+MAX($A$8:A33)+1</f>
        <v>16</v>
      </c>
      <c r="B34" s="65" t="s">
        <v>751</v>
      </c>
      <c r="C34" t="s">
        <v>419</v>
      </c>
      <c r="D34" t="s">
        <v>109</v>
      </c>
      <c r="E34" s="28">
        <v>240</v>
      </c>
      <c r="F34" s="13">
        <v>2437.6871999999998</v>
      </c>
      <c r="G34" s="14">
        <f t="shared" si="1"/>
        <v>5.2299999999999999E-2</v>
      </c>
      <c r="H34" s="15">
        <v>44343</v>
      </c>
      <c r="J34" s="52"/>
    </row>
    <row r="35" spans="1:11" ht="12.75" customHeight="1" x14ac:dyDescent="0.2">
      <c r="A35">
        <f>+MAX($A$8:A34)+1</f>
        <v>17</v>
      </c>
      <c r="B35" s="65" t="s">
        <v>758</v>
      </c>
      <c r="C35" t="s">
        <v>535</v>
      </c>
      <c r="D35" t="s">
        <v>465</v>
      </c>
      <c r="E35" s="28">
        <v>210</v>
      </c>
      <c r="F35" s="13">
        <v>2086.1273999999999</v>
      </c>
      <c r="G35" s="14">
        <f t="shared" si="1"/>
        <v>4.4699999999999997E-2</v>
      </c>
      <c r="H35" s="15">
        <v>43671</v>
      </c>
      <c r="J35" s="52"/>
    </row>
    <row r="36" spans="1:11" ht="12.75" customHeight="1" x14ac:dyDescent="0.2">
      <c r="A36">
        <f>+MAX($A$8:A35)+1</f>
        <v>18</v>
      </c>
      <c r="B36" s="65" t="s">
        <v>759</v>
      </c>
      <c r="C36" t="s">
        <v>462</v>
      </c>
      <c r="D36" t="s">
        <v>176</v>
      </c>
      <c r="E36" s="28">
        <v>200</v>
      </c>
      <c r="F36" s="13">
        <v>2007.2139999999999</v>
      </c>
      <c r="G36" s="14">
        <f t="shared" si="1"/>
        <v>4.2999999999999997E-2</v>
      </c>
      <c r="H36" s="15">
        <v>43678</v>
      </c>
    </row>
    <row r="37" spans="1:11" ht="12.75" customHeight="1" x14ac:dyDescent="0.2">
      <c r="A37">
        <f>+MAX($A$8:A36)+1</f>
        <v>19</v>
      </c>
      <c r="B37" s="65" t="s">
        <v>753</v>
      </c>
      <c r="C37" t="s">
        <v>484</v>
      </c>
      <c r="D37" t="s">
        <v>796</v>
      </c>
      <c r="E37" s="28">
        <v>200</v>
      </c>
      <c r="F37" s="13">
        <v>1999.962</v>
      </c>
      <c r="G37" s="14">
        <f t="shared" si="1"/>
        <v>4.2900000000000001E-2</v>
      </c>
      <c r="H37" s="15">
        <v>43105</v>
      </c>
      <c r="J37" s="52"/>
    </row>
    <row r="38" spans="1:11" ht="12.75" customHeight="1" x14ac:dyDescent="0.2">
      <c r="A38">
        <f>+MAX($A$8:A37)+1</f>
        <v>20</v>
      </c>
      <c r="B38" s="65" t="s">
        <v>760</v>
      </c>
      <c r="C38" t="s">
        <v>440</v>
      </c>
      <c r="D38" t="s">
        <v>176</v>
      </c>
      <c r="E38" s="28">
        <v>140</v>
      </c>
      <c r="F38" s="13">
        <v>1381.3492000000001</v>
      </c>
      <c r="G38" s="14">
        <f t="shared" si="1"/>
        <v>2.9600000000000001E-2</v>
      </c>
      <c r="H38" s="15">
        <v>44489</v>
      </c>
      <c r="J38" s="52"/>
    </row>
    <row r="39" spans="1:11" ht="12.75" customHeight="1" x14ac:dyDescent="0.2">
      <c r="A39">
        <f>+MAX($A$8:A38)+1</f>
        <v>21</v>
      </c>
      <c r="B39" t="s">
        <v>743</v>
      </c>
      <c r="C39" t="s">
        <v>173</v>
      </c>
      <c r="D39" t="s">
        <v>172</v>
      </c>
      <c r="E39" s="28">
        <v>110</v>
      </c>
      <c r="F39" s="13">
        <v>1104.5066999999999</v>
      </c>
      <c r="G39" s="14">
        <f t="shared" si="1"/>
        <v>2.3699999999999999E-2</v>
      </c>
      <c r="H39" s="15">
        <v>43259</v>
      </c>
      <c r="J39" s="52"/>
    </row>
    <row r="40" spans="1:11" ht="12.75" customHeight="1" x14ac:dyDescent="0.2">
      <c r="A40">
        <f>+MAX($A$8:A39)+1</f>
        <v>22</v>
      </c>
      <c r="B40" s="65" t="s">
        <v>698</v>
      </c>
      <c r="C40" t="s">
        <v>651</v>
      </c>
      <c r="D40" t="s">
        <v>109</v>
      </c>
      <c r="E40" s="28">
        <v>100</v>
      </c>
      <c r="F40" s="13">
        <v>1024.9169999999999</v>
      </c>
      <c r="G40" s="14">
        <f t="shared" si="1"/>
        <v>2.1999999999999999E-2</v>
      </c>
      <c r="H40" s="15">
        <v>45042</v>
      </c>
      <c r="J40" s="52"/>
    </row>
    <row r="41" spans="1:11" ht="12.75" customHeight="1" x14ac:dyDescent="0.2">
      <c r="A41">
        <f>+MAX($A$8:A40)+1</f>
        <v>23</v>
      </c>
      <c r="B41" s="65" t="s">
        <v>761</v>
      </c>
      <c r="C41" t="s">
        <v>405</v>
      </c>
      <c r="D41" t="s">
        <v>369</v>
      </c>
      <c r="E41" s="28">
        <v>100</v>
      </c>
      <c r="F41" s="13">
        <v>1009.905</v>
      </c>
      <c r="G41" s="14">
        <f t="shared" si="1"/>
        <v>2.1700000000000001E-2</v>
      </c>
      <c r="H41" s="15">
        <v>43892</v>
      </c>
      <c r="J41" s="52"/>
    </row>
    <row r="42" spans="1:11" ht="12.75" customHeight="1" x14ac:dyDescent="0.2">
      <c r="A42">
        <f>+MAX($A$8:A41)+1</f>
        <v>24</v>
      </c>
      <c r="B42" t="s">
        <v>742</v>
      </c>
      <c r="C42" t="s">
        <v>358</v>
      </c>
      <c r="D42" t="s">
        <v>559</v>
      </c>
      <c r="E42" s="28">
        <v>100</v>
      </c>
      <c r="F42" s="13">
        <v>1007.085</v>
      </c>
      <c r="G42" s="14">
        <f t="shared" si="1"/>
        <v>2.1600000000000001E-2</v>
      </c>
      <c r="H42" s="15">
        <v>43309</v>
      </c>
      <c r="J42" s="52"/>
    </row>
    <row r="43" spans="1:11" ht="12.75" customHeight="1" x14ac:dyDescent="0.2">
      <c r="A43">
        <f>+MAX($A$8:A42)+1</f>
        <v>25</v>
      </c>
      <c r="B43" t="s">
        <v>762</v>
      </c>
      <c r="C43" t="s">
        <v>464</v>
      </c>
      <c r="D43" t="s">
        <v>465</v>
      </c>
      <c r="E43" s="28">
        <v>100000</v>
      </c>
      <c r="F43" s="13">
        <v>999.42899999999997</v>
      </c>
      <c r="G43" s="14">
        <f t="shared" si="1"/>
        <v>2.1399999999999999E-2</v>
      </c>
      <c r="H43" s="15">
        <v>43579</v>
      </c>
      <c r="J43" s="52"/>
    </row>
    <row r="44" spans="1:11" ht="12.75" customHeight="1" x14ac:dyDescent="0.2">
      <c r="A44">
        <f>+MAX($A$8:A43)+1</f>
        <v>26</v>
      </c>
      <c r="B44" s="65" t="s">
        <v>744</v>
      </c>
      <c r="C44" t="s">
        <v>368</v>
      </c>
      <c r="D44" t="s">
        <v>369</v>
      </c>
      <c r="E44" s="28">
        <v>50</v>
      </c>
      <c r="F44" s="13">
        <v>504.39499999999998</v>
      </c>
      <c r="G44" s="14">
        <f t="shared" si="1"/>
        <v>1.0800000000000001E-2</v>
      </c>
      <c r="H44" s="15">
        <v>43542</v>
      </c>
      <c r="J44" s="52"/>
    </row>
    <row r="45" spans="1:11" ht="12.75" customHeight="1" x14ac:dyDescent="0.2">
      <c r="A45">
        <f>+MAX($A$8:A44)+1</f>
        <v>27</v>
      </c>
      <c r="B45" s="65" t="s">
        <v>739</v>
      </c>
      <c r="C45" t="s">
        <v>374</v>
      </c>
      <c r="D45" t="s">
        <v>564</v>
      </c>
      <c r="E45" s="28">
        <v>30</v>
      </c>
      <c r="F45" s="13">
        <v>300.92219999999998</v>
      </c>
      <c r="G45" s="14">
        <f t="shared" si="1"/>
        <v>6.4999999999999997E-3</v>
      </c>
      <c r="H45" s="15">
        <v>43132</v>
      </c>
      <c r="J45" s="52"/>
    </row>
    <row r="46" spans="1:11" ht="12.75" customHeight="1" x14ac:dyDescent="0.2">
      <c r="B46" s="18" t="s">
        <v>86</v>
      </c>
      <c r="C46" s="18"/>
      <c r="D46" s="18"/>
      <c r="E46" s="29"/>
      <c r="F46" s="19">
        <f>SUM(F25:F45)</f>
        <v>38426.253949999998</v>
      </c>
      <c r="G46" s="20">
        <f>SUM(G25:G45)</f>
        <v>0.82409999999999994</v>
      </c>
      <c r="H46" s="21"/>
      <c r="I46" s="33"/>
      <c r="J46" s="52"/>
    </row>
    <row r="47" spans="1:11" s="46" customFormat="1" ht="12.75" customHeight="1" x14ac:dyDescent="0.2">
      <c r="B47" s="67"/>
      <c r="C47" s="67"/>
      <c r="D47" s="67"/>
      <c r="E47" s="68"/>
      <c r="F47" s="69"/>
      <c r="G47" s="70"/>
      <c r="H47" s="71"/>
      <c r="I47" s="33"/>
      <c r="J47" s="97"/>
      <c r="K47" s="48"/>
    </row>
    <row r="48" spans="1:11" ht="12.75" customHeight="1" x14ac:dyDescent="0.2">
      <c r="A48" s="95" t="s">
        <v>380</v>
      </c>
      <c r="B48" s="16" t="s">
        <v>94</v>
      </c>
      <c r="C48" s="16"/>
      <c r="F48" s="13">
        <v>1098.1830668</v>
      </c>
      <c r="G48" s="14">
        <f>+ROUND(F48/VLOOKUP("Grand Total",$B$4:$F$277,5,0),4)</f>
        <v>2.3599999999999999E-2</v>
      </c>
      <c r="H48" s="15">
        <v>43101</v>
      </c>
    </row>
    <row r="49" spans="2:9" ht="12.75" customHeight="1" x14ac:dyDescent="0.2">
      <c r="B49" s="18" t="s">
        <v>86</v>
      </c>
      <c r="C49" s="18"/>
      <c r="D49" s="18"/>
      <c r="E49" s="29"/>
      <c r="F49" s="19">
        <f>SUM(F48)</f>
        <v>1098.1830668</v>
      </c>
      <c r="G49" s="20">
        <f>SUM(G48)</f>
        <v>2.3599999999999999E-2</v>
      </c>
      <c r="H49" s="21"/>
    </row>
    <row r="50" spans="2:9" ht="12.75" customHeight="1" x14ac:dyDescent="0.2">
      <c r="F50" s="13"/>
      <c r="G50" s="14"/>
      <c r="H50" s="15"/>
    </row>
    <row r="51" spans="2:9" ht="12.75" customHeight="1" x14ac:dyDescent="0.2">
      <c r="B51" s="16" t="s">
        <v>95</v>
      </c>
      <c r="C51" s="16"/>
      <c r="F51" s="13"/>
      <c r="G51" s="14"/>
      <c r="H51" s="15"/>
      <c r="I51" s="82"/>
    </row>
    <row r="52" spans="2:9" ht="12.75" customHeight="1" x14ac:dyDescent="0.2">
      <c r="B52" s="16" t="s">
        <v>96</v>
      </c>
      <c r="C52" s="16"/>
      <c r="F52" s="13">
        <v>1850.7123476999914</v>
      </c>
      <c r="G52" s="14">
        <f>+ROUND(F52/VLOOKUP("Grand Total",$B$4:$F$277,5,0),4)-0.01%</f>
        <v>3.9599999999999996E-2</v>
      </c>
      <c r="H52" s="15"/>
    </row>
    <row r="53" spans="2:9" ht="12.75" customHeight="1" x14ac:dyDescent="0.2">
      <c r="B53" s="18" t="s">
        <v>86</v>
      </c>
      <c r="C53" s="18"/>
      <c r="D53" s="18"/>
      <c r="E53" s="29"/>
      <c r="F53" s="19">
        <f>SUM(F52)</f>
        <v>1850.7123476999914</v>
      </c>
      <c r="G53" s="20">
        <f>SUM(G52)</f>
        <v>3.9599999999999996E-2</v>
      </c>
      <c r="H53" s="21"/>
    </row>
    <row r="54" spans="2:9" ht="12.75" customHeight="1" x14ac:dyDescent="0.2">
      <c r="B54" s="22" t="s">
        <v>97</v>
      </c>
      <c r="C54" s="22"/>
      <c r="D54" s="22"/>
      <c r="E54" s="30"/>
      <c r="F54" s="23">
        <f>+SUMIF($B$5:B53,"Total",$F$5:F53)</f>
        <v>46630.654082199988</v>
      </c>
      <c r="G54" s="24">
        <f>+SUMIF($B$5:B53,"Total",$G$5:G53)</f>
        <v>0.99999999999999989</v>
      </c>
      <c r="H54" s="25"/>
      <c r="I54" s="82"/>
    </row>
    <row r="55" spans="2:9" ht="12.75" customHeight="1" x14ac:dyDescent="0.2"/>
    <row r="56" spans="2:9" ht="12.75" customHeight="1" x14ac:dyDescent="0.2">
      <c r="B56" s="16" t="s">
        <v>799</v>
      </c>
      <c r="C56" s="16"/>
    </row>
    <row r="57" spans="2:9" ht="12.75" customHeight="1" x14ac:dyDescent="0.2">
      <c r="B57" s="16" t="s">
        <v>189</v>
      </c>
      <c r="C57" s="16"/>
      <c r="F57" s="42"/>
    </row>
    <row r="58" spans="2:9" ht="12.75" customHeight="1" x14ac:dyDescent="0.2">
      <c r="B58" s="16" t="s">
        <v>794</v>
      </c>
      <c r="C58" s="16"/>
      <c r="I58" s="82"/>
    </row>
    <row r="59" spans="2:9" ht="12.75" customHeight="1" x14ac:dyDescent="0.2">
      <c r="B59" s="16"/>
      <c r="C59" s="16"/>
    </row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</sheetData>
  <sheetProtection password="EDB3" sheet="1" objects="1" scenarios="1"/>
  <sortState ref="J8:K20">
    <sortCondition descending="1" ref="K8:K20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5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</cols>
  <sheetData>
    <row r="1" spans="1:17" ht="18.75" x14ac:dyDescent="0.2">
      <c r="A1" s="94" t="s">
        <v>394</v>
      </c>
      <c r="B1" s="123" t="s">
        <v>349</v>
      </c>
      <c r="C1" s="124"/>
      <c r="D1" s="124"/>
      <c r="E1" s="124"/>
      <c r="F1" s="124"/>
      <c r="G1" s="124"/>
      <c r="H1" s="124"/>
      <c r="I1" s="125"/>
    </row>
    <row r="2" spans="1:17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122" t="s">
        <v>797</v>
      </c>
      <c r="I4" s="32" t="s">
        <v>7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9</v>
      </c>
      <c r="C7" s="16"/>
      <c r="F7" s="13"/>
      <c r="G7" s="14"/>
      <c r="H7" s="14"/>
      <c r="I7" s="15"/>
    </row>
    <row r="8" spans="1:17" ht="12.75" customHeight="1" x14ac:dyDescent="0.2">
      <c r="B8" s="16" t="s">
        <v>417</v>
      </c>
      <c r="C8" s="16"/>
      <c r="F8" s="13"/>
      <c r="G8" s="14"/>
      <c r="H8" s="14"/>
      <c r="I8" s="60"/>
      <c r="K8" s="17" t="s">
        <v>4</v>
      </c>
      <c r="L8" s="37" t="s">
        <v>12</v>
      </c>
    </row>
    <row r="9" spans="1:17" s="65" customFormat="1" ht="12.75" customHeight="1" x14ac:dyDescent="0.2">
      <c r="A9" s="65">
        <f>+MAX($A$7:A8)+1</f>
        <v>1</v>
      </c>
      <c r="B9" s="77" t="s">
        <v>623</v>
      </c>
      <c r="C9" s="77" t="s">
        <v>624</v>
      </c>
      <c r="D9" s="77" t="s">
        <v>26</v>
      </c>
      <c r="E9" s="74">
        <v>1206</v>
      </c>
      <c r="F9" s="75">
        <v>78.848280000000003</v>
      </c>
      <c r="G9" s="76">
        <f t="shared" ref="G9:G32" si="0">+ROUND(F9/VLOOKUP("Grand Total",$B$4:$F$284,5,0),4)</f>
        <v>1.7000000000000001E-2</v>
      </c>
      <c r="H9" s="76"/>
      <c r="I9" s="91" t="s">
        <v>381</v>
      </c>
      <c r="J9" s="101"/>
      <c r="K9" s="90" t="s">
        <v>26</v>
      </c>
      <c r="L9" s="103">
        <f t="shared" ref="L9:L36" si="1">SUMIFS($G$5:$G$353,$D$5:$D$353,K9)</f>
        <v>8.9099999999999985E-2</v>
      </c>
      <c r="M9" s="84"/>
      <c r="N9" s="90"/>
      <c r="O9" s="90"/>
      <c r="Q9" s="90"/>
    </row>
    <row r="10" spans="1:17" s="65" customFormat="1" ht="12.75" customHeight="1" x14ac:dyDescent="0.2">
      <c r="A10" s="65">
        <f>+MAX($A$7:A9)+1</f>
        <v>2</v>
      </c>
      <c r="B10" s="77" t="s">
        <v>195</v>
      </c>
      <c r="C10" s="77" t="s">
        <v>15</v>
      </c>
      <c r="D10" s="77" t="s">
        <v>14</v>
      </c>
      <c r="E10" s="74">
        <v>6900</v>
      </c>
      <c r="F10" s="75">
        <v>71.901449999999997</v>
      </c>
      <c r="G10" s="76">
        <f t="shared" si="0"/>
        <v>1.55E-2</v>
      </c>
      <c r="H10" s="76"/>
      <c r="I10" s="91" t="s">
        <v>381</v>
      </c>
      <c r="J10" s="101"/>
      <c r="K10" s="14" t="s">
        <v>24</v>
      </c>
      <c r="L10" s="103">
        <f t="shared" si="1"/>
        <v>8.6399999999999991E-2</v>
      </c>
      <c r="M10" s="84"/>
      <c r="N10" s="90"/>
      <c r="O10" s="90"/>
      <c r="Q10" s="90"/>
    </row>
    <row r="11" spans="1:17" s="65" customFormat="1" ht="12.75" customHeight="1" x14ac:dyDescent="0.2">
      <c r="A11" s="65">
        <f>+MAX($A$7:A10)+1</f>
        <v>3</v>
      </c>
      <c r="B11" s="77" t="s">
        <v>204</v>
      </c>
      <c r="C11" s="77" t="s">
        <v>46</v>
      </c>
      <c r="D11" s="77" t="s">
        <v>26</v>
      </c>
      <c r="E11" s="74">
        <v>25834</v>
      </c>
      <c r="F11" s="75">
        <v>68.008004999999997</v>
      </c>
      <c r="G11" s="76">
        <f t="shared" si="0"/>
        <v>1.47E-2</v>
      </c>
      <c r="H11" s="76"/>
      <c r="I11" s="91" t="s">
        <v>381</v>
      </c>
      <c r="J11" s="101"/>
      <c r="K11" s="90" t="s">
        <v>10</v>
      </c>
      <c r="L11" s="103">
        <f t="shared" si="1"/>
        <v>6.4100000000000004E-2</v>
      </c>
      <c r="M11" s="84"/>
      <c r="N11" s="90"/>
      <c r="O11" s="90"/>
      <c r="Q11" s="90"/>
    </row>
    <row r="12" spans="1:17" s="65" customFormat="1" ht="12.75" customHeight="1" x14ac:dyDescent="0.2">
      <c r="A12" s="65">
        <f>+MAX($A$7:A11)+1</f>
        <v>4</v>
      </c>
      <c r="B12" s="77" t="s">
        <v>625</v>
      </c>
      <c r="C12" s="77" t="s">
        <v>626</v>
      </c>
      <c r="D12" s="77" t="s">
        <v>107</v>
      </c>
      <c r="E12" s="74">
        <v>66000</v>
      </c>
      <c r="F12" s="75">
        <v>60.819000000000003</v>
      </c>
      <c r="G12" s="76">
        <f t="shared" si="0"/>
        <v>1.3100000000000001E-2</v>
      </c>
      <c r="H12" s="76"/>
      <c r="I12" s="91" t="s">
        <v>381</v>
      </c>
      <c r="J12" s="101"/>
      <c r="K12" s="90" t="s">
        <v>595</v>
      </c>
      <c r="L12" s="103">
        <f t="shared" si="1"/>
        <v>6.3600000000000004E-2</v>
      </c>
      <c r="M12" s="84"/>
      <c r="N12" s="90"/>
      <c r="O12" s="90"/>
      <c r="Q12" s="90"/>
    </row>
    <row r="13" spans="1:17" s="65" customFormat="1" ht="12.75" customHeight="1" x14ac:dyDescent="0.2">
      <c r="A13" s="65">
        <f>+MAX($A$7:A12)+1</f>
        <v>5</v>
      </c>
      <c r="B13" s="77" t="s">
        <v>250</v>
      </c>
      <c r="C13" s="77" t="s">
        <v>115</v>
      </c>
      <c r="D13" s="77" t="s">
        <v>36</v>
      </c>
      <c r="E13" s="74">
        <v>30000</v>
      </c>
      <c r="F13" s="75">
        <v>60.104999999999997</v>
      </c>
      <c r="G13" s="76">
        <f t="shared" si="0"/>
        <v>1.2999999999999999E-2</v>
      </c>
      <c r="H13" s="76"/>
      <c r="I13" s="91" t="s">
        <v>381</v>
      </c>
      <c r="J13" s="101"/>
      <c r="K13" s="90" t="s">
        <v>34</v>
      </c>
      <c r="L13" s="103">
        <f t="shared" si="1"/>
        <v>5.4800000000000001E-2</v>
      </c>
      <c r="M13" s="84"/>
      <c r="N13" s="90"/>
      <c r="O13" s="90"/>
      <c r="Q13" s="90"/>
    </row>
    <row r="14" spans="1:17" ht="12.75" customHeight="1" x14ac:dyDescent="0.2">
      <c r="A14" s="65">
        <f>+MAX($A$7:A13)+1</f>
        <v>6</v>
      </c>
      <c r="B14" s="77" t="s">
        <v>251</v>
      </c>
      <c r="C14" s="77" t="s">
        <v>113</v>
      </c>
      <c r="D14" s="77" t="s">
        <v>20</v>
      </c>
      <c r="E14" s="74">
        <v>1506</v>
      </c>
      <c r="F14" s="75">
        <v>57.004359000000001</v>
      </c>
      <c r="G14" s="45">
        <f t="shared" si="0"/>
        <v>1.23E-2</v>
      </c>
      <c r="H14" s="45"/>
      <c r="I14" s="42" t="s">
        <v>381</v>
      </c>
      <c r="J14" s="41"/>
      <c r="K14" s="90" t="s">
        <v>20</v>
      </c>
      <c r="L14" s="103">
        <f t="shared" si="1"/>
        <v>4.7800000000000002E-2</v>
      </c>
      <c r="M14" s="36"/>
      <c r="N14" s="14"/>
      <c r="O14" s="14"/>
      <c r="Q14" s="14"/>
    </row>
    <row r="15" spans="1:17" ht="12.75" customHeight="1" x14ac:dyDescent="0.2">
      <c r="A15" s="65">
        <f>+MAX($A$7:A14)+1</f>
        <v>7</v>
      </c>
      <c r="B15" s="77" t="s">
        <v>621</v>
      </c>
      <c r="C15" s="77" t="s">
        <v>622</v>
      </c>
      <c r="D15" s="77" t="s">
        <v>36</v>
      </c>
      <c r="E15" s="74">
        <v>60000</v>
      </c>
      <c r="F15" s="75">
        <v>56.1</v>
      </c>
      <c r="G15" s="45">
        <f t="shared" si="0"/>
        <v>1.21E-2</v>
      </c>
      <c r="H15" s="45"/>
      <c r="I15" s="42" t="s">
        <v>381</v>
      </c>
      <c r="J15" s="41"/>
      <c r="K15" s="90" t="s">
        <v>18</v>
      </c>
      <c r="L15" s="103">
        <f t="shared" si="1"/>
        <v>4.4299999999999999E-2</v>
      </c>
      <c r="M15" s="36"/>
      <c r="N15" s="14"/>
      <c r="O15" s="14"/>
      <c r="Q15" s="14"/>
    </row>
    <row r="16" spans="1:17" ht="12.75" customHeight="1" x14ac:dyDescent="0.2">
      <c r="A16" s="65">
        <f>+MAX($A$7:A15)+1</f>
        <v>8</v>
      </c>
      <c r="B16" s="77" t="s">
        <v>40</v>
      </c>
      <c r="C16" s="77" t="s">
        <v>42</v>
      </c>
      <c r="D16" s="77" t="s">
        <v>10</v>
      </c>
      <c r="E16" s="74">
        <v>34000</v>
      </c>
      <c r="F16" s="75">
        <v>54.621000000000002</v>
      </c>
      <c r="G16" s="45">
        <f t="shared" si="0"/>
        <v>1.18E-2</v>
      </c>
      <c r="H16" s="45"/>
      <c r="I16" s="42" t="s">
        <v>381</v>
      </c>
      <c r="J16" s="41"/>
      <c r="K16" s="90" t="s">
        <v>610</v>
      </c>
      <c r="L16" s="103">
        <f t="shared" si="1"/>
        <v>0.04</v>
      </c>
      <c r="M16" s="36"/>
      <c r="N16" s="14"/>
      <c r="O16" s="14"/>
      <c r="Q16" s="14"/>
    </row>
    <row r="17" spans="1:17" ht="12.75" customHeight="1" x14ac:dyDescent="0.2">
      <c r="A17" s="65">
        <f>+MAX($A$7:A16)+1</f>
        <v>9</v>
      </c>
      <c r="B17" s="77" t="s">
        <v>253</v>
      </c>
      <c r="C17" s="77" t="s">
        <v>116</v>
      </c>
      <c r="D17" s="77" t="s">
        <v>36</v>
      </c>
      <c r="E17" s="74">
        <v>30514</v>
      </c>
      <c r="F17" s="75">
        <v>54.009779999999999</v>
      </c>
      <c r="G17" s="45">
        <f t="shared" si="0"/>
        <v>1.1599999999999999E-2</v>
      </c>
      <c r="H17" s="45"/>
      <c r="I17" s="42" t="s">
        <v>381</v>
      </c>
      <c r="J17" s="41"/>
      <c r="K17" s="90" t="s">
        <v>36</v>
      </c>
      <c r="L17" s="103">
        <f t="shared" si="1"/>
        <v>3.9799999999999995E-2</v>
      </c>
      <c r="M17" s="36"/>
      <c r="N17" s="14"/>
      <c r="O17" s="14"/>
      <c r="Q17" s="14"/>
    </row>
    <row r="18" spans="1:17" ht="12.75" customHeight="1" x14ac:dyDescent="0.2">
      <c r="A18" s="65">
        <f>+MAX($A$7:A17)+1</f>
        <v>10</v>
      </c>
      <c r="B18" s="77" t="s">
        <v>205</v>
      </c>
      <c r="C18" s="77" t="s">
        <v>44</v>
      </c>
      <c r="D18" s="77" t="s">
        <v>24</v>
      </c>
      <c r="E18" s="74">
        <v>9005</v>
      </c>
      <c r="F18" s="75">
        <v>52.472135000000002</v>
      </c>
      <c r="G18" s="45">
        <f t="shared" si="0"/>
        <v>1.1299999999999999E-2</v>
      </c>
      <c r="H18" s="45"/>
      <c r="I18" s="42" t="s">
        <v>381</v>
      </c>
      <c r="J18" s="41"/>
      <c r="K18" s="90" t="s">
        <v>14</v>
      </c>
      <c r="L18" s="103">
        <f t="shared" si="1"/>
        <v>3.8400000000000004E-2</v>
      </c>
      <c r="M18" s="36"/>
      <c r="N18" s="14"/>
      <c r="O18" s="14"/>
      <c r="Q18" s="14"/>
    </row>
    <row r="19" spans="1:17" ht="12.75" customHeight="1" x14ac:dyDescent="0.2">
      <c r="A19" s="65">
        <f>+MAX($A$7:A18)+1</f>
        <v>11</v>
      </c>
      <c r="B19" s="77" t="s">
        <v>199</v>
      </c>
      <c r="C19" s="77" t="s">
        <v>25</v>
      </c>
      <c r="D19" s="77" t="s">
        <v>14</v>
      </c>
      <c r="E19" s="74">
        <v>5650</v>
      </c>
      <c r="F19" s="75">
        <v>50.313249999999996</v>
      </c>
      <c r="G19" s="45">
        <f t="shared" si="0"/>
        <v>1.0800000000000001E-2</v>
      </c>
      <c r="H19" s="45"/>
      <c r="I19" s="42" t="s">
        <v>381</v>
      </c>
      <c r="J19" s="41"/>
      <c r="K19" s="90" t="s">
        <v>297</v>
      </c>
      <c r="L19" s="103">
        <f t="shared" si="1"/>
        <v>3.6600000000000001E-2</v>
      </c>
      <c r="M19" s="36"/>
      <c r="N19" s="14"/>
      <c r="O19" s="14"/>
      <c r="Q19" s="14"/>
    </row>
    <row r="20" spans="1:17" ht="12.75" customHeight="1" x14ac:dyDescent="0.2">
      <c r="A20" s="65">
        <f>+MAX($A$7:A19)+1</f>
        <v>12</v>
      </c>
      <c r="B20" s="77" t="s">
        <v>404</v>
      </c>
      <c r="C20" s="77" t="s">
        <v>403</v>
      </c>
      <c r="D20" s="77" t="s">
        <v>26</v>
      </c>
      <c r="E20" s="74">
        <v>14000</v>
      </c>
      <c r="F20" s="75">
        <v>48.957999999999998</v>
      </c>
      <c r="G20" s="45">
        <f t="shared" si="0"/>
        <v>1.06E-2</v>
      </c>
      <c r="H20" s="45"/>
      <c r="I20" s="42" t="s">
        <v>381</v>
      </c>
      <c r="J20" s="41"/>
      <c r="K20" s="90" t="s">
        <v>325</v>
      </c>
      <c r="L20" s="103">
        <f t="shared" si="1"/>
        <v>3.5200000000000002E-2</v>
      </c>
      <c r="M20" s="36"/>
      <c r="N20" s="14"/>
      <c r="O20" s="14"/>
      <c r="Q20" s="14"/>
    </row>
    <row r="21" spans="1:17" ht="12.75" customHeight="1" x14ac:dyDescent="0.2">
      <c r="A21" s="65">
        <f>+MAX($A$7:A20)+1</f>
        <v>13</v>
      </c>
      <c r="B21" s="77" t="s">
        <v>234</v>
      </c>
      <c r="C21" s="77" t="s">
        <v>79</v>
      </c>
      <c r="D21" s="77" t="s">
        <v>26</v>
      </c>
      <c r="E21" s="74">
        <v>1320</v>
      </c>
      <c r="F21" s="75">
        <v>48.428820000000002</v>
      </c>
      <c r="G21" s="45">
        <f t="shared" si="0"/>
        <v>1.04E-2</v>
      </c>
      <c r="H21" s="45"/>
      <c r="I21" s="42" t="s">
        <v>381</v>
      </c>
      <c r="J21" s="41"/>
      <c r="K21" s="14" t="s">
        <v>41</v>
      </c>
      <c r="L21" s="103">
        <f t="shared" si="1"/>
        <v>3.5099999999999999E-2</v>
      </c>
      <c r="M21" s="36"/>
      <c r="N21" s="14"/>
      <c r="O21" s="14"/>
      <c r="Q21" s="14"/>
    </row>
    <row r="22" spans="1:17" ht="12.75" customHeight="1" x14ac:dyDescent="0.2">
      <c r="A22" s="65">
        <f>+MAX($A$7:A21)+1</f>
        <v>14</v>
      </c>
      <c r="B22" s="77" t="s">
        <v>206</v>
      </c>
      <c r="C22" s="77" t="s">
        <v>48</v>
      </c>
      <c r="D22" s="77" t="s">
        <v>26</v>
      </c>
      <c r="E22" s="74">
        <v>1027</v>
      </c>
      <c r="F22" s="75">
        <v>48.363997500000004</v>
      </c>
      <c r="G22" s="45">
        <f t="shared" si="0"/>
        <v>1.04E-2</v>
      </c>
      <c r="H22" s="45"/>
      <c r="I22" s="42" t="s">
        <v>381</v>
      </c>
      <c r="J22" s="41"/>
      <c r="K22" s="14" t="s">
        <v>109</v>
      </c>
      <c r="L22" s="103">
        <f t="shared" si="1"/>
        <v>3.2799999999999996E-2</v>
      </c>
      <c r="M22" s="36"/>
      <c r="N22" s="14"/>
      <c r="O22" s="14"/>
      <c r="Q22" s="14"/>
    </row>
    <row r="23" spans="1:17" ht="12.75" customHeight="1" x14ac:dyDescent="0.2">
      <c r="A23" s="65">
        <f>+MAX($A$7:A22)+1</f>
        <v>15</v>
      </c>
      <c r="B23" s="77" t="s">
        <v>197</v>
      </c>
      <c r="C23" s="77" t="s">
        <v>11</v>
      </c>
      <c r="D23" s="77" t="s">
        <v>10</v>
      </c>
      <c r="E23" s="74">
        <v>14966</v>
      </c>
      <c r="F23" s="75">
        <v>46.99324</v>
      </c>
      <c r="G23" s="45">
        <f t="shared" si="0"/>
        <v>1.01E-2</v>
      </c>
      <c r="H23" s="45"/>
      <c r="I23" s="42" t="s">
        <v>381</v>
      </c>
      <c r="J23" s="41"/>
      <c r="K23" s="90" t="s">
        <v>146</v>
      </c>
      <c r="L23" s="103">
        <f t="shared" si="1"/>
        <v>3.0099999999999998E-2</v>
      </c>
      <c r="M23" s="36"/>
      <c r="N23" s="14"/>
      <c r="O23" s="14"/>
      <c r="Q23" s="14"/>
    </row>
    <row r="24" spans="1:17" ht="12.75" customHeight="1" x14ac:dyDescent="0.2">
      <c r="A24" s="65">
        <f>+MAX($A$7:A23)+1</f>
        <v>16</v>
      </c>
      <c r="B24" s="77" t="s">
        <v>231</v>
      </c>
      <c r="C24" s="77" t="s">
        <v>80</v>
      </c>
      <c r="D24" s="77" t="s">
        <v>51</v>
      </c>
      <c r="E24" s="74">
        <v>17030</v>
      </c>
      <c r="F24" s="75">
        <v>44.780385000000003</v>
      </c>
      <c r="G24" s="45">
        <f t="shared" si="0"/>
        <v>9.7000000000000003E-3</v>
      </c>
      <c r="H24" s="45"/>
      <c r="I24" s="42" t="s">
        <v>381</v>
      </c>
      <c r="J24" s="41"/>
      <c r="K24" s="90" t="s">
        <v>38</v>
      </c>
      <c r="L24" s="103">
        <f t="shared" si="1"/>
        <v>2.8899999999999999E-2</v>
      </c>
      <c r="M24" s="36"/>
      <c r="N24" s="14"/>
      <c r="O24" s="14"/>
      <c r="Q24" s="14"/>
    </row>
    <row r="25" spans="1:17" ht="12.75" customHeight="1" x14ac:dyDescent="0.2">
      <c r="A25" s="65">
        <f>+MAX($A$7:A24)+1</f>
        <v>17</v>
      </c>
      <c r="B25" s="77" t="s">
        <v>16</v>
      </c>
      <c r="C25" s="77" t="s">
        <v>17</v>
      </c>
      <c r="D25" s="77" t="s">
        <v>10</v>
      </c>
      <c r="E25" s="74">
        <v>13908</v>
      </c>
      <c r="F25" s="75">
        <v>43.100892000000002</v>
      </c>
      <c r="G25" s="45">
        <f t="shared" si="0"/>
        <v>9.2999999999999992E-3</v>
      </c>
      <c r="H25" s="45"/>
      <c r="I25" s="42" t="s">
        <v>381</v>
      </c>
      <c r="J25" s="41"/>
      <c r="K25" s="90" t="s">
        <v>369</v>
      </c>
      <c r="L25" s="103">
        <f t="shared" si="1"/>
        <v>2.81E-2</v>
      </c>
      <c r="M25" s="36"/>
      <c r="N25" s="14"/>
      <c r="O25" s="14"/>
      <c r="Q25" s="14"/>
    </row>
    <row r="26" spans="1:17" ht="12.75" customHeight="1" x14ac:dyDescent="0.2">
      <c r="A26" s="65">
        <f>+MAX($A$7:A25)+1</f>
        <v>18</v>
      </c>
      <c r="B26" s="77" t="s">
        <v>286</v>
      </c>
      <c r="C26" s="77" t="s">
        <v>158</v>
      </c>
      <c r="D26" s="77" t="s">
        <v>41</v>
      </c>
      <c r="E26" s="74">
        <v>2490</v>
      </c>
      <c r="F26" s="75">
        <v>38.603715000000001</v>
      </c>
      <c r="G26" s="45">
        <f t="shared" si="0"/>
        <v>8.3000000000000001E-3</v>
      </c>
      <c r="H26" s="45"/>
      <c r="I26" s="42" t="s">
        <v>381</v>
      </c>
      <c r="J26" s="41"/>
      <c r="K26" s="90" t="s">
        <v>32</v>
      </c>
      <c r="L26" s="103">
        <f t="shared" si="1"/>
        <v>2.4300000000000002E-2</v>
      </c>
      <c r="M26" s="36"/>
      <c r="N26" s="14"/>
      <c r="O26" s="14"/>
      <c r="Q26" s="14"/>
    </row>
    <row r="27" spans="1:17" ht="12.75" customHeight="1" x14ac:dyDescent="0.2">
      <c r="A27" s="65">
        <f>+MAX($A$7:A26)+1</f>
        <v>19</v>
      </c>
      <c r="B27" s="77" t="s">
        <v>220</v>
      </c>
      <c r="C27" s="77" t="s">
        <v>29</v>
      </c>
      <c r="D27" s="77" t="s">
        <v>10</v>
      </c>
      <c r="E27" s="74">
        <v>6645</v>
      </c>
      <c r="F27" s="75">
        <v>37.474477499999999</v>
      </c>
      <c r="G27" s="45">
        <f t="shared" si="0"/>
        <v>8.0999999999999996E-3</v>
      </c>
      <c r="H27" s="45"/>
      <c r="I27" s="42" t="s">
        <v>381</v>
      </c>
      <c r="J27" s="41"/>
      <c r="K27" s="14" t="s">
        <v>795</v>
      </c>
      <c r="L27" s="103">
        <f t="shared" si="1"/>
        <v>2.1600000000000001E-2</v>
      </c>
      <c r="M27" s="36"/>
      <c r="N27" s="14"/>
      <c r="O27" s="14"/>
      <c r="Q27" s="14"/>
    </row>
    <row r="28" spans="1:17" ht="12.75" customHeight="1" x14ac:dyDescent="0.2">
      <c r="A28" s="65">
        <f>+MAX($A$7:A27)+1</f>
        <v>20</v>
      </c>
      <c r="B28" s="77" t="s">
        <v>212</v>
      </c>
      <c r="C28" s="77" t="s">
        <v>49</v>
      </c>
      <c r="D28" s="77" t="s">
        <v>20</v>
      </c>
      <c r="E28" s="74">
        <v>378</v>
      </c>
      <c r="F28" s="75">
        <v>36.777698999999998</v>
      </c>
      <c r="G28" s="45">
        <f t="shared" si="0"/>
        <v>7.9000000000000008E-3</v>
      </c>
      <c r="H28" s="45"/>
      <c r="I28" s="42" t="s">
        <v>381</v>
      </c>
      <c r="J28" s="41"/>
      <c r="K28" s="90" t="s">
        <v>295</v>
      </c>
      <c r="L28" s="103">
        <f t="shared" si="1"/>
        <v>2.1299999999999999E-2</v>
      </c>
      <c r="M28" s="36"/>
      <c r="N28" s="14"/>
      <c r="O28" s="14"/>
      <c r="Q28" s="14"/>
    </row>
    <row r="29" spans="1:17" ht="12.75" customHeight="1" x14ac:dyDescent="0.2">
      <c r="A29" s="65">
        <f>+MAX($A$7:A28)+1</f>
        <v>21</v>
      </c>
      <c r="B29" s="77" t="s">
        <v>217</v>
      </c>
      <c r="C29" s="77" t="s">
        <v>65</v>
      </c>
      <c r="D29" s="77" t="s">
        <v>34</v>
      </c>
      <c r="E29" s="74">
        <v>5505</v>
      </c>
      <c r="F29" s="75">
        <v>29.157232499999999</v>
      </c>
      <c r="G29" s="45">
        <f t="shared" si="0"/>
        <v>6.3E-3</v>
      </c>
      <c r="H29" s="45"/>
      <c r="I29" s="42" t="s">
        <v>381</v>
      </c>
      <c r="J29" s="41"/>
      <c r="K29" s="90" t="s">
        <v>178</v>
      </c>
      <c r="L29" s="103">
        <f t="shared" si="1"/>
        <v>1.9400000000000001E-2</v>
      </c>
      <c r="M29" s="36"/>
      <c r="N29" s="14"/>
      <c r="O29" s="14"/>
      <c r="Q29" s="14"/>
    </row>
    <row r="30" spans="1:17" ht="12.75" customHeight="1" x14ac:dyDescent="0.2">
      <c r="A30" s="65">
        <f>+MAX($A$7:A29)+1</f>
        <v>22</v>
      </c>
      <c r="B30" s="77" t="s">
        <v>198</v>
      </c>
      <c r="C30" s="77" t="s">
        <v>21</v>
      </c>
      <c r="D30" s="77" t="s">
        <v>20</v>
      </c>
      <c r="E30" s="74">
        <v>6450</v>
      </c>
      <c r="F30" s="75">
        <v>27.854324999999999</v>
      </c>
      <c r="G30" s="45">
        <f t="shared" si="0"/>
        <v>6.0000000000000001E-3</v>
      </c>
      <c r="H30" s="45"/>
      <c r="I30" s="42" t="s">
        <v>381</v>
      </c>
      <c r="J30" s="41"/>
      <c r="K30" s="14" t="s">
        <v>22</v>
      </c>
      <c r="L30" s="103">
        <f t="shared" si="1"/>
        <v>1.7399999999999999E-2</v>
      </c>
      <c r="M30" s="36"/>
      <c r="N30" s="14"/>
      <c r="O30" s="14"/>
      <c r="Q30" s="14"/>
    </row>
    <row r="31" spans="1:17" ht="12.75" customHeight="1" x14ac:dyDescent="0.2">
      <c r="A31" s="65">
        <f>+MAX($A$7:A30)+1</f>
        <v>23</v>
      </c>
      <c r="B31" s="77" t="s">
        <v>254</v>
      </c>
      <c r="C31" s="77" t="s">
        <v>573</v>
      </c>
      <c r="D31" s="77" t="s">
        <v>10</v>
      </c>
      <c r="E31" s="74">
        <v>7900</v>
      </c>
      <c r="F31" s="75">
        <v>24.896850000000001</v>
      </c>
      <c r="G31" s="45">
        <f t="shared" si="0"/>
        <v>5.4000000000000003E-3</v>
      </c>
      <c r="H31" s="45"/>
      <c r="I31" s="42" t="s">
        <v>381</v>
      </c>
      <c r="J31" s="41"/>
      <c r="K31" s="90" t="s">
        <v>107</v>
      </c>
      <c r="L31" s="103">
        <f t="shared" si="1"/>
        <v>1.3100000000000001E-2</v>
      </c>
      <c r="M31" s="36"/>
      <c r="N31" s="14"/>
      <c r="O31" s="14"/>
      <c r="Q31" s="14"/>
    </row>
    <row r="32" spans="1:17" ht="12.75" customHeight="1" x14ac:dyDescent="0.2">
      <c r="A32" s="65">
        <f>+MAX($A$7:A31)+1</f>
        <v>24</v>
      </c>
      <c r="B32" s="77" t="s">
        <v>218</v>
      </c>
      <c r="C32" s="77" t="s">
        <v>61</v>
      </c>
      <c r="D32" s="77" t="s">
        <v>22</v>
      </c>
      <c r="E32" s="74">
        <v>2866</v>
      </c>
      <c r="F32" s="75">
        <v>19.716647000000002</v>
      </c>
      <c r="G32" s="45">
        <f t="shared" si="0"/>
        <v>4.3E-3</v>
      </c>
      <c r="H32" s="45"/>
      <c r="I32" s="42" t="s">
        <v>381</v>
      </c>
      <c r="J32" s="41"/>
      <c r="K32" s="14" t="s">
        <v>103</v>
      </c>
      <c r="L32" s="103">
        <f t="shared" si="1"/>
        <v>1.2800000000000001E-2</v>
      </c>
      <c r="M32" s="36"/>
      <c r="N32" s="14"/>
      <c r="O32" s="14"/>
      <c r="Q32" s="14"/>
    </row>
    <row r="33" spans="1:17" ht="12.75" customHeight="1" x14ac:dyDescent="0.2">
      <c r="B33" s="18" t="s">
        <v>86</v>
      </c>
      <c r="C33" s="18"/>
      <c r="D33" s="18"/>
      <c r="E33" s="19"/>
      <c r="F33" s="19">
        <f>SUM(F9:F32)</f>
        <v>1159.3085395000001</v>
      </c>
      <c r="G33" s="20">
        <f>SUM(G9:G32)</f>
        <v>0.25</v>
      </c>
      <c r="H33" s="20"/>
      <c r="I33" s="21"/>
      <c r="J33" s="49"/>
      <c r="K33" s="14" t="s">
        <v>51</v>
      </c>
      <c r="L33" s="103">
        <f t="shared" si="1"/>
        <v>9.7000000000000003E-3</v>
      </c>
    </row>
    <row r="34" spans="1:17" ht="12.75" customHeight="1" x14ac:dyDescent="0.2">
      <c r="F34" s="44"/>
      <c r="G34" s="14"/>
      <c r="H34" s="14"/>
      <c r="I34" s="15"/>
      <c r="K34" s="90" t="s">
        <v>45</v>
      </c>
      <c r="L34" s="103">
        <f t="shared" si="1"/>
        <v>8.3000000000000001E-3</v>
      </c>
    </row>
    <row r="35" spans="1:17" ht="12.75" customHeight="1" x14ac:dyDescent="0.2">
      <c r="A35" s="46"/>
      <c r="B35" s="16" t="s">
        <v>800</v>
      </c>
      <c r="C35" s="16"/>
      <c r="E35" s="38"/>
      <c r="F35" s="44"/>
      <c r="G35" s="45"/>
      <c r="H35" s="45"/>
      <c r="I35" s="47"/>
      <c r="K35" s="14" t="s">
        <v>172</v>
      </c>
      <c r="L35" s="103">
        <f t="shared" si="1"/>
        <v>2.2000000000000001E-3</v>
      </c>
      <c r="O35" s="14"/>
    </row>
    <row r="36" spans="1:17" s="65" customFormat="1" ht="12.75" customHeight="1" x14ac:dyDescent="0.2">
      <c r="A36" s="65">
        <f>+MAX($A$7:A35)+1</f>
        <v>25</v>
      </c>
      <c r="B36" s="77" t="s">
        <v>205</v>
      </c>
      <c r="C36" s="77" t="s">
        <v>44</v>
      </c>
      <c r="D36" s="77" t="s">
        <v>24</v>
      </c>
      <c r="E36" s="74">
        <v>48000</v>
      </c>
      <c r="F36" s="75">
        <v>279.69600000000003</v>
      </c>
      <c r="G36" s="76">
        <f>+ROUND(F36/VLOOKUP("Grand Total",$B$4:$F$284,5,0),4)</f>
        <v>6.0299999999999999E-2</v>
      </c>
      <c r="H36" s="76"/>
      <c r="I36" s="126" t="s">
        <v>381</v>
      </c>
      <c r="J36" s="101"/>
      <c r="K36" s="14" t="s">
        <v>328</v>
      </c>
      <c r="L36" s="103">
        <f t="shared" si="1"/>
        <v>0</v>
      </c>
      <c r="M36" s="84"/>
      <c r="N36" s="90"/>
      <c r="O36" s="90"/>
      <c r="Q36" s="90"/>
    </row>
    <row r="37" spans="1:17" s="65" customFormat="1" ht="12.75" customHeight="1" x14ac:dyDescent="0.2">
      <c r="A37" s="65">
        <f>+A36+1</f>
        <v>26</v>
      </c>
      <c r="B37" s="77" t="s">
        <v>205</v>
      </c>
      <c r="C37" s="121" t="s">
        <v>570</v>
      </c>
      <c r="D37" s="77" t="s">
        <v>328</v>
      </c>
      <c r="E37" s="74">
        <v>-48000</v>
      </c>
      <c r="F37" s="75">
        <v>-281.44799999999998</v>
      </c>
      <c r="G37" s="76"/>
      <c r="H37" s="76">
        <f>+ROUND(F37/VLOOKUP("Grand Total",$B$4:$F$284,5,0),4)</f>
        <v>-6.0699999999999997E-2</v>
      </c>
      <c r="I37" s="104">
        <v>43125</v>
      </c>
      <c r="J37" s="101"/>
      <c r="K37" s="14" t="s">
        <v>64</v>
      </c>
      <c r="L37" s="48">
        <f>+SUMIFS($G$5:$G$1000,$B$5:$B$1000,"CBLO / Reverse Repo Investments")+SUMIFS($G$5:$G$1000,$B$5:$B$1000,"Net Receivable/Payable")</f>
        <v>5.4799999999999995E-2</v>
      </c>
      <c r="M37" s="84"/>
      <c r="N37" s="90"/>
      <c r="O37" s="90"/>
      <c r="Q37" s="90"/>
    </row>
    <row r="38" spans="1:17" s="65" customFormat="1" ht="12.75" customHeight="1" x14ac:dyDescent="0.2">
      <c r="A38" s="65">
        <f t="shared" ref="A38:A73" si="2">+A37+1</f>
        <v>27</v>
      </c>
      <c r="B38" s="77" t="s">
        <v>217</v>
      </c>
      <c r="C38" s="77" t="s">
        <v>65</v>
      </c>
      <c r="D38" s="77" t="s">
        <v>34</v>
      </c>
      <c r="E38" s="74">
        <v>42500</v>
      </c>
      <c r="F38" s="75">
        <v>225.10124999999999</v>
      </c>
      <c r="G38" s="76">
        <f>+ROUND(F38/VLOOKUP("Grand Total",$B$4:$F$284,5,0),4)</f>
        <v>4.8500000000000001E-2</v>
      </c>
      <c r="H38" s="76"/>
      <c r="I38" s="126" t="s">
        <v>381</v>
      </c>
      <c r="J38" s="101"/>
      <c r="K38" s="90"/>
      <c r="L38" s="103"/>
      <c r="M38" s="84"/>
      <c r="N38" s="90"/>
      <c r="O38" s="90"/>
      <c r="Q38" s="90"/>
    </row>
    <row r="39" spans="1:17" s="65" customFormat="1" ht="12.75" customHeight="1" x14ac:dyDescent="0.2">
      <c r="A39" s="65">
        <f t="shared" si="2"/>
        <v>28</v>
      </c>
      <c r="B39" s="77" t="s">
        <v>217</v>
      </c>
      <c r="C39" s="121" t="s">
        <v>570</v>
      </c>
      <c r="D39" s="77" t="s">
        <v>328</v>
      </c>
      <c r="E39" s="74">
        <v>-42500</v>
      </c>
      <c r="F39" s="75">
        <v>-226.5675</v>
      </c>
      <c r="G39" s="76"/>
      <c r="H39" s="76">
        <f>+ROUND(F39/VLOOKUP("Grand Total",$B$4:$F$284,5,0),4)</f>
        <v>-4.8800000000000003E-2</v>
      </c>
      <c r="I39" s="104">
        <v>43125</v>
      </c>
      <c r="J39" s="101"/>
      <c r="K39" s="90"/>
      <c r="L39" s="103"/>
      <c r="M39" s="84"/>
      <c r="N39" s="90"/>
      <c r="O39" s="90"/>
      <c r="Q39" s="90"/>
    </row>
    <row r="40" spans="1:17" s="65" customFormat="1" ht="12.75" customHeight="1" x14ac:dyDescent="0.2">
      <c r="A40" s="65">
        <f t="shared" si="2"/>
        <v>29</v>
      </c>
      <c r="B40" s="77" t="s">
        <v>203</v>
      </c>
      <c r="C40" s="77" t="s">
        <v>35</v>
      </c>
      <c r="D40" s="77" t="s">
        <v>18</v>
      </c>
      <c r="E40" s="74">
        <v>14300</v>
      </c>
      <c r="F40" s="75">
        <v>205.54820000000001</v>
      </c>
      <c r="G40" s="76">
        <f>+ROUND(F40/VLOOKUP("Grand Total",$B$4:$F$284,5,0),4)</f>
        <v>4.4299999999999999E-2</v>
      </c>
      <c r="H40" s="76"/>
      <c r="I40" s="126" t="s">
        <v>381</v>
      </c>
      <c r="J40" s="101"/>
      <c r="K40" s="90"/>
      <c r="L40" s="103"/>
      <c r="M40" s="84"/>
      <c r="N40" s="90"/>
      <c r="O40" s="90"/>
      <c r="Q40" s="90"/>
    </row>
    <row r="41" spans="1:17" s="65" customFormat="1" ht="12.75" customHeight="1" x14ac:dyDescent="0.2">
      <c r="A41" s="65">
        <f t="shared" si="2"/>
        <v>30</v>
      </c>
      <c r="B41" s="77" t="s">
        <v>203</v>
      </c>
      <c r="C41" s="121" t="s">
        <v>570</v>
      </c>
      <c r="D41" s="77" t="s">
        <v>328</v>
      </c>
      <c r="E41" s="74">
        <v>-14300</v>
      </c>
      <c r="F41" s="75">
        <v>-206.67075</v>
      </c>
      <c r="G41" s="76"/>
      <c r="H41" s="76">
        <f>+ROUND(F41/VLOOKUP("Grand Total",$B$4:$F$284,5,0),4)</f>
        <v>-4.4600000000000001E-2</v>
      </c>
      <c r="I41" s="104">
        <v>43125</v>
      </c>
      <c r="J41" s="101"/>
      <c r="K41" s="90"/>
      <c r="L41" s="103"/>
      <c r="M41" s="84"/>
      <c r="N41" s="90"/>
      <c r="O41" s="90"/>
      <c r="Q41" s="90"/>
    </row>
    <row r="42" spans="1:17" s="65" customFormat="1" ht="12.75" customHeight="1" x14ac:dyDescent="0.2">
      <c r="A42" s="65">
        <f t="shared" si="2"/>
        <v>31</v>
      </c>
      <c r="B42" s="77" t="s">
        <v>283</v>
      </c>
      <c r="C42" s="77" t="s">
        <v>156</v>
      </c>
      <c r="D42" s="77" t="s">
        <v>146</v>
      </c>
      <c r="E42" s="74">
        <v>18700</v>
      </c>
      <c r="F42" s="75">
        <v>139.74510000000001</v>
      </c>
      <c r="G42" s="76">
        <f>+ROUND(F42/VLOOKUP("Grand Total",$B$4:$F$284,5,0),4)</f>
        <v>3.0099999999999998E-2</v>
      </c>
      <c r="H42" s="76"/>
      <c r="I42" s="126" t="s">
        <v>381</v>
      </c>
      <c r="J42" s="101"/>
      <c r="K42" s="90"/>
      <c r="L42" s="103"/>
      <c r="M42" s="84"/>
      <c r="N42" s="90"/>
      <c r="O42" s="90"/>
      <c r="Q42" s="90"/>
    </row>
    <row r="43" spans="1:17" s="65" customFormat="1" ht="12.75" customHeight="1" x14ac:dyDescent="0.2">
      <c r="A43" s="65">
        <f t="shared" si="2"/>
        <v>32</v>
      </c>
      <c r="B43" s="77" t="s">
        <v>283</v>
      </c>
      <c r="C43" s="121" t="s">
        <v>570</v>
      </c>
      <c r="D43" s="77" t="s">
        <v>328</v>
      </c>
      <c r="E43" s="74">
        <v>-18700</v>
      </c>
      <c r="F43" s="75">
        <v>-140.75489999999999</v>
      </c>
      <c r="G43" s="76"/>
      <c r="H43" s="76">
        <f>+ROUND(F43/VLOOKUP("Grand Total",$B$4:$F$284,5,0),4)</f>
        <v>-3.0300000000000001E-2</v>
      </c>
      <c r="I43" s="104">
        <v>43125</v>
      </c>
      <c r="J43" s="101"/>
      <c r="K43" s="90"/>
      <c r="L43" s="103"/>
      <c r="M43" s="84"/>
      <c r="N43" s="90"/>
      <c r="O43" s="90"/>
      <c r="Q43" s="90"/>
    </row>
    <row r="44" spans="1:17" s="65" customFormat="1" ht="12.75" customHeight="1" x14ac:dyDescent="0.2">
      <c r="A44" s="65">
        <f t="shared" si="2"/>
        <v>33</v>
      </c>
      <c r="B44" s="77" t="s">
        <v>302</v>
      </c>
      <c r="C44" s="77" t="s">
        <v>181</v>
      </c>
      <c r="D44" s="77" t="s">
        <v>38</v>
      </c>
      <c r="E44" s="74">
        <v>60000</v>
      </c>
      <c r="F44" s="75">
        <v>134.01</v>
      </c>
      <c r="G44" s="76">
        <f>+ROUND(F44/VLOOKUP("Grand Total",$B$4:$F$284,5,0),4)</f>
        <v>2.8899999999999999E-2</v>
      </c>
      <c r="H44" s="76"/>
      <c r="I44" s="126" t="s">
        <v>381</v>
      </c>
      <c r="J44" s="101"/>
      <c r="K44" s="90"/>
      <c r="L44" s="103"/>
      <c r="M44" s="84"/>
      <c r="N44" s="90"/>
      <c r="O44" s="90"/>
      <c r="Q44" s="90"/>
    </row>
    <row r="45" spans="1:17" s="65" customFormat="1" ht="12.75" customHeight="1" x14ac:dyDescent="0.2">
      <c r="A45" s="65">
        <f t="shared" si="2"/>
        <v>34</v>
      </c>
      <c r="B45" s="77" t="s">
        <v>302</v>
      </c>
      <c r="C45" s="121" t="s">
        <v>570</v>
      </c>
      <c r="D45" s="77" t="s">
        <v>328</v>
      </c>
      <c r="E45" s="74">
        <v>-60000</v>
      </c>
      <c r="F45" s="75">
        <v>-134.43</v>
      </c>
      <c r="G45" s="76"/>
      <c r="H45" s="76">
        <f>+ROUND(F45/VLOOKUP("Grand Total",$B$4:$F$284,5,0),4)</f>
        <v>-2.9000000000000001E-2</v>
      </c>
      <c r="I45" s="104">
        <v>43125</v>
      </c>
      <c r="J45" s="101"/>
      <c r="K45" s="90"/>
      <c r="L45" s="103"/>
      <c r="M45" s="84"/>
      <c r="N45" s="90"/>
      <c r="O45" s="90"/>
      <c r="Q45" s="90"/>
    </row>
    <row r="46" spans="1:17" s="65" customFormat="1" ht="12.75" customHeight="1" x14ac:dyDescent="0.2">
      <c r="A46" s="65">
        <f t="shared" si="2"/>
        <v>35</v>
      </c>
      <c r="B46" s="77" t="s">
        <v>209</v>
      </c>
      <c r="C46" s="77" t="s">
        <v>52</v>
      </c>
      <c r="D46" s="77" t="s">
        <v>41</v>
      </c>
      <c r="E46" s="74">
        <v>99000</v>
      </c>
      <c r="F46" s="75">
        <v>124.49250000000001</v>
      </c>
      <c r="G46" s="76">
        <f>+ROUND(F46/VLOOKUP("Grand Total",$B$4:$F$284,5,0),4)</f>
        <v>2.6800000000000001E-2</v>
      </c>
      <c r="H46" s="76"/>
      <c r="I46" s="126" t="s">
        <v>381</v>
      </c>
      <c r="J46" s="101"/>
      <c r="K46" s="90"/>
      <c r="L46" s="103"/>
      <c r="M46" s="84"/>
      <c r="N46" s="90"/>
      <c r="O46" s="90"/>
      <c r="Q46" s="90"/>
    </row>
    <row r="47" spans="1:17" s="65" customFormat="1" ht="12.75" customHeight="1" x14ac:dyDescent="0.2">
      <c r="A47" s="65">
        <f t="shared" si="2"/>
        <v>36</v>
      </c>
      <c r="B47" s="77" t="s">
        <v>209</v>
      </c>
      <c r="C47" s="121" t="s">
        <v>570</v>
      </c>
      <c r="D47" s="77" t="s">
        <v>328</v>
      </c>
      <c r="E47" s="74">
        <v>-99000</v>
      </c>
      <c r="F47" s="75">
        <v>-125.0865</v>
      </c>
      <c r="G47" s="76"/>
      <c r="H47" s="76">
        <f>+ROUND(F47/VLOOKUP("Grand Total",$B$4:$F$284,5,0),4)</f>
        <v>-2.7E-2</v>
      </c>
      <c r="I47" s="104">
        <v>43125</v>
      </c>
      <c r="J47" s="101"/>
      <c r="K47" s="90"/>
      <c r="L47" s="103"/>
      <c r="M47" s="84"/>
      <c r="N47" s="90"/>
      <c r="O47" s="90"/>
      <c r="Q47" s="90"/>
    </row>
    <row r="48" spans="1:17" s="65" customFormat="1" ht="12.75" customHeight="1" x14ac:dyDescent="0.2">
      <c r="A48" s="65">
        <f t="shared" si="2"/>
        <v>37</v>
      </c>
      <c r="B48" s="77" t="s">
        <v>556</v>
      </c>
      <c r="C48" s="77" t="s">
        <v>557</v>
      </c>
      <c r="D48" s="77" t="s">
        <v>26</v>
      </c>
      <c r="E48" s="74">
        <v>91000</v>
      </c>
      <c r="F48" s="75">
        <v>120.48399999999999</v>
      </c>
      <c r="G48" s="76">
        <f>+ROUND(F48/VLOOKUP("Grand Total",$B$4:$F$284,5,0),4)</f>
        <v>2.5999999999999999E-2</v>
      </c>
      <c r="H48" s="76"/>
      <c r="I48" s="126" t="s">
        <v>381</v>
      </c>
      <c r="J48" s="101"/>
      <c r="K48" s="90"/>
      <c r="L48" s="103"/>
      <c r="M48" s="84"/>
      <c r="N48" s="90"/>
      <c r="O48" s="90"/>
      <c r="Q48" s="90"/>
    </row>
    <row r="49" spans="1:17" s="65" customFormat="1" ht="12.75" customHeight="1" x14ac:dyDescent="0.2">
      <c r="A49" s="65">
        <f t="shared" si="2"/>
        <v>38</v>
      </c>
      <c r="B49" s="77" t="s">
        <v>556</v>
      </c>
      <c r="C49" s="121" t="s">
        <v>570</v>
      </c>
      <c r="D49" s="77" t="s">
        <v>328</v>
      </c>
      <c r="E49" s="74">
        <v>-91000</v>
      </c>
      <c r="F49" s="75">
        <v>-121.485</v>
      </c>
      <c r="G49" s="76"/>
      <c r="H49" s="76">
        <f>+ROUND(F49/VLOOKUP("Grand Total",$B$4:$F$284,5,0),4)</f>
        <v>-2.6200000000000001E-2</v>
      </c>
      <c r="I49" s="104">
        <v>43125</v>
      </c>
      <c r="J49" s="101"/>
      <c r="K49" s="90"/>
      <c r="L49" s="103"/>
      <c r="M49" s="84"/>
      <c r="N49" s="90"/>
      <c r="O49" s="90"/>
      <c r="Q49" s="90"/>
    </row>
    <row r="50" spans="1:17" s="65" customFormat="1" ht="12.75" customHeight="1" x14ac:dyDescent="0.2">
      <c r="A50" s="65">
        <f t="shared" si="2"/>
        <v>39</v>
      </c>
      <c r="B50" s="77" t="s">
        <v>350</v>
      </c>
      <c r="C50" s="77" t="s">
        <v>351</v>
      </c>
      <c r="D50" s="77" t="s">
        <v>20</v>
      </c>
      <c r="E50" s="74">
        <v>84000</v>
      </c>
      <c r="F50" s="75">
        <v>100.044</v>
      </c>
      <c r="G50" s="76">
        <f>+ROUND(F50/VLOOKUP("Grand Total",$B$4:$F$284,5,0),4)</f>
        <v>2.1600000000000001E-2</v>
      </c>
      <c r="H50" s="76"/>
      <c r="I50" s="126" t="s">
        <v>381</v>
      </c>
      <c r="J50" s="101"/>
      <c r="K50" s="90"/>
      <c r="L50" s="103"/>
      <c r="M50" s="84"/>
      <c r="N50" s="90"/>
      <c r="O50" s="90"/>
      <c r="Q50" s="90"/>
    </row>
    <row r="51" spans="1:17" s="65" customFormat="1" ht="12.75" customHeight="1" x14ac:dyDescent="0.2">
      <c r="A51" s="65">
        <f t="shared" si="2"/>
        <v>40</v>
      </c>
      <c r="B51" s="77" t="s">
        <v>350</v>
      </c>
      <c r="C51" s="121" t="s">
        <v>570</v>
      </c>
      <c r="D51" s="77" t="s">
        <v>328</v>
      </c>
      <c r="E51" s="74">
        <v>-84000</v>
      </c>
      <c r="F51" s="75">
        <v>-100.67400000000001</v>
      </c>
      <c r="G51" s="76"/>
      <c r="H51" s="76">
        <f>+ROUND(F51/VLOOKUP("Grand Total",$B$4:$F$284,5,0),4)</f>
        <v>-2.1700000000000001E-2</v>
      </c>
      <c r="I51" s="104">
        <v>43125</v>
      </c>
      <c r="J51" s="101"/>
      <c r="K51" s="90"/>
      <c r="L51" s="103"/>
      <c r="M51" s="84"/>
      <c r="N51" s="90"/>
      <c r="O51" s="90"/>
      <c r="Q51" s="90"/>
    </row>
    <row r="52" spans="1:17" s="65" customFormat="1" ht="12.75" customHeight="1" x14ac:dyDescent="0.2">
      <c r="A52" s="65">
        <f t="shared" si="2"/>
        <v>41</v>
      </c>
      <c r="B52" s="77" t="s">
        <v>40</v>
      </c>
      <c r="C52" s="77" t="s">
        <v>42</v>
      </c>
      <c r="D52" s="77" t="s">
        <v>10</v>
      </c>
      <c r="E52" s="74">
        <v>56000</v>
      </c>
      <c r="F52" s="75">
        <v>89.963999999999999</v>
      </c>
      <c r="G52" s="76">
        <f>+ROUND(F52/VLOOKUP("Grand Total",$B$4:$F$284,5,0),4)</f>
        <v>1.9400000000000001E-2</v>
      </c>
      <c r="H52" s="76"/>
      <c r="I52" s="126" t="s">
        <v>381</v>
      </c>
      <c r="J52" s="101"/>
      <c r="K52" s="90"/>
      <c r="L52" s="103"/>
      <c r="M52" s="84"/>
      <c r="N52" s="90"/>
      <c r="O52" s="90"/>
      <c r="Q52" s="90"/>
    </row>
    <row r="53" spans="1:17" s="65" customFormat="1" ht="12.75" customHeight="1" x14ac:dyDescent="0.2">
      <c r="A53" s="65">
        <f t="shared" si="2"/>
        <v>42</v>
      </c>
      <c r="B53" s="77" t="s">
        <v>40</v>
      </c>
      <c r="C53" s="121" t="s">
        <v>570</v>
      </c>
      <c r="D53" s="77" t="s">
        <v>328</v>
      </c>
      <c r="E53" s="74">
        <v>-56000</v>
      </c>
      <c r="F53" s="75">
        <v>-90.635999999999996</v>
      </c>
      <c r="G53" s="76"/>
      <c r="H53" s="76">
        <f>+ROUND(F53/VLOOKUP("Grand Total",$B$4:$F$284,5,0),4)</f>
        <v>-1.95E-2</v>
      </c>
      <c r="I53" s="104">
        <v>43125</v>
      </c>
      <c r="J53" s="101"/>
      <c r="K53" s="90"/>
      <c r="L53" s="103"/>
      <c r="M53" s="84"/>
      <c r="N53" s="90"/>
      <c r="O53" s="90"/>
      <c r="Q53" s="90"/>
    </row>
    <row r="54" spans="1:17" s="65" customFormat="1" ht="12.75" customHeight="1" x14ac:dyDescent="0.2">
      <c r="A54" s="65">
        <f t="shared" si="2"/>
        <v>43</v>
      </c>
      <c r="B54" s="77" t="s">
        <v>502</v>
      </c>
      <c r="C54" s="77" t="s">
        <v>503</v>
      </c>
      <c r="D54" s="77" t="s">
        <v>178</v>
      </c>
      <c r="E54" s="74">
        <v>56000</v>
      </c>
      <c r="F54" s="75">
        <v>89.852000000000004</v>
      </c>
      <c r="G54" s="76">
        <f>+ROUND(F54/VLOOKUP("Grand Total",$B$4:$F$284,5,0),4)</f>
        <v>1.9400000000000001E-2</v>
      </c>
      <c r="H54" s="76"/>
      <c r="I54" s="126" t="s">
        <v>381</v>
      </c>
      <c r="J54" s="101"/>
      <c r="K54" s="90"/>
      <c r="L54" s="103"/>
      <c r="M54" s="84"/>
      <c r="N54" s="90"/>
      <c r="O54" s="90"/>
      <c r="Q54" s="90"/>
    </row>
    <row r="55" spans="1:17" s="65" customFormat="1" ht="12.75" customHeight="1" x14ac:dyDescent="0.2">
      <c r="A55" s="65">
        <f t="shared" si="2"/>
        <v>44</v>
      </c>
      <c r="B55" s="77" t="s">
        <v>502</v>
      </c>
      <c r="C55" s="121" t="s">
        <v>570</v>
      </c>
      <c r="D55" s="77" t="s">
        <v>328</v>
      </c>
      <c r="E55" s="74">
        <v>-56000</v>
      </c>
      <c r="F55" s="75">
        <v>-90.44</v>
      </c>
      <c r="G55" s="76"/>
      <c r="H55" s="76">
        <f>+ROUND(F55/VLOOKUP("Grand Total",$B$4:$F$284,5,0),4)</f>
        <v>-1.95E-2</v>
      </c>
      <c r="I55" s="104">
        <v>43125</v>
      </c>
      <c r="J55" s="101"/>
      <c r="K55" s="90"/>
      <c r="L55" s="103"/>
      <c r="M55" s="84"/>
      <c r="N55" s="90"/>
      <c r="O55" s="90"/>
      <c r="Q55" s="90"/>
    </row>
    <row r="56" spans="1:17" s="65" customFormat="1" ht="12.75" customHeight="1" x14ac:dyDescent="0.2">
      <c r="A56" s="65">
        <f t="shared" si="2"/>
        <v>45</v>
      </c>
      <c r="B56" s="77" t="s">
        <v>702</v>
      </c>
      <c r="C56" s="77" t="s">
        <v>703</v>
      </c>
      <c r="D56" s="77" t="s">
        <v>32</v>
      </c>
      <c r="E56" s="74">
        <v>25000</v>
      </c>
      <c r="F56" s="75">
        <v>64.837500000000006</v>
      </c>
      <c r="G56" s="76">
        <f>+ROUND(F56/VLOOKUP("Grand Total",$B$4:$F$284,5,0),4)</f>
        <v>1.4E-2</v>
      </c>
      <c r="H56" s="76"/>
      <c r="I56" s="126" t="s">
        <v>381</v>
      </c>
      <c r="J56" s="101"/>
      <c r="K56" s="90"/>
      <c r="L56" s="103"/>
      <c r="M56" s="84"/>
      <c r="N56" s="90"/>
      <c r="O56" s="90"/>
      <c r="Q56" s="90"/>
    </row>
    <row r="57" spans="1:17" s="65" customFormat="1" ht="12.75" customHeight="1" x14ac:dyDescent="0.2">
      <c r="A57" s="65">
        <f t="shared" si="2"/>
        <v>46</v>
      </c>
      <c r="B57" s="77" t="s">
        <v>702</v>
      </c>
      <c r="C57" s="121" t="s">
        <v>570</v>
      </c>
      <c r="D57" s="77" t="s">
        <v>328</v>
      </c>
      <c r="E57" s="74">
        <v>-25000</v>
      </c>
      <c r="F57" s="75">
        <v>-65.287499999999994</v>
      </c>
      <c r="G57" s="76"/>
      <c r="H57" s="76">
        <f>+ROUND(F57/VLOOKUP("Grand Total",$B$4:$F$284,5,0),4)</f>
        <v>-1.41E-2</v>
      </c>
      <c r="I57" s="104">
        <v>43125</v>
      </c>
      <c r="J57" s="101"/>
      <c r="K57" s="90"/>
      <c r="L57" s="103"/>
      <c r="M57" s="84"/>
      <c r="N57" s="90"/>
      <c r="O57" s="90"/>
      <c r="Q57" s="90"/>
    </row>
    <row r="58" spans="1:17" s="65" customFormat="1" ht="12.75" customHeight="1" x14ac:dyDescent="0.2">
      <c r="A58" s="65">
        <f t="shared" si="2"/>
        <v>47</v>
      </c>
      <c r="B58" s="77" t="s">
        <v>218</v>
      </c>
      <c r="C58" s="77" t="s">
        <v>61</v>
      </c>
      <c r="D58" s="77" t="s">
        <v>22</v>
      </c>
      <c r="E58" s="74">
        <v>8800</v>
      </c>
      <c r="F58" s="75">
        <v>60.5396</v>
      </c>
      <c r="G58" s="76">
        <f>+ROUND(F58/VLOOKUP("Grand Total",$B$4:$F$284,5,0),4)</f>
        <v>1.3100000000000001E-2</v>
      </c>
      <c r="H58" s="76"/>
      <c r="I58" s="126" t="s">
        <v>381</v>
      </c>
      <c r="J58" s="101"/>
      <c r="K58" s="90"/>
      <c r="L58" s="103"/>
      <c r="M58" s="84"/>
      <c r="N58" s="90"/>
      <c r="O58" s="90"/>
      <c r="Q58" s="90"/>
    </row>
    <row r="59" spans="1:17" s="65" customFormat="1" ht="12.75" customHeight="1" x14ac:dyDescent="0.2">
      <c r="A59" s="65">
        <f t="shared" si="2"/>
        <v>48</v>
      </c>
      <c r="B59" s="77" t="s">
        <v>218</v>
      </c>
      <c r="C59" s="121" t="s">
        <v>570</v>
      </c>
      <c r="D59" s="77" t="s">
        <v>328</v>
      </c>
      <c r="E59" s="74">
        <v>-8800</v>
      </c>
      <c r="F59" s="75">
        <v>-60.931199999999997</v>
      </c>
      <c r="G59" s="76"/>
      <c r="H59" s="76">
        <f>+ROUND(F59/VLOOKUP("Grand Total",$B$4:$F$284,5,0),4)</f>
        <v>-1.3100000000000001E-2</v>
      </c>
      <c r="I59" s="104">
        <v>43125</v>
      </c>
      <c r="J59" s="101"/>
      <c r="K59" s="90"/>
      <c r="L59" s="103"/>
      <c r="M59" s="84"/>
      <c r="N59" s="90"/>
      <c r="O59" s="90"/>
      <c r="Q59" s="90"/>
    </row>
    <row r="60" spans="1:17" s="65" customFormat="1" ht="12.75" customHeight="1" x14ac:dyDescent="0.2">
      <c r="A60" s="65">
        <f t="shared" si="2"/>
        <v>49</v>
      </c>
      <c r="B60" s="77" t="s">
        <v>303</v>
      </c>
      <c r="C60" s="77" t="s">
        <v>183</v>
      </c>
      <c r="D60" s="77" t="s">
        <v>103</v>
      </c>
      <c r="E60" s="74">
        <v>6000</v>
      </c>
      <c r="F60" s="75">
        <v>59.408999999999999</v>
      </c>
      <c r="G60" s="76">
        <f>+ROUND(F60/VLOOKUP("Grand Total",$B$4:$F$284,5,0),4)</f>
        <v>1.2800000000000001E-2</v>
      </c>
      <c r="H60" s="76"/>
      <c r="I60" s="126" t="s">
        <v>381</v>
      </c>
      <c r="J60" s="101"/>
      <c r="K60" s="90"/>
      <c r="L60" s="103"/>
      <c r="M60" s="84"/>
      <c r="N60" s="90"/>
      <c r="O60" s="90"/>
      <c r="Q60" s="90"/>
    </row>
    <row r="61" spans="1:17" s="65" customFormat="1" ht="12.75" customHeight="1" x14ac:dyDescent="0.2">
      <c r="A61" s="65">
        <f t="shared" si="2"/>
        <v>50</v>
      </c>
      <c r="B61" s="77" t="s">
        <v>303</v>
      </c>
      <c r="C61" s="121" t="s">
        <v>570</v>
      </c>
      <c r="D61" s="77" t="s">
        <v>328</v>
      </c>
      <c r="E61" s="74">
        <v>-6000</v>
      </c>
      <c r="F61" s="75">
        <v>-59.777999999999999</v>
      </c>
      <c r="G61" s="76"/>
      <c r="H61" s="76">
        <f>+ROUND(F61/VLOOKUP("Grand Total",$B$4:$F$284,5,0),4)</f>
        <v>-1.29E-2</v>
      </c>
      <c r="I61" s="104">
        <v>43125</v>
      </c>
      <c r="J61" s="101"/>
      <c r="K61" s="90"/>
      <c r="L61" s="103"/>
      <c r="M61" s="84"/>
      <c r="N61" s="90"/>
      <c r="O61" s="90"/>
      <c r="Q61" s="90"/>
    </row>
    <row r="62" spans="1:17" s="65" customFormat="1" ht="12.75" customHeight="1" x14ac:dyDescent="0.2">
      <c r="A62" s="65">
        <f t="shared" si="2"/>
        <v>51</v>
      </c>
      <c r="B62" s="77" t="s">
        <v>195</v>
      </c>
      <c r="C62" s="77" t="s">
        <v>15</v>
      </c>
      <c r="D62" s="77" t="s">
        <v>14</v>
      </c>
      <c r="E62" s="74">
        <v>5400</v>
      </c>
      <c r="F62" s="75">
        <v>56.270699999999998</v>
      </c>
      <c r="G62" s="76">
        <f>+ROUND(F62/VLOOKUP("Grand Total",$B$4:$F$284,5,0),4)</f>
        <v>1.21E-2</v>
      </c>
      <c r="H62" s="76"/>
      <c r="I62" s="126" t="s">
        <v>381</v>
      </c>
      <c r="J62" s="101"/>
      <c r="K62" s="90"/>
      <c r="L62" s="103"/>
      <c r="M62" s="84"/>
      <c r="N62" s="90"/>
      <c r="O62" s="90"/>
      <c r="Q62" s="90"/>
    </row>
    <row r="63" spans="1:17" s="65" customFormat="1" ht="12.75" customHeight="1" x14ac:dyDescent="0.2">
      <c r="A63" s="65">
        <f t="shared" si="2"/>
        <v>52</v>
      </c>
      <c r="B63" s="77" t="s">
        <v>195</v>
      </c>
      <c r="C63" s="121" t="s">
        <v>570</v>
      </c>
      <c r="D63" s="77" t="s">
        <v>328</v>
      </c>
      <c r="E63" s="74">
        <v>-5400</v>
      </c>
      <c r="F63" s="75">
        <v>-56.508299999999998</v>
      </c>
      <c r="G63" s="76"/>
      <c r="H63" s="76">
        <f>+ROUND(F63/VLOOKUP("Grand Total",$B$4:$F$284,5,0),4)</f>
        <v>-1.2200000000000001E-2</v>
      </c>
      <c r="I63" s="104">
        <v>43125</v>
      </c>
      <c r="J63" s="101"/>
      <c r="K63" s="90"/>
      <c r="L63" s="103"/>
      <c r="M63" s="84"/>
      <c r="N63" s="90"/>
      <c r="O63" s="90"/>
      <c r="Q63" s="90"/>
    </row>
    <row r="64" spans="1:17" s="65" customFormat="1" ht="12.75" customHeight="1" x14ac:dyDescent="0.2">
      <c r="A64" s="65">
        <f t="shared" si="2"/>
        <v>53</v>
      </c>
      <c r="B64" s="77" t="s">
        <v>200</v>
      </c>
      <c r="C64" s="77" t="s">
        <v>27</v>
      </c>
      <c r="D64" s="77" t="s">
        <v>24</v>
      </c>
      <c r="E64" s="74">
        <v>3000</v>
      </c>
      <c r="F64" s="75">
        <v>51.311999999999998</v>
      </c>
      <c r="G64" s="76">
        <f>+ROUND(F64/VLOOKUP("Grand Total",$B$4:$F$284,5,0),4)</f>
        <v>1.11E-2</v>
      </c>
      <c r="H64" s="76"/>
      <c r="I64" s="126" t="s">
        <v>381</v>
      </c>
      <c r="J64" s="101"/>
      <c r="K64" s="90"/>
      <c r="L64" s="103"/>
      <c r="M64" s="84"/>
      <c r="N64" s="90"/>
      <c r="O64" s="90"/>
      <c r="Q64" s="90"/>
    </row>
    <row r="65" spans="1:17" s="65" customFormat="1" ht="12.75" customHeight="1" x14ac:dyDescent="0.2">
      <c r="A65" s="65">
        <f t="shared" si="2"/>
        <v>54</v>
      </c>
      <c r="B65" s="77" t="s">
        <v>200</v>
      </c>
      <c r="C65" s="121" t="s">
        <v>570</v>
      </c>
      <c r="D65" s="77" t="s">
        <v>328</v>
      </c>
      <c r="E65" s="74">
        <v>-3000</v>
      </c>
      <c r="F65" s="75">
        <v>-51.421500000000002</v>
      </c>
      <c r="G65" s="76"/>
      <c r="H65" s="76">
        <f>+ROUND(F65/VLOOKUP("Grand Total",$B$4:$F$284,5,0),4)</f>
        <v>-1.11E-2</v>
      </c>
      <c r="I65" s="104">
        <v>43125</v>
      </c>
      <c r="J65" s="101"/>
      <c r="K65" s="90"/>
      <c r="L65" s="103"/>
      <c r="M65" s="84"/>
      <c r="N65" s="90"/>
      <c r="O65" s="90"/>
      <c r="Q65" s="90"/>
    </row>
    <row r="66" spans="1:17" s="65" customFormat="1" ht="12.75" customHeight="1" x14ac:dyDescent="0.2">
      <c r="A66" s="65">
        <f t="shared" si="2"/>
        <v>55</v>
      </c>
      <c r="B66" s="77" t="s">
        <v>221</v>
      </c>
      <c r="C66" s="77" t="s">
        <v>74</v>
      </c>
      <c r="D66" s="77" t="s">
        <v>32</v>
      </c>
      <c r="E66" s="74">
        <v>20000</v>
      </c>
      <c r="F66" s="75">
        <v>47.6</v>
      </c>
      <c r="G66" s="76">
        <f>+ROUND(F66/VLOOKUP("Grand Total",$B$4:$F$284,5,0),4)</f>
        <v>1.03E-2</v>
      </c>
      <c r="H66" s="76"/>
      <c r="I66" s="126" t="s">
        <v>381</v>
      </c>
      <c r="J66" s="101"/>
      <c r="K66" s="90"/>
      <c r="L66" s="103"/>
      <c r="M66" s="84"/>
      <c r="N66" s="90"/>
      <c r="O66" s="90"/>
      <c r="Q66" s="90"/>
    </row>
    <row r="67" spans="1:17" s="65" customFormat="1" ht="12.75" customHeight="1" x14ac:dyDescent="0.2">
      <c r="A67" s="65">
        <f t="shared" si="2"/>
        <v>56</v>
      </c>
      <c r="B67" s="77" t="s">
        <v>221</v>
      </c>
      <c r="C67" s="121" t="s">
        <v>570</v>
      </c>
      <c r="D67" s="77" t="s">
        <v>328</v>
      </c>
      <c r="E67" s="74">
        <v>-20000</v>
      </c>
      <c r="F67" s="75">
        <v>-47.93</v>
      </c>
      <c r="G67" s="76"/>
      <c r="H67" s="76">
        <f>+ROUND(F67/VLOOKUP("Grand Total",$B$4:$F$284,5,0),4)</f>
        <v>-1.03E-2</v>
      </c>
      <c r="I67" s="104">
        <v>43125</v>
      </c>
      <c r="J67" s="101"/>
      <c r="K67" s="90"/>
      <c r="L67" s="103"/>
      <c r="M67" s="84"/>
      <c r="N67" s="90"/>
      <c r="O67" s="90"/>
      <c r="Q67" s="90"/>
    </row>
    <row r="68" spans="1:17" s="65" customFormat="1" ht="12.75" customHeight="1" x14ac:dyDescent="0.2">
      <c r="A68" s="65">
        <f t="shared" si="2"/>
        <v>57</v>
      </c>
      <c r="B68" s="77" t="s">
        <v>263</v>
      </c>
      <c r="C68" s="77" t="s">
        <v>125</v>
      </c>
      <c r="D68" s="77" t="s">
        <v>45</v>
      </c>
      <c r="E68" s="74">
        <v>14000</v>
      </c>
      <c r="F68" s="75">
        <v>38.296999999999997</v>
      </c>
      <c r="G68" s="76">
        <f>+ROUND(F68/VLOOKUP("Grand Total",$B$4:$F$284,5,0),4)</f>
        <v>8.3000000000000001E-3</v>
      </c>
      <c r="H68" s="76"/>
      <c r="I68" s="126" t="s">
        <v>381</v>
      </c>
      <c r="J68" s="101"/>
      <c r="K68" s="90"/>
      <c r="L68" s="103"/>
      <c r="M68" s="84"/>
      <c r="N68" s="90"/>
      <c r="O68" s="90"/>
      <c r="Q68" s="90"/>
    </row>
    <row r="69" spans="1:17" s="65" customFormat="1" ht="12.75" customHeight="1" x14ac:dyDescent="0.2">
      <c r="A69" s="65">
        <f t="shared" si="2"/>
        <v>58</v>
      </c>
      <c r="B69" s="77" t="s">
        <v>263</v>
      </c>
      <c r="C69" s="121" t="s">
        <v>570</v>
      </c>
      <c r="D69" s="77" t="s">
        <v>328</v>
      </c>
      <c r="E69" s="74">
        <v>-14000</v>
      </c>
      <c r="F69" s="75">
        <v>-38.563000000000002</v>
      </c>
      <c r="G69" s="76"/>
      <c r="H69" s="76">
        <f>+ROUND(F69/VLOOKUP("Grand Total",$B$4:$F$284,5,0),4)</f>
        <v>-8.3000000000000001E-3</v>
      </c>
      <c r="I69" s="104">
        <v>43125</v>
      </c>
      <c r="J69" s="101"/>
      <c r="K69" s="90"/>
      <c r="L69" s="103"/>
      <c r="M69" s="84"/>
      <c r="N69" s="90"/>
      <c r="O69" s="90"/>
      <c r="Q69" s="90"/>
    </row>
    <row r="70" spans="1:17" s="65" customFormat="1" ht="12.75" customHeight="1" x14ac:dyDescent="0.2">
      <c r="A70" s="65">
        <f t="shared" si="2"/>
        <v>59</v>
      </c>
      <c r="B70" s="77" t="s">
        <v>704</v>
      </c>
      <c r="C70" s="77" t="s">
        <v>705</v>
      </c>
      <c r="D70" s="77" t="s">
        <v>24</v>
      </c>
      <c r="E70" s="74">
        <v>3000</v>
      </c>
      <c r="F70" s="75">
        <v>17.374500000000001</v>
      </c>
      <c r="G70" s="76">
        <f>+ROUND(F70/VLOOKUP("Grand Total",$B$4:$F$284,5,0),4)</f>
        <v>3.7000000000000002E-3</v>
      </c>
      <c r="H70" s="76"/>
      <c r="I70" s="126" t="s">
        <v>381</v>
      </c>
      <c r="J70" s="101"/>
      <c r="K70" s="90"/>
      <c r="L70" s="103"/>
      <c r="M70" s="84"/>
      <c r="N70" s="90"/>
      <c r="O70" s="90"/>
      <c r="Q70" s="90"/>
    </row>
    <row r="71" spans="1:17" s="65" customFormat="1" ht="12.75" customHeight="1" x14ac:dyDescent="0.2">
      <c r="A71" s="65">
        <f t="shared" si="2"/>
        <v>60</v>
      </c>
      <c r="B71" s="77" t="s">
        <v>704</v>
      </c>
      <c r="C71" s="121" t="s">
        <v>570</v>
      </c>
      <c r="D71" s="77" t="s">
        <v>328</v>
      </c>
      <c r="E71" s="74">
        <v>-3000</v>
      </c>
      <c r="F71" s="75">
        <v>-17.479500000000002</v>
      </c>
      <c r="G71" s="76"/>
      <c r="H71" s="76">
        <f>+ROUND(F71/VLOOKUP("Grand Total",$B$4:$F$284,5,0),4)</f>
        <v>-3.8E-3</v>
      </c>
      <c r="I71" s="104">
        <v>43125</v>
      </c>
      <c r="J71" s="101"/>
      <c r="K71" s="90"/>
      <c r="L71" s="103"/>
      <c r="M71" s="84"/>
      <c r="N71" s="90"/>
      <c r="O71" s="90"/>
      <c r="Q71" s="90"/>
    </row>
    <row r="72" spans="1:17" s="65" customFormat="1" ht="12.75" customHeight="1" x14ac:dyDescent="0.2">
      <c r="A72" s="65">
        <f t="shared" si="2"/>
        <v>61</v>
      </c>
      <c r="B72" s="77" t="s">
        <v>301</v>
      </c>
      <c r="C72" s="77" t="s">
        <v>182</v>
      </c>
      <c r="D72" s="77" t="s">
        <v>36</v>
      </c>
      <c r="E72" s="74">
        <v>2600</v>
      </c>
      <c r="F72" s="75">
        <v>14.4001</v>
      </c>
      <c r="G72" s="76">
        <f>+ROUND(F72/VLOOKUP("Grand Total",$B$4:$F$284,5,0),4)</f>
        <v>3.0999999999999999E-3</v>
      </c>
      <c r="H72" s="76"/>
      <c r="I72" s="126" t="s">
        <v>381</v>
      </c>
      <c r="J72" s="101"/>
      <c r="K72" s="90"/>
      <c r="L72" s="103"/>
      <c r="M72" s="84"/>
      <c r="N72" s="90"/>
      <c r="O72" s="90"/>
      <c r="Q72" s="90"/>
    </row>
    <row r="73" spans="1:17" s="65" customFormat="1" ht="12.75" customHeight="1" x14ac:dyDescent="0.2">
      <c r="A73" s="65">
        <f t="shared" si="2"/>
        <v>62</v>
      </c>
      <c r="B73" s="77" t="s">
        <v>301</v>
      </c>
      <c r="C73" s="121" t="s">
        <v>570</v>
      </c>
      <c r="D73" s="77" t="s">
        <v>328</v>
      </c>
      <c r="E73" s="74">
        <v>-2600</v>
      </c>
      <c r="F73" s="75">
        <v>-14.485900000000001</v>
      </c>
      <c r="G73" s="76"/>
      <c r="H73" s="76">
        <f>+ROUND(F73/VLOOKUP("Grand Total",$B$4:$F$284,5,0),4)</f>
        <v>-3.0999999999999999E-3</v>
      </c>
      <c r="I73" s="104">
        <v>43125</v>
      </c>
      <c r="J73" s="101"/>
      <c r="K73" s="90"/>
      <c r="L73" s="103"/>
      <c r="M73" s="84"/>
      <c r="N73" s="90"/>
      <c r="O73" s="90"/>
      <c r="Q73" s="90"/>
    </row>
    <row r="74" spans="1:17" s="46" customFormat="1" x14ac:dyDescent="0.2">
      <c r="A74"/>
      <c r="B74" s="18" t="s">
        <v>86</v>
      </c>
      <c r="C74" s="18"/>
      <c r="D74" s="18"/>
      <c r="E74" s="19"/>
      <c r="F74" s="19">
        <f>+F36+F38+F40+F42+F44+F46+F48+F50+F52+F54+F56+F58+F60+F62+F64+F66+F68+F70+F72</f>
        <v>1918.9774500000001</v>
      </c>
      <c r="G74" s="20">
        <f>+G36+G38+G40+G42+G44+G46+G48+G50+G52+G54+G56+G58+G60+G62+G64+G66+G68+G70+G72</f>
        <v>0.41379999999999995</v>
      </c>
      <c r="H74" s="20">
        <f>SUM(H36:H73)</f>
        <v>-0.41620000000000001</v>
      </c>
      <c r="I74" s="21"/>
      <c r="J74" s="55"/>
      <c r="K74"/>
      <c r="L74" s="36"/>
      <c r="M74"/>
    </row>
    <row r="75" spans="1:17" s="46" customFormat="1" x14ac:dyDescent="0.2">
      <c r="A75"/>
      <c r="B75"/>
      <c r="C75"/>
      <c r="D75"/>
      <c r="E75" s="28"/>
      <c r="F75" s="44"/>
      <c r="G75" s="14"/>
      <c r="H75" s="14"/>
      <c r="I75" s="15"/>
      <c r="J75" s="56"/>
      <c r="L75" s="48"/>
    </row>
    <row r="76" spans="1:17" s="46" customFormat="1" x14ac:dyDescent="0.2">
      <c r="A76"/>
      <c r="B76" s="16" t="s">
        <v>92</v>
      </c>
      <c r="C76"/>
      <c r="D76"/>
      <c r="E76" s="28"/>
      <c r="F76" s="44"/>
      <c r="G76" s="14"/>
      <c r="H76" s="14"/>
      <c r="I76" s="15"/>
      <c r="J76" s="56"/>
      <c r="L76" s="48"/>
    </row>
    <row r="77" spans="1:17" ht="12.75" customHeight="1" x14ac:dyDescent="0.2">
      <c r="B77" s="16" t="s">
        <v>312</v>
      </c>
      <c r="F77" s="13"/>
      <c r="G77" s="14"/>
      <c r="H77" s="14"/>
      <c r="I77" s="33"/>
      <c r="J77"/>
      <c r="K77" s="36"/>
      <c r="L77"/>
    </row>
    <row r="78" spans="1:17" ht="12.75" customHeight="1" x14ac:dyDescent="0.2">
      <c r="A78" s="65">
        <f>+MAX($A$7:A77)+1</f>
        <v>63</v>
      </c>
      <c r="B78" t="s">
        <v>594</v>
      </c>
      <c r="C78" t="s">
        <v>682</v>
      </c>
      <c r="D78" t="s">
        <v>595</v>
      </c>
      <c r="E78" s="28">
        <v>60</v>
      </c>
      <c r="F78" s="13">
        <v>295.04129999999998</v>
      </c>
      <c r="G78" s="14">
        <f>+ROUND(F78/VLOOKUP("Grand Total",$B$4:$F$313,5,0),4)</f>
        <v>6.3600000000000004E-2</v>
      </c>
      <c r="H78" s="14"/>
      <c r="I78" s="15">
        <v>43158</v>
      </c>
      <c r="J78"/>
      <c r="K78" s="36"/>
      <c r="L78"/>
    </row>
    <row r="79" spans="1:17" ht="12.75" customHeight="1" x14ac:dyDescent="0.2">
      <c r="A79" s="65">
        <f>+MAX($A$7:A78)+1</f>
        <v>64</v>
      </c>
      <c r="B79" t="s">
        <v>296</v>
      </c>
      <c r="C79" t="s">
        <v>645</v>
      </c>
      <c r="D79" t="s">
        <v>610</v>
      </c>
      <c r="E79" s="28">
        <v>40</v>
      </c>
      <c r="F79" s="13">
        <v>185.63900000000001</v>
      </c>
      <c r="G79" s="14">
        <f>+ROUND(F79/VLOOKUP("Grand Total",$B$4:$F$313,5,0),4)</f>
        <v>0.04</v>
      </c>
      <c r="H79" s="14"/>
      <c r="I79" s="15">
        <v>43426</v>
      </c>
      <c r="J79"/>
      <c r="K79" s="36"/>
      <c r="L79"/>
    </row>
    <row r="80" spans="1:17" ht="12.75" customHeight="1" x14ac:dyDescent="0.2">
      <c r="A80" s="65">
        <f>+MAX($A$7:A79)+1</f>
        <v>65</v>
      </c>
      <c r="B80" t="s">
        <v>532</v>
      </c>
      <c r="C80" t="s">
        <v>706</v>
      </c>
      <c r="D80" t="s">
        <v>295</v>
      </c>
      <c r="E80" s="28">
        <v>20</v>
      </c>
      <c r="F80" s="13">
        <v>99.034999999999997</v>
      </c>
      <c r="G80" s="14">
        <f>+ROUND(F80/VLOOKUP("Grand Total",$B$4:$F$313,5,0),4)</f>
        <v>2.1299999999999999E-2</v>
      </c>
      <c r="H80" s="14"/>
      <c r="I80" s="15">
        <v>43145</v>
      </c>
      <c r="J80"/>
      <c r="K80" s="36"/>
      <c r="L80"/>
    </row>
    <row r="81" spans="1:13" ht="12.75" customHeight="1" x14ac:dyDescent="0.2">
      <c r="B81" s="18" t="s">
        <v>86</v>
      </c>
      <c r="C81" s="18"/>
      <c r="D81" s="18"/>
      <c r="E81" s="29"/>
      <c r="F81" s="19">
        <f>SUM(F78:F80)</f>
        <v>579.71529999999996</v>
      </c>
      <c r="G81" s="20">
        <f>SUM(G78:G80)</f>
        <v>0.1249</v>
      </c>
      <c r="H81" s="20"/>
      <c r="I81" s="21"/>
      <c r="J81"/>
      <c r="K81" s="36"/>
      <c r="L81"/>
    </row>
    <row r="82" spans="1:13" x14ac:dyDescent="0.2">
      <c r="F82" s="44"/>
      <c r="G82" s="14"/>
      <c r="H82" s="14"/>
      <c r="I82" s="15"/>
      <c r="J82" s="56"/>
      <c r="K82" s="48"/>
      <c r="L82" s="46"/>
      <c r="M82" s="46"/>
    </row>
    <row r="83" spans="1:13" x14ac:dyDescent="0.2">
      <c r="B83" s="16" t="s">
        <v>126</v>
      </c>
      <c r="F83" s="44"/>
      <c r="G83" s="14"/>
      <c r="H83" s="14"/>
      <c r="I83" s="15"/>
      <c r="J83" s="56"/>
      <c r="K83" s="48"/>
      <c r="L83" s="46"/>
      <c r="M83" s="46"/>
    </row>
    <row r="84" spans="1:13" ht="12.75" customHeight="1" x14ac:dyDescent="0.2">
      <c r="B84" s="31" t="s">
        <v>311</v>
      </c>
      <c r="F84" s="13"/>
      <c r="G84" s="14"/>
      <c r="H84" s="14"/>
      <c r="I84" s="33"/>
      <c r="J84"/>
      <c r="K84" s="36"/>
      <c r="L84"/>
    </row>
    <row r="85" spans="1:13" ht="12.75" customHeight="1" x14ac:dyDescent="0.2">
      <c r="A85">
        <f>+MAX($A$7:A84)+1</f>
        <v>66</v>
      </c>
      <c r="B85" s="65" t="s">
        <v>508</v>
      </c>
      <c r="C85" t="s">
        <v>509</v>
      </c>
      <c r="D85" t="s">
        <v>297</v>
      </c>
      <c r="E85" s="28">
        <v>17</v>
      </c>
      <c r="F85" s="13">
        <v>169.91193999999999</v>
      </c>
      <c r="G85" s="14">
        <f t="shared" ref="G85:G90" si="3">+ROUND(F85/VLOOKUP("Grand Total",$B$4:$F$313,5,0),4)</f>
        <v>3.6600000000000001E-2</v>
      </c>
      <c r="H85" s="14"/>
      <c r="I85" s="15">
        <v>43630</v>
      </c>
      <c r="J85"/>
      <c r="K85" s="36"/>
      <c r="L85"/>
    </row>
    <row r="86" spans="1:13" ht="12.75" customHeight="1" x14ac:dyDescent="0.2">
      <c r="A86">
        <f>+MAX($A$7:A85)+1</f>
        <v>67</v>
      </c>
      <c r="B86" s="65" t="s">
        <v>431</v>
      </c>
      <c r="C86" t="s">
        <v>432</v>
      </c>
      <c r="D86" t="s">
        <v>369</v>
      </c>
      <c r="E86" s="28">
        <v>13</v>
      </c>
      <c r="F86" s="13">
        <v>130.57291000000001</v>
      </c>
      <c r="G86" s="14">
        <f t="shared" si="3"/>
        <v>2.81E-2</v>
      </c>
      <c r="H86" s="14"/>
      <c r="I86" s="15">
        <v>43322</v>
      </c>
      <c r="J86"/>
      <c r="K86" s="36"/>
      <c r="L86"/>
    </row>
    <row r="87" spans="1:13" ht="12.75" customHeight="1" x14ac:dyDescent="0.2">
      <c r="A87">
        <f>+MAX($A$7:A86)+1</f>
        <v>68</v>
      </c>
      <c r="B87" s="65" t="s">
        <v>692</v>
      </c>
      <c r="C87" s="121" t="s">
        <v>570</v>
      </c>
      <c r="D87" t="s">
        <v>795</v>
      </c>
      <c r="E87" s="28">
        <v>10</v>
      </c>
      <c r="F87" s="13">
        <v>99.999700000000004</v>
      </c>
      <c r="G87" s="14">
        <f t="shared" si="3"/>
        <v>2.1600000000000001E-2</v>
      </c>
      <c r="H87" s="14"/>
      <c r="I87" s="15">
        <v>43826</v>
      </c>
      <c r="J87"/>
      <c r="K87" s="36"/>
      <c r="L87"/>
    </row>
    <row r="88" spans="1:13" ht="12.75" customHeight="1" x14ac:dyDescent="0.2">
      <c r="A88">
        <f>+MAX($A$7:A87)+1</f>
        <v>69</v>
      </c>
      <c r="B88" s="65" t="s">
        <v>536</v>
      </c>
      <c r="C88" t="s">
        <v>537</v>
      </c>
      <c r="D88" t="s">
        <v>109</v>
      </c>
      <c r="E88" s="28">
        <v>10</v>
      </c>
      <c r="F88" s="13">
        <v>99.620900000000006</v>
      </c>
      <c r="G88" s="14">
        <f t="shared" si="3"/>
        <v>2.1499999999999998E-2</v>
      </c>
      <c r="H88" s="14"/>
      <c r="I88" s="15">
        <v>44091</v>
      </c>
      <c r="J88"/>
      <c r="K88" s="36"/>
      <c r="L88"/>
    </row>
    <row r="89" spans="1:13" ht="12.75" customHeight="1" x14ac:dyDescent="0.2">
      <c r="A89">
        <f>+MAX($A$7:A88)+1</f>
        <v>70</v>
      </c>
      <c r="B89" s="65" t="s">
        <v>657</v>
      </c>
      <c r="C89" t="s">
        <v>658</v>
      </c>
      <c r="D89" t="s">
        <v>109</v>
      </c>
      <c r="E89" s="28">
        <v>4</v>
      </c>
      <c r="F89" s="13">
        <v>52.487850000000002</v>
      </c>
      <c r="G89" s="14">
        <f t="shared" si="3"/>
        <v>1.1299999999999999E-2</v>
      </c>
      <c r="H89" s="14"/>
      <c r="I89" s="15">
        <v>44401</v>
      </c>
      <c r="J89"/>
      <c r="K89" s="36"/>
      <c r="L89"/>
    </row>
    <row r="90" spans="1:13" ht="12.75" customHeight="1" x14ac:dyDescent="0.2">
      <c r="A90">
        <f>+MAX($A$7:A89)+1</f>
        <v>71</v>
      </c>
      <c r="B90" s="65" t="s">
        <v>321</v>
      </c>
      <c r="C90" t="s">
        <v>173</v>
      </c>
      <c r="D90" t="s">
        <v>172</v>
      </c>
      <c r="E90" s="28">
        <v>1</v>
      </c>
      <c r="F90" s="13">
        <v>10.04097</v>
      </c>
      <c r="G90" s="14">
        <f t="shared" si="3"/>
        <v>2.2000000000000001E-3</v>
      </c>
      <c r="H90" s="14"/>
      <c r="I90" s="15">
        <v>43259</v>
      </c>
      <c r="J90"/>
      <c r="K90" s="36"/>
      <c r="L90"/>
    </row>
    <row r="91" spans="1:13" ht="12.75" customHeight="1" x14ac:dyDescent="0.2">
      <c r="B91" s="18" t="s">
        <v>86</v>
      </c>
      <c r="C91" s="18"/>
      <c r="D91" s="18"/>
      <c r="E91" s="29"/>
      <c r="F91" s="19">
        <f>SUM(F85:F90)</f>
        <v>562.63427000000001</v>
      </c>
      <c r="G91" s="20">
        <f>SUM(G85:G90)</f>
        <v>0.12130000000000001</v>
      </c>
      <c r="H91" s="20"/>
      <c r="I91" s="21"/>
      <c r="J91"/>
      <c r="K91" s="36"/>
      <c r="L91"/>
    </row>
    <row r="92" spans="1:13" x14ac:dyDescent="0.2">
      <c r="F92" s="44"/>
      <c r="G92" s="14"/>
      <c r="H92" s="14"/>
      <c r="I92" s="15"/>
      <c r="J92" s="56"/>
      <c r="K92" s="48"/>
      <c r="L92" s="46"/>
      <c r="M92" s="46"/>
    </row>
    <row r="93" spans="1:13" ht="12.75" customHeight="1" x14ac:dyDescent="0.2">
      <c r="B93" s="16" t="s">
        <v>93</v>
      </c>
      <c r="F93" s="13"/>
      <c r="G93" s="14"/>
      <c r="H93" s="14"/>
      <c r="I93" s="33"/>
      <c r="J93"/>
      <c r="K93" s="36"/>
      <c r="L93"/>
    </row>
    <row r="94" spans="1:13" ht="12.75" customHeight="1" x14ac:dyDescent="0.2">
      <c r="A94">
        <f>+MAX($A$7:A93)+1</f>
        <v>72</v>
      </c>
      <c r="B94" t="s">
        <v>461</v>
      </c>
      <c r="C94" t="s">
        <v>360</v>
      </c>
      <c r="D94" t="s">
        <v>325</v>
      </c>
      <c r="E94" s="28">
        <v>9842.8194000000003</v>
      </c>
      <c r="F94" s="13">
        <v>163.0747097</v>
      </c>
      <c r="G94" s="14">
        <f>+ROUND(F94/VLOOKUP("Grand Total",$B$4:$F$313,5,0),4)</f>
        <v>3.5200000000000002E-2</v>
      </c>
      <c r="H94" s="14"/>
      <c r="I94" s="33" t="s">
        <v>381</v>
      </c>
      <c r="J94"/>
      <c r="K94" s="36"/>
      <c r="L94"/>
    </row>
    <row r="95" spans="1:13" ht="12.75" customHeight="1" x14ac:dyDescent="0.2">
      <c r="B95" s="18" t="s">
        <v>86</v>
      </c>
      <c r="C95" s="18"/>
      <c r="D95" s="18"/>
      <c r="E95" s="29"/>
      <c r="F95" s="19">
        <f>SUM(F94)</f>
        <v>163.0747097</v>
      </c>
      <c r="G95" s="20">
        <f>SUM(G94)</f>
        <v>3.5200000000000002E-2</v>
      </c>
      <c r="H95" s="20"/>
      <c r="I95" s="21"/>
      <c r="J95"/>
      <c r="K95" s="36"/>
      <c r="L95"/>
    </row>
    <row r="96" spans="1:13" x14ac:dyDescent="0.2">
      <c r="F96" s="44"/>
      <c r="G96" s="14"/>
      <c r="H96" s="14"/>
      <c r="I96" s="15"/>
      <c r="J96" s="56"/>
      <c r="K96" s="48"/>
      <c r="L96" s="46"/>
      <c r="M96" s="46"/>
    </row>
    <row r="97" spans="1:12" x14ac:dyDescent="0.2">
      <c r="A97" s="95" t="s">
        <v>380</v>
      </c>
      <c r="B97" s="16" t="s">
        <v>94</v>
      </c>
      <c r="C97" s="16"/>
      <c r="F97" s="13">
        <v>309.57771780000002</v>
      </c>
      <c r="G97" s="14">
        <f>+ROUND(F97/VLOOKUP("Grand Total",$B$4:$F$289,5,0),4)</f>
        <v>6.6699999999999995E-2</v>
      </c>
      <c r="H97" s="14"/>
      <c r="I97" s="15">
        <v>43101</v>
      </c>
      <c r="J97" s="56"/>
      <c r="K97" s="36"/>
      <c r="L97"/>
    </row>
    <row r="98" spans="1:12" x14ac:dyDescent="0.2">
      <c r="B98" s="18" t="s">
        <v>86</v>
      </c>
      <c r="C98" s="18"/>
      <c r="D98" s="18"/>
      <c r="E98" s="29"/>
      <c r="F98" s="19">
        <f>SUM(F97)</f>
        <v>309.57771780000002</v>
      </c>
      <c r="G98" s="20">
        <f>SUM(G97)</f>
        <v>6.6699999999999995E-2</v>
      </c>
      <c r="H98" s="20"/>
      <c r="I98" s="21"/>
      <c r="J98" s="55"/>
    </row>
    <row r="99" spans="1:12" x14ac:dyDescent="0.2">
      <c r="F99" s="13"/>
      <c r="G99" s="14"/>
      <c r="H99" s="14"/>
      <c r="I99" s="15"/>
      <c r="J99" s="56"/>
    </row>
    <row r="100" spans="1:12" x14ac:dyDescent="0.2">
      <c r="B100" s="16" t="s">
        <v>95</v>
      </c>
      <c r="C100" s="16"/>
      <c r="F100" s="13"/>
      <c r="G100" s="14"/>
      <c r="H100" s="14"/>
      <c r="I100" s="15"/>
      <c r="J100" s="56"/>
    </row>
    <row r="101" spans="1:12" x14ac:dyDescent="0.2">
      <c r="B101" s="16" t="s">
        <v>96</v>
      </c>
      <c r="C101" s="16"/>
      <c r="F101" s="44">
        <f>+F103-SUMIF($B$5:B100,"Total",$F$5:F100)</f>
        <v>-54.449690100001135</v>
      </c>
      <c r="G101" s="45">
        <f>+ROUND(F101/VLOOKUP("Grand Total",$B$4:$F$289,5,0),4)-0.02%</f>
        <v>-1.1900000000000001E-2</v>
      </c>
      <c r="H101" s="45"/>
      <c r="I101" s="15"/>
      <c r="J101" s="56"/>
    </row>
    <row r="102" spans="1:12" x14ac:dyDescent="0.2">
      <c r="B102" s="18" t="s">
        <v>86</v>
      </c>
      <c r="C102" s="18"/>
      <c r="D102" s="18"/>
      <c r="E102" s="29"/>
      <c r="F102" s="19">
        <f>SUM(F101)</f>
        <v>-54.449690100001135</v>
      </c>
      <c r="G102" s="20">
        <f>SUM(G101)</f>
        <v>-1.1900000000000001E-2</v>
      </c>
      <c r="H102" s="20"/>
      <c r="I102" s="21"/>
      <c r="J102" s="55"/>
    </row>
    <row r="103" spans="1:12" x14ac:dyDescent="0.2">
      <c r="B103" s="22" t="s">
        <v>97</v>
      </c>
      <c r="C103" s="22"/>
      <c r="D103" s="22"/>
      <c r="E103" s="30"/>
      <c r="F103" s="23">
        <v>4638.8382968999995</v>
      </c>
      <c r="G103" s="24">
        <f>+SUMIF($B$5:B102,"Total",$G$5:G102)</f>
        <v>1</v>
      </c>
      <c r="H103" s="24"/>
      <c r="I103" s="25"/>
      <c r="J103" s="39"/>
    </row>
    <row r="104" spans="1:12" x14ac:dyDescent="0.2">
      <c r="F104" s="40"/>
      <c r="L104"/>
    </row>
    <row r="105" spans="1:12" x14ac:dyDescent="0.2">
      <c r="B105" s="16" t="s">
        <v>799</v>
      </c>
      <c r="C105" s="16"/>
      <c r="L105"/>
    </row>
    <row r="106" spans="1:12" x14ac:dyDescent="0.2">
      <c r="B106" s="16" t="s">
        <v>189</v>
      </c>
      <c r="C106" s="16"/>
      <c r="L106"/>
    </row>
    <row r="107" spans="1:12" x14ac:dyDescent="0.2">
      <c r="B107" s="53" t="s">
        <v>313</v>
      </c>
      <c r="L107"/>
    </row>
    <row r="108" spans="1:12" x14ac:dyDescent="0.2">
      <c r="L108"/>
    </row>
    <row r="109" spans="1:12" x14ac:dyDescent="0.2">
      <c r="L109"/>
    </row>
    <row r="110" spans="1:12" x14ac:dyDescent="0.2">
      <c r="L110"/>
    </row>
    <row r="111" spans="1:12" x14ac:dyDescent="0.2">
      <c r="L111"/>
    </row>
    <row r="112" spans="1:12" x14ac:dyDescent="0.2">
      <c r="L112"/>
    </row>
    <row r="113" spans="5:12" x14ac:dyDescent="0.2">
      <c r="L113"/>
    </row>
    <row r="114" spans="5:12" x14ac:dyDescent="0.2">
      <c r="L114"/>
    </row>
    <row r="115" spans="5:12" x14ac:dyDescent="0.2"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E122"/>
      <c r="J122"/>
      <c r="L122"/>
    </row>
    <row r="123" spans="5:12" x14ac:dyDescent="0.2">
      <c r="E123"/>
      <c r="J123"/>
      <c r="L123"/>
    </row>
    <row r="124" spans="5:12" x14ac:dyDescent="0.2">
      <c r="E124"/>
      <c r="J124"/>
      <c r="L124"/>
    </row>
    <row r="125" spans="5:12" x14ac:dyDescent="0.2">
      <c r="E125"/>
      <c r="J125"/>
      <c r="L125"/>
    </row>
    <row r="126" spans="5:12" x14ac:dyDescent="0.2">
      <c r="E126"/>
      <c r="J126"/>
      <c r="L126"/>
    </row>
    <row r="127" spans="5:12" x14ac:dyDescent="0.2">
      <c r="E127"/>
      <c r="J127"/>
      <c r="L127"/>
    </row>
    <row r="128" spans="5:12" x14ac:dyDescent="0.2">
      <c r="E128"/>
      <c r="J128"/>
      <c r="L128"/>
    </row>
    <row r="129" spans="5:12" x14ac:dyDescent="0.2">
      <c r="E129"/>
      <c r="J129"/>
      <c r="L129"/>
    </row>
    <row r="130" spans="5:12" x14ac:dyDescent="0.2">
      <c r="E130"/>
      <c r="J130"/>
      <c r="L130"/>
    </row>
    <row r="131" spans="5:12" x14ac:dyDescent="0.2">
      <c r="E131"/>
      <c r="J131"/>
      <c r="L131"/>
    </row>
    <row r="132" spans="5:12" x14ac:dyDescent="0.2">
      <c r="E132"/>
      <c r="J132"/>
      <c r="L132"/>
    </row>
    <row r="133" spans="5:12" x14ac:dyDescent="0.2">
      <c r="E133"/>
      <c r="J133"/>
      <c r="L133"/>
    </row>
    <row r="134" spans="5:12" x14ac:dyDescent="0.2">
      <c r="E134"/>
      <c r="J134"/>
      <c r="L134"/>
    </row>
    <row r="135" spans="5:12" x14ac:dyDescent="0.2">
      <c r="E135"/>
      <c r="J135"/>
      <c r="L135"/>
    </row>
    <row r="136" spans="5:12" x14ac:dyDescent="0.2">
      <c r="E136"/>
      <c r="J136"/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  <row r="144" spans="5:12" x14ac:dyDescent="0.2">
      <c r="E144"/>
      <c r="J144"/>
      <c r="L144"/>
    </row>
    <row r="145" spans="5:12" x14ac:dyDescent="0.2">
      <c r="E145"/>
      <c r="J145"/>
      <c r="L145"/>
    </row>
    <row r="146" spans="5:12" x14ac:dyDescent="0.2">
      <c r="E146"/>
      <c r="J146"/>
      <c r="L146"/>
    </row>
    <row r="147" spans="5:12" x14ac:dyDescent="0.2">
      <c r="E147"/>
      <c r="J147"/>
      <c r="L147"/>
    </row>
    <row r="148" spans="5:12" x14ac:dyDescent="0.2">
      <c r="E148"/>
      <c r="J148"/>
      <c r="L148"/>
    </row>
    <row r="149" spans="5:12" x14ac:dyDescent="0.2">
      <c r="E149"/>
      <c r="J149"/>
      <c r="L149"/>
    </row>
    <row r="150" spans="5:12" x14ac:dyDescent="0.2">
      <c r="E150"/>
      <c r="J150"/>
      <c r="L150"/>
    </row>
    <row r="151" spans="5:12" x14ac:dyDescent="0.2">
      <c r="E151"/>
      <c r="J151"/>
      <c r="L151"/>
    </row>
    <row r="152" spans="5:12" x14ac:dyDescent="0.2">
      <c r="E152"/>
      <c r="J152"/>
      <c r="L152"/>
    </row>
    <row r="153" spans="5:12" x14ac:dyDescent="0.2">
      <c r="E153"/>
      <c r="J153"/>
      <c r="L153"/>
    </row>
    <row r="154" spans="5:12" x14ac:dyDescent="0.2">
      <c r="E154"/>
      <c r="J154"/>
      <c r="L154"/>
    </row>
  </sheetData>
  <sheetProtection password="EDB3" sheet="1" objects="1" scenarios="1"/>
  <sortState ref="K9:L36">
    <sortCondition descending="1" ref="L9:L36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6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395</v>
      </c>
      <c r="B1" s="123" t="s">
        <v>475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C7" s="16"/>
      <c r="F7" s="13"/>
      <c r="G7" s="14"/>
      <c r="H7" s="15"/>
    </row>
    <row r="8" spans="1:16" ht="12.75" customHeight="1" x14ac:dyDescent="0.2">
      <c r="B8" s="16" t="s">
        <v>170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635</v>
      </c>
      <c r="C9" t="s">
        <v>636</v>
      </c>
      <c r="D9" t="s">
        <v>413</v>
      </c>
      <c r="E9" s="28">
        <v>18000</v>
      </c>
      <c r="F9" s="13">
        <v>17.781983999999998</v>
      </c>
      <c r="G9" s="14">
        <f>+ROUND(F9/VLOOKUP("Grand Total",$B$4:$F$286,5,0),4)</f>
        <v>8.2000000000000007E-3</v>
      </c>
      <c r="H9" s="15">
        <v>43172</v>
      </c>
      <c r="J9" s="14" t="s">
        <v>413</v>
      </c>
      <c r="K9" s="48">
        <f>SUMIFS($G$5:$G$316,$D$5:$D$316,J9)</f>
        <v>0.44</v>
      </c>
    </row>
    <row r="10" spans="1:16" ht="12.75" customHeight="1" x14ac:dyDescent="0.2">
      <c r="B10" s="18" t="s">
        <v>86</v>
      </c>
      <c r="C10" s="18"/>
      <c r="D10" s="18"/>
      <c r="E10" s="29"/>
      <c r="F10" s="19">
        <f>SUM(F9:F9)</f>
        <v>17.781983999999998</v>
      </c>
      <c r="G10" s="20">
        <f>SUM(G9:G9)</f>
        <v>8.2000000000000007E-3</v>
      </c>
      <c r="H10" s="21"/>
      <c r="J10" t="s">
        <v>172</v>
      </c>
      <c r="K10" s="48">
        <f>SUMIFS($G$5:$G$316,$D$5:$D$316,J10)</f>
        <v>9.2600000000000002E-2</v>
      </c>
    </row>
    <row r="11" spans="1:16" ht="12.75" customHeight="1" x14ac:dyDescent="0.2">
      <c r="B11" s="16"/>
      <c r="C11" s="16"/>
      <c r="F11" s="13"/>
      <c r="G11" s="14"/>
      <c r="H11" s="15"/>
      <c r="J11" t="s">
        <v>369</v>
      </c>
      <c r="K11" s="48">
        <f>SUMIFS($G$5:$G$316,$D$5:$D$316,J11)</f>
        <v>8.8000000000000009E-2</v>
      </c>
    </row>
    <row r="12" spans="1:16" ht="12.75" customHeight="1" x14ac:dyDescent="0.2">
      <c r="B12" s="16" t="s">
        <v>171</v>
      </c>
      <c r="C12" s="16"/>
      <c r="F12" s="13"/>
      <c r="G12" s="14"/>
      <c r="H12" s="15"/>
      <c r="J12" s="46" t="s">
        <v>297</v>
      </c>
      <c r="K12" s="48">
        <f>SUMIFS($G$5:$G$316,$D$5:$D$316,J12)</f>
        <v>8.3000000000000004E-2</v>
      </c>
      <c r="M12" s="14"/>
      <c r="N12" s="36"/>
      <c r="P12" s="14"/>
    </row>
    <row r="13" spans="1:16" ht="12.75" customHeight="1" x14ac:dyDescent="0.2">
      <c r="A13">
        <f>+MAX($A$7:A12)+1</f>
        <v>2</v>
      </c>
      <c r="B13" s="1" t="s">
        <v>599</v>
      </c>
      <c r="C13" t="s">
        <v>600</v>
      </c>
      <c r="D13" t="s">
        <v>413</v>
      </c>
      <c r="E13" s="28">
        <v>1000000</v>
      </c>
      <c r="F13" s="13">
        <v>936.39200000000005</v>
      </c>
      <c r="G13" s="14">
        <f>+ROUND(F13/VLOOKUP("Grand Total",$B$4:$F$284,5,0),4)</f>
        <v>0.43180000000000002</v>
      </c>
      <c r="H13" s="15">
        <v>48108</v>
      </c>
      <c r="J13" s="14" t="s">
        <v>510</v>
      </c>
      <c r="K13" s="48">
        <f t="shared" ref="K13:K16" si="0">SUMIFS($G$5:$G$316,$D$5:$D$316,J13)</f>
        <v>8.2299999999999998E-2</v>
      </c>
      <c r="M13" s="14"/>
      <c r="N13" s="36"/>
      <c r="P13" s="14"/>
    </row>
    <row r="14" spans="1:16" ht="12.75" customHeight="1" x14ac:dyDescent="0.2">
      <c r="B14" s="18" t="s">
        <v>86</v>
      </c>
      <c r="C14" s="18"/>
      <c r="D14" s="18"/>
      <c r="E14" s="29"/>
      <c r="F14" s="19">
        <f>SUM(F13:F13)</f>
        <v>936.39200000000005</v>
      </c>
      <c r="G14" s="20">
        <f>SUM(G13:G13)</f>
        <v>0.43180000000000002</v>
      </c>
      <c r="H14" s="21"/>
      <c r="I14" s="35"/>
      <c r="J14" t="s">
        <v>559</v>
      </c>
      <c r="K14" s="48">
        <f t="shared" si="0"/>
        <v>6.9699999999999998E-2</v>
      </c>
      <c r="L14" s="54"/>
      <c r="M14" s="14"/>
      <c r="N14" s="36"/>
      <c r="P14" s="14"/>
    </row>
    <row r="15" spans="1:16" ht="12.75" customHeight="1" x14ac:dyDescent="0.2">
      <c r="F15" s="13"/>
      <c r="G15" s="14"/>
      <c r="H15" s="15"/>
      <c r="J15" t="s">
        <v>176</v>
      </c>
      <c r="K15" s="48">
        <f t="shared" si="0"/>
        <v>6.9400000000000003E-2</v>
      </c>
      <c r="L15" s="54"/>
      <c r="M15" s="14"/>
      <c r="N15" s="36"/>
      <c r="P15" s="14"/>
    </row>
    <row r="16" spans="1:16" ht="12.75" customHeight="1" x14ac:dyDescent="0.2">
      <c r="B16" s="16" t="s">
        <v>126</v>
      </c>
      <c r="C16" s="16"/>
      <c r="F16" s="13"/>
      <c r="G16" s="14"/>
      <c r="H16" s="15"/>
      <c r="J16" s="14" t="s">
        <v>109</v>
      </c>
      <c r="K16" s="48">
        <f t="shared" si="0"/>
        <v>4.6800000000000001E-2</v>
      </c>
      <c r="L16" s="54">
        <f>+SUM($K$12:K16)</f>
        <v>0.35120000000000001</v>
      </c>
      <c r="M16" s="14"/>
      <c r="N16" s="36"/>
      <c r="P16" s="14"/>
    </row>
    <row r="17" spans="1:11" ht="12.75" customHeight="1" x14ac:dyDescent="0.2">
      <c r="B17" s="31" t="s">
        <v>311</v>
      </c>
      <c r="C17" s="16"/>
      <c r="F17" s="13"/>
      <c r="G17" s="14"/>
      <c r="H17" s="15"/>
      <c r="J17" s="14" t="s">
        <v>64</v>
      </c>
      <c r="K17" s="48">
        <f>+SUMIFS($G$5:$G$1000,$B$5:$B$1000,"CBLO / Reverse Repo Investments")+SUMIFS($G$5:$G$1000,$B$5:$B$1000,"Net Receivable/Payable")</f>
        <v>2.8199999999999999E-2</v>
      </c>
    </row>
    <row r="18" spans="1:11" ht="12.75" customHeight="1" x14ac:dyDescent="0.2">
      <c r="A18">
        <f>+MAX($A$7:A17)+1</f>
        <v>3</v>
      </c>
      <c r="B18" s="1" t="s">
        <v>321</v>
      </c>
      <c r="C18" t="s">
        <v>173</v>
      </c>
      <c r="D18" t="s">
        <v>172</v>
      </c>
      <c r="E18" s="28">
        <v>20</v>
      </c>
      <c r="F18" s="13">
        <v>200.8194</v>
      </c>
      <c r="G18" s="14">
        <f>+ROUND(F18/VLOOKUP("Grand Total",$B$4:$F$284,5,0),4)</f>
        <v>9.2600000000000002E-2</v>
      </c>
      <c r="H18" s="15">
        <v>43259</v>
      </c>
      <c r="J18" s="52"/>
    </row>
    <row r="19" spans="1:11" ht="12.75" customHeight="1" x14ac:dyDescent="0.2">
      <c r="A19">
        <f>+MAX($A$7:A18)+1</f>
        <v>4</v>
      </c>
      <c r="B19" t="s">
        <v>508</v>
      </c>
      <c r="C19" t="s">
        <v>509</v>
      </c>
      <c r="D19" t="s">
        <v>297</v>
      </c>
      <c r="E19" s="28">
        <v>18</v>
      </c>
      <c r="F19" s="13">
        <v>179.90675999999999</v>
      </c>
      <c r="G19" s="14">
        <f t="shared" ref="G19:G25" si="1">+ROUND(F19/VLOOKUP("Grand Total",$B$4:$F$284,5,0),4)</f>
        <v>8.3000000000000004E-2</v>
      </c>
      <c r="H19" s="15">
        <v>43630</v>
      </c>
    </row>
    <row r="20" spans="1:11" ht="12.75" customHeight="1" x14ac:dyDescent="0.2">
      <c r="A20">
        <f>+MAX($A$7:A19)+1</f>
        <v>5</v>
      </c>
      <c r="B20" t="s">
        <v>563</v>
      </c>
      <c r="C20" t="s">
        <v>539</v>
      </c>
      <c r="D20" t="s">
        <v>510</v>
      </c>
      <c r="E20" s="28">
        <v>18</v>
      </c>
      <c r="F20" s="13">
        <v>178.55171999999999</v>
      </c>
      <c r="G20" s="14">
        <f t="shared" si="1"/>
        <v>8.2299999999999998E-2</v>
      </c>
      <c r="H20" s="15">
        <v>44026</v>
      </c>
      <c r="J20" s="52"/>
    </row>
    <row r="21" spans="1:11" ht="12.75" customHeight="1" x14ac:dyDescent="0.2">
      <c r="A21">
        <f>+MAX($A$7:A20)+1</f>
        <v>6</v>
      </c>
      <c r="B21" s="65" t="s">
        <v>367</v>
      </c>
      <c r="C21" t="s">
        <v>370</v>
      </c>
      <c r="D21" t="s">
        <v>369</v>
      </c>
      <c r="E21" s="28">
        <v>17</v>
      </c>
      <c r="F21" s="13">
        <v>170.56354999999999</v>
      </c>
      <c r="G21" s="14">
        <f t="shared" si="1"/>
        <v>7.8700000000000006E-2</v>
      </c>
      <c r="H21" s="15">
        <v>43175</v>
      </c>
      <c r="J21" s="52"/>
    </row>
    <row r="22" spans="1:11" ht="12.75" customHeight="1" x14ac:dyDescent="0.2">
      <c r="A22">
        <f>+MAX($A$7:A21)+1</f>
        <v>7</v>
      </c>
      <c r="B22" t="s">
        <v>357</v>
      </c>
      <c r="C22" t="s">
        <v>358</v>
      </c>
      <c r="D22" t="s">
        <v>559</v>
      </c>
      <c r="E22" s="28">
        <v>15</v>
      </c>
      <c r="F22" s="13">
        <v>151.06274999999999</v>
      </c>
      <c r="G22" s="14">
        <f t="shared" si="1"/>
        <v>6.9699999999999998E-2</v>
      </c>
      <c r="H22" s="15">
        <v>43309</v>
      </c>
      <c r="J22" s="52"/>
    </row>
    <row r="23" spans="1:11" ht="12.75" customHeight="1" x14ac:dyDescent="0.2">
      <c r="A23">
        <f>+MAX($A$7:A22)+1</f>
        <v>8</v>
      </c>
      <c r="B23" t="s">
        <v>616</v>
      </c>
      <c r="C23" t="s">
        <v>359</v>
      </c>
      <c r="D23" t="s">
        <v>176</v>
      </c>
      <c r="E23" s="28">
        <v>15</v>
      </c>
      <c r="F23" s="13">
        <v>150.4212</v>
      </c>
      <c r="G23" s="14">
        <f t="shared" si="1"/>
        <v>6.9400000000000003E-2</v>
      </c>
      <c r="H23" s="15">
        <v>43299</v>
      </c>
      <c r="J23" s="52"/>
    </row>
    <row r="24" spans="1:11" ht="12.75" customHeight="1" x14ac:dyDescent="0.2">
      <c r="A24">
        <f>+MAX($A$7:A23)+1</f>
        <v>9</v>
      </c>
      <c r="B24" t="s">
        <v>617</v>
      </c>
      <c r="C24" t="s">
        <v>419</v>
      </c>
      <c r="D24" t="s">
        <v>109</v>
      </c>
      <c r="E24" s="28">
        <v>10</v>
      </c>
      <c r="F24" s="13">
        <v>101.5703</v>
      </c>
      <c r="G24" s="14">
        <f t="shared" si="1"/>
        <v>4.6800000000000001E-2</v>
      </c>
      <c r="H24" s="15">
        <v>44343</v>
      </c>
      <c r="J24" s="52"/>
    </row>
    <row r="25" spans="1:11" ht="12.75" customHeight="1" x14ac:dyDescent="0.2">
      <c r="A25">
        <f>+MAX($A$7:A24)+1</f>
        <v>10</v>
      </c>
      <c r="B25" t="s">
        <v>466</v>
      </c>
      <c r="C25" t="s">
        <v>433</v>
      </c>
      <c r="D25" t="s">
        <v>369</v>
      </c>
      <c r="E25" s="28">
        <v>2000</v>
      </c>
      <c r="F25" s="13">
        <v>20.2027</v>
      </c>
      <c r="G25" s="14">
        <f t="shared" si="1"/>
        <v>9.2999999999999992E-3</v>
      </c>
      <c r="H25" s="15">
        <v>43717</v>
      </c>
      <c r="J25" s="52"/>
    </row>
    <row r="26" spans="1:11" ht="12.75" customHeight="1" x14ac:dyDescent="0.2">
      <c r="B26" s="18" t="s">
        <v>86</v>
      </c>
      <c r="C26" s="18"/>
      <c r="D26" s="18"/>
      <c r="E26" s="29"/>
      <c r="F26" s="19">
        <f>SUM(F18:F25)</f>
        <v>1153.0983800000001</v>
      </c>
      <c r="G26" s="20">
        <f>SUM(G18:G25)</f>
        <v>0.53179999999999994</v>
      </c>
      <c r="H26" s="21"/>
      <c r="J26" s="52"/>
    </row>
    <row r="27" spans="1:11" ht="12.75" customHeight="1" x14ac:dyDescent="0.2">
      <c r="F27" s="13"/>
      <c r="G27" s="14"/>
      <c r="H27" s="15"/>
    </row>
    <row r="28" spans="1:11" ht="12.75" customHeight="1" x14ac:dyDescent="0.2">
      <c r="A28" s="95" t="s">
        <v>380</v>
      </c>
      <c r="B28" s="16" t="s">
        <v>94</v>
      </c>
      <c r="C28" s="16"/>
      <c r="F28" s="13">
        <v>6.1835780000000007</v>
      </c>
      <c r="G28" s="14">
        <f>+ROUND(F28/VLOOKUP("Grand Total",$B$4:$F$284,5,0),4)</f>
        <v>2.8999999999999998E-3</v>
      </c>
      <c r="H28" s="15">
        <v>43101</v>
      </c>
    </row>
    <row r="29" spans="1:11" ht="12.75" customHeight="1" x14ac:dyDescent="0.2">
      <c r="B29" s="18" t="s">
        <v>86</v>
      </c>
      <c r="C29" s="18"/>
      <c r="D29" s="18"/>
      <c r="E29" s="29"/>
      <c r="F29" s="19">
        <f>SUM(F28)</f>
        <v>6.1835780000000007</v>
      </c>
      <c r="G29" s="20">
        <f>SUM(G28)</f>
        <v>2.8999999999999998E-3</v>
      </c>
      <c r="H29" s="21"/>
      <c r="I29" s="35"/>
    </row>
    <row r="30" spans="1:11" ht="12.75" customHeight="1" x14ac:dyDescent="0.2">
      <c r="F30" s="13"/>
      <c r="G30" s="14"/>
      <c r="H30" s="15"/>
    </row>
    <row r="31" spans="1:11" ht="12.75" customHeight="1" x14ac:dyDescent="0.2">
      <c r="B31" s="16" t="s">
        <v>95</v>
      </c>
      <c r="C31" s="16"/>
      <c r="F31" s="13"/>
      <c r="G31" s="14"/>
      <c r="H31" s="15"/>
    </row>
    <row r="32" spans="1:11" ht="12.75" customHeight="1" x14ac:dyDescent="0.2">
      <c r="B32" s="16" t="s">
        <v>96</v>
      </c>
      <c r="C32" s="16"/>
      <c r="F32" s="13">
        <v>55.153316099999302</v>
      </c>
      <c r="G32" s="14">
        <f>+ROUND(F32/VLOOKUP("Grand Total",$B$4:$F$284,5,0),4)-0.01%</f>
        <v>2.53E-2</v>
      </c>
      <c r="H32" s="15"/>
    </row>
    <row r="33" spans="2:9" ht="12.75" customHeight="1" x14ac:dyDescent="0.2">
      <c r="B33" s="18" t="s">
        <v>86</v>
      </c>
      <c r="C33" s="18"/>
      <c r="D33" s="18"/>
      <c r="E33" s="29"/>
      <c r="F33" s="19">
        <f>SUM(F32)</f>
        <v>55.153316099999302</v>
      </c>
      <c r="G33" s="20">
        <f>SUM(G32)</f>
        <v>2.53E-2</v>
      </c>
      <c r="H33" s="21"/>
      <c r="I33" s="35"/>
    </row>
    <row r="34" spans="2:9" ht="12.75" customHeight="1" x14ac:dyDescent="0.2">
      <c r="B34" s="22" t="s">
        <v>97</v>
      </c>
      <c r="C34" s="22"/>
      <c r="D34" s="22"/>
      <c r="E34" s="30"/>
      <c r="F34" s="23">
        <f>+SUMIF($B$5:B33,"Total",$F$5:F33)</f>
        <v>2168.6092580999998</v>
      </c>
      <c r="G34" s="24">
        <f>+SUMIF($B$5:B33,"Total",$G$5:G33)</f>
        <v>1</v>
      </c>
      <c r="H34" s="25"/>
      <c r="I34" s="35"/>
    </row>
    <row r="35" spans="2:9" ht="12.75" customHeight="1" x14ac:dyDescent="0.2"/>
    <row r="36" spans="2:9" ht="12.75" customHeight="1" x14ac:dyDescent="0.2">
      <c r="B36" s="16" t="s">
        <v>799</v>
      </c>
      <c r="C36" s="16"/>
    </row>
    <row r="37" spans="2:9" ht="12.75" customHeight="1" x14ac:dyDescent="0.2">
      <c r="B37" s="16" t="s">
        <v>189</v>
      </c>
      <c r="C37" s="16"/>
    </row>
    <row r="38" spans="2:9" ht="12.75" customHeight="1" x14ac:dyDescent="0.2">
      <c r="B38" s="16"/>
      <c r="C38" s="16"/>
    </row>
    <row r="39" spans="2:9" ht="12.75" customHeight="1" x14ac:dyDescent="0.2">
      <c r="B39" s="16"/>
      <c r="C39" s="16"/>
    </row>
    <row r="40" spans="2:9" ht="12.75" customHeight="1" x14ac:dyDescent="0.2">
      <c r="B40" s="16"/>
      <c r="C40" s="16"/>
    </row>
    <row r="41" spans="2:9" ht="12.75" customHeight="1" x14ac:dyDescent="0.2"/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sheetProtection password="EDB3" sheet="1" objects="1" scenarios="1"/>
  <sortState ref="J11:K17">
    <sortCondition descending="1" ref="K11:K17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8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396</v>
      </c>
      <c r="B1" s="123" t="s">
        <v>174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417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194</v>
      </c>
      <c r="C9" t="s">
        <v>13</v>
      </c>
      <c r="D9" t="s">
        <v>10</v>
      </c>
      <c r="E9" s="28">
        <v>103703</v>
      </c>
      <c r="F9" s="13">
        <v>1941.734972</v>
      </c>
      <c r="G9" s="14">
        <f t="shared" ref="G9:G40" si="0">+ROUND(F9/VLOOKUP("Grand Total",$B$4:$F$333,5,0),4)</f>
        <v>2.23E-2</v>
      </c>
      <c r="H9" s="15" t="s">
        <v>381</v>
      </c>
      <c r="I9" s="107"/>
      <c r="J9" s="14" t="s">
        <v>10</v>
      </c>
      <c r="K9" s="48">
        <f t="shared" ref="K9:K49" si="1">SUMIFS($G$5:$G$371,$D$5:$D$371,J9)</f>
        <v>0.11729999999999999</v>
      </c>
    </row>
    <row r="10" spans="1:16" ht="12.75" customHeight="1" x14ac:dyDescent="0.2">
      <c r="A10">
        <f>+MAX($A$7:A9)+1</f>
        <v>2</v>
      </c>
      <c r="B10" t="s">
        <v>195</v>
      </c>
      <c r="C10" t="s">
        <v>15</v>
      </c>
      <c r="D10" t="s">
        <v>14</v>
      </c>
      <c r="E10" s="28">
        <v>176500</v>
      </c>
      <c r="F10" s="13">
        <v>1839.2182499999999</v>
      </c>
      <c r="G10" s="14">
        <f t="shared" si="0"/>
        <v>2.1100000000000001E-2</v>
      </c>
      <c r="H10" s="15" t="s">
        <v>381</v>
      </c>
      <c r="I10" s="107"/>
      <c r="J10" s="14" t="s">
        <v>413</v>
      </c>
      <c r="K10" s="48">
        <f t="shared" si="1"/>
        <v>0.11440000000000003</v>
      </c>
    </row>
    <row r="11" spans="1:16" ht="12.75" customHeight="1" x14ac:dyDescent="0.2">
      <c r="A11">
        <f>+MAX($A$7:A10)+1</f>
        <v>3</v>
      </c>
      <c r="B11" t="s">
        <v>204</v>
      </c>
      <c r="C11" t="s">
        <v>46</v>
      </c>
      <c r="D11" t="s">
        <v>26</v>
      </c>
      <c r="E11" s="28">
        <v>681277</v>
      </c>
      <c r="F11" s="13">
        <v>1793.4617025</v>
      </c>
      <c r="G11" s="14">
        <f t="shared" si="0"/>
        <v>2.06E-2</v>
      </c>
      <c r="H11" s="15" t="s">
        <v>381</v>
      </c>
      <c r="I11" s="107"/>
      <c r="J11" s="14" t="s">
        <v>26</v>
      </c>
      <c r="K11" s="48">
        <f t="shared" si="1"/>
        <v>9.5100000000000004E-2</v>
      </c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197</v>
      </c>
      <c r="C12" t="s">
        <v>11</v>
      </c>
      <c r="D12" t="s">
        <v>10</v>
      </c>
      <c r="E12" s="28">
        <v>509976</v>
      </c>
      <c r="F12" s="13">
        <v>1601.32464</v>
      </c>
      <c r="G12" s="14">
        <f t="shared" si="0"/>
        <v>1.84E-2</v>
      </c>
      <c r="H12" s="15" t="s">
        <v>381</v>
      </c>
      <c r="I12" s="107"/>
      <c r="J12" t="s">
        <v>109</v>
      </c>
      <c r="K12" s="48">
        <f t="shared" si="1"/>
        <v>7.0999999999999994E-2</v>
      </c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353</v>
      </c>
      <c r="C13" t="s">
        <v>423</v>
      </c>
      <c r="D13" t="s">
        <v>136</v>
      </c>
      <c r="E13" s="28">
        <v>155699</v>
      </c>
      <c r="F13" s="13">
        <v>1518.5323469999998</v>
      </c>
      <c r="G13" s="14">
        <f t="shared" si="0"/>
        <v>1.7399999999999999E-2</v>
      </c>
      <c r="H13" s="15" t="s">
        <v>381</v>
      </c>
      <c r="I13" s="107"/>
      <c r="J13" s="14" t="s">
        <v>14</v>
      </c>
      <c r="K13" s="48">
        <f t="shared" si="1"/>
        <v>5.3400000000000003E-2</v>
      </c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16</v>
      </c>
      <c r="C14" t="s">
        <v>17</v>
      </c>
      <c r="D14" t="s">
        <v>10</v>
      </c>
      <c r="E14" s="28">
        <v>462536</v>
      </c>
      <c r="F14" s="13">
        <v>1433.399064</v>
      </c>
      <c r="G14" s="14">
        <f t="shared" si="0"/>
        <v>1.6500000000000001E-2</v>
      </c>
      <c r="H14" s="15" t="s">
        <v>381</v>
      </c>
      <c r="I14" s="107"/>
      <c r="J14" s="14" t="s">
        <v>136</v>
      </c>
      <c r="K14" s="48">
        <f t="shared" si="1"/>
        <v>4.4299999999999999E-2</v>
      </c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623</v>
      </c>
      <c r="C15" t="s">
        <v>624</v>
      </c>
      <c r="D15" t="s">
        <v>26</v>
      </c>
      <c r="E15" s="28">
        <v>20988</v>
      </c>
      <c r="F15" s="13">
        <v>1372.19544</v>
      </c>
      <c r="G15" s="14">
        <f t="shared" si="0"/>
        <v>1.5800000000000002E-2</v>
      </c>
      <c r="H15" s="15" t="s">
        <v>381</v>
      </c>
      <c r="I15" s="107"/>
      <c r="J15" s="14" t="s">
        <v>41</v>
      </c>
      <c r="K15" s="48">
        <f t="shared" si="1"/>
        <v>4.2599999999999999E-2</v>
      </c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621</v>
      </c>
      <c r="C16" t="s">
        <v>622</v>
      </c>
      <c r="D16" t="s">
        <v>36</v>
      </c>
      <c r="E16" s="28">
        <v>1450000</v>
      </c>
      <c r="F16" s="13">
        <v>1355.75</v>
      </c>
      <c r="G16" s="14">
        <f t="shared" si="0"/>
        <v>1.5599999999999999E-2</v>
      </c>
      <c r="H16" s="15" t="s">
        <v>381</v>
      </c>
      <c r="I16" s="107"/>
      <c r="J16" s="14" t="s">
        <v>36</v>
      </c>
      <c r="K16" s="48">
        <f t="shared" si="1"/>
        <v>3.9300000000000002E-2</v>
      </c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219</v>
      </c>
      <c r="C17" t="s">
        <v>19</v>
      </c>
      <c r="D17" t="s">
        <v>14</v>
      </c>
      <c r="E17" s="28">
        <v>49759</v>
      </c>
      <c r="F17" s="13">
        <v>1344.0901080000001</v>
      </c>
      <c r="G17" s="14">
        <f t="shared" si="0"/>
        <v>1.54E-2</v>
      </c>
      <c r="H17" s="15" t="s">
        <v>381</v>
      </c>
      <c r="I17" s="107"/>
      <c r="J17" s="14" t="s">
        <v>20</v>
      </c>
      <c r="K17" s="48">
        <f t="shared" si="1"/>
        <v>3.2400000000000005E-2</v>
      </c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234</v>
      </c>
      <c r="C18" t="s">
        <v>79</v>
      </c>
      <c r="D18" t="s">
        <v>26</v>
      </c>
      <c r="E18" s="28">
        <v>36025</v>
      </c>
      <c r="F18" s="13">
        <v>1321.7032125000001</v>
      </c>
      <c r="G18" s="14">
        <f t="shared" si="0"/>
        <v>1.52E-2</v>
      </c>
      <c r="H18" s="15" t="s">
        <v>381</v>
      </c>
      <c r="I18" s="107"/>
      <c r="J18" s="14" t="s">
        <v>18</v>
      </c>
      <c r="K18" s="48">
        <f t="shared" si="1"/>
        <v>2.9000000000000001E-2</v>
      </c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575</v>
      </c>
      <c r="C19" t="s">
        <v>576</v>
      </c>
      <c r="D19" t="s">
        <v>136</v>
      </c>
      <c r="E19" s="28">
        <v>356291</v>
      </c>
      <c r="F19" s="13">
        <v>1319.5237184999999</v>
      </c>
      <c r="G19" s="14">
        <f t="shared" si="0"/>
        <v>1.5100000000000001E-2</v>
      </c>
      <c r="H19" s="15" t="s">
        <v>381</v>
      </c>
      <c r="I19" s="107"/>
      <c r="J19" s="14" t="s">
        <v>24</v>
      </c>
      <c r="K19" s="48">
        <f t="shared" si="1"/>
        <v>2.8500000000000004E-2</v>
      </c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209</v>
      </c>
      <c r="C20" t="s">
        <v>52</v>
      </c>
      <c r="D20" t="s">
        <v>41</v>
      </c>
      <c r="E20" s="28">
        <v>993614</v>
      </c>
      <c r="F20" s="13">
        <v>1249.469605</v>
      </c>
      <c r="G20" s="14">
        <f t="shared" si="0"/>
        <v>1.43E-2</v>
      </c>
      <c r="H20" s="15" t="s">
        <v>381</v>
      </c>
      <c r="I20" s="107"/>
      <c r="J20" s="14" t="s">
        <v>45</v>
      </c>
      <c r="K20" s="48">
        <f t="shared" si="1"/>
        <v>2.6799999999999997E-2</v>
      </c>
      <c r="M20" s="14"/>
      <c r="N20" s="36"/>
      <c r="P20" s="14"/>
    </row>
    <row r="21" spans="1:16" ht="12.75" customHeight="1" x14ac:dyDescent="0.2">
      <c r="A21">
        <f>+MAX($A$7:A20)+1</f>
        <v>13</v>
      </c>
      <c r="B21" s="65" t="s">
        <v>253</v>
      </c>
      <c r="C21" t="s">
        <v>116</v>
      </c>
      <c r="D21" t="s">
        <v>36</v>
      </c>
      <c r="E21" s="28">
        <v>658080</v>
      </c>
      <c r="F21" s="13">
        <v>1164.8016</v>
      </c>
      <c r="G21" s="14">
        <f t="shared" si="0"/>
        <v>1.34E-2</v>
      </c>
      <c r="H21" s="15" t="s">
        <v>381</v>
      </c>
      <c r="I21" s="107"/>
      <c r="J21" s="14" t="s">
        <v>22</v>
      </c>
      <c r="K21" s="48">
        <f t="shared" si="1"/>
        <v>2.3E-2</v>
      </c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258</v>
      </c>
      <c r="C22" t="s">
        <v>120</v>
      </c>
      <c r="D22" t="s">
        <v>47</v>
      </c>
      <c r="E22" s="28">
        <v>230000</v>
      </c>
      <c r="F22" s="13">
        <v>1149.1949999999999</v>
      </c>
      <c r="G22" s="14">
        <f t="shared" si="0"/>
        <v>1.32E-2</v>
      </c>
      <c r="H22" s="15" t="s">
        <v>381</v>
      </c>
      <c r="I22" s="107"/>
      <c r="J22" s="14" t="s">
        <v>28</v>
      </c>
      <c r="K22" s="48">
        <f t="shared" si="1"/>
        <v>2.01E-2</v>
      </c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231</v>
      </c>
      <c r="C23" t="s">
        <v>80</v>
      </c>
      <c r="D23" t="s">
        <v>51</v>
      </c>
      <c r="E23" s="28">
        <v>436568</v>
      </c>
      <c r="F23" s="13">
        <v>1147.9555559999999</v>
      </c>
      <c r="G23" s="14">
        <f t="shared" si="0"/>
        <v>1.32E-2</v>
      </c>
      <c r="H23" s="15" t="s">
        <v>381</v>
      </c>
      <c r="I23" s="107"/>
      <c r="J23" s="14" t="s">
        <v>176</v>
      </c>
      <c r="K23" s="48">
        <f t="shared" si="1"/>
        <v>1.9300000000000001E-2</v>
      </c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404</v>
      </c>
      <c r="C24" t="s">
        <v>403</v>
      </c>
      <c r="D24" t="s">
        <v>26</v>
      </c>
      <c r="E24" s="28">
        <v>324109</v>
      </c>
      <c r="F24" s="13">
        <v>1133.409173</v>
      </c>
      <c r="G24" s="14">
        <f t="shared" si="0"/>
        <v>1.2999999999999999E-2</v>
      </c>
      <c r="H24" s="15" t="s">
        <v>381</v>
      </c>
      <c r="I24" s="107"/>
      <c r="J24" s="14" t="s">
        <v>107</v>
      </c>
      <c r="K24" s="48">
        <f t="shared" si="1"/>
        <v>1.7600000000000001E-2</v>
      </c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251</v>
      </c>
      <c r="C25" t="s">
        <v>113</v>
      </c>
      <c r="D25" t="s">
        <v>20</v>
      </c>
      <c r="E25" s="28">
        <v>29440</v>
      </c>
      <c r="F25" s="13">
        <v>1114.34816</v>
      </c>
      <c r="G25" s="14">
        <f t="shared" si="0"/>
        <v>1.2800000000000001E-2</v>
      </c>
      <c r="H25" s="15" t="s">
        <v>381</v>
      </c>
      <c r="I25" s="107"/>
      <c r="J25" s="14" t="s">
        <v>325</v>
      </c>
      <c r="K25" s="48">
        <f t="shared" si="1"/>
        <v>1.72E-2</v>
      </c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604</v>
      </c>
      <c r="C26" t="s">
        <v>605</v>
      </c>
      <c r="D26" t="s">
        <v>136</v>
      </c>
      <c r="E26" s="28">
        <v>208302</v>
      </c>
      <c r="F26" s="13">
        <v>1029.01188</v>
      </c>
      <c r="G26" s="14">
        <f t="shared" si="0"/>
        <v>1.18E-2</v>
      </c>
      <c r="H26" s="15" t="s">
        <v>381</v>
      </c>
      <c r="I26" s="107"/>
      <c r="J26" s="14" t="s">
        <v>47</v>
      </c>
      <c r="K26" s="48">
        <f t="shared" si="1"/>
        <v>1.32E-2</v>
      </c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242</v>
      </c>
      <c r="C27" t="s">
        <v>102</v>
      </c>
      <c r="D27" t="s">
        <v>26</v>
      </c>
      <c r="E27" s="28">
        <v>74235</v>
      </c>
      <c r="F27" s="13">
        <v>1015.4234475</v>
      </c>
      <c r="G27" s="14">
        <f t="shared" si="0"/>
        <v>1.17E-2</v>
      </c>
      <c r="H27" s="15" t="s">
        <v>381</v>
      </c>
      <c r="I27" s="107"/>
      <c r="J27" s="14" t="s">
        <v>51</v>
      </c>
      <c r="K27" s="48">
        <f t="shared" si="1"/>
        <v>1.32E-2</v>
      </c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233</v>
      </c>
      <c r="C28" t="s">
        <v>82</v>
      </c>
      <c r="D28" t="s">
        <v>45</v>
      </c>
      <c r="E28" s="28">
        <v>322378</v>
      </c>
      <c r="F28" s="13">
        <v>995.66445299999998</v>
      </c>
      <c r="G28" s="14">
        <f t="shared" si="0"/>
        <v>1.14E-2</v>
      </c>
      <c r="H28" s="15" t="s">
        <v>381</v>
      </c>
      <c r="I28" s="107"/>
      <c r="J28" s="14" t="s">
        <v>488</v>
      </c>
      <c r="K28" s="48">
        <f t="shared" si="1"/>
        <v>1.15E-2</v>
      </c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199</v>
      </c>
      <c r="C29" t="s">
        <v>25</v>
      </c>
      <c r="D29" t="s">
        <v>14</v>
      </c>
      <c r="E29" s="28">
        <v>109437</v>
      </c>
      <c r="F29" s="13">
        <v>974.53648499999997</v>
      </c>
      <c r="G29" s="14">
        <f t="shared" si="0"/>
        <v>1.12E-2</v>
      </c>
      <c r="H29" s="15" t="s">
        <v>381</v>
      </c>
      <c r="I29" s="107"/>
      <c r="J29" s="14" t="s">
        <v>369</v>
      </c>
      <c r="K29" s="48">
        <f t="shared" si="1"/>
        <v>1.0799999999999999E-2</v>
      </c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198</v>
      </c>
      <c r="C30" t="s">
        <v>21</v>
      </c>
      <c r="D30" t="s">
        <v>20</v>
      </c>
      <c r="E30" s="28">
        <v>217228</v>
      </c>
      <c r="F30" s="13">
        <v>938.09911799999998</v>
      </c>
      <c r="G30" s="14">
        <f t="shared" si="0"/>
        <v>1.0800000000000001E-2</v>
      </c>
      <c r="H30" s="15" t="s">
        <v>381</v>
      </c>
      <c r="I30" s="107"/>
      <c r="J30" t="s">
        <v>34</v>
      </c>
      <c r="K30" s="48">
        <f t="shared" si="1"/>
        <v>1.06E-2</v>
      </c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217</v>
      </c>
      <c r="C31" t="s">
        <v>65</v>
      </c>
      <c r="D31" t="s">
        <v>34</v>
      </c>
      <c r="E31" s="28">
        <v>174829</v>
      </c>
      <c r="F31" s="13">
        <v>925.98179849999997</v>
      </c>
      <c r="G31" s="14">
        <f t="shared" si="0"/>
        <v>1.06E-2</v>
      </c>
      <c r="H31" s="15" t="s">
        <v>381</v>
      </c>
      <c r="I31" s="107"/>
      <c r="J31" t="s">
        <v>146</v>
      </c>
      <c r="K31" s="48">
        <f t="shared" si="1"/>
        <v>9.4999999999999998E-3</v>
      </c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467</v>
      </c>
      <c r="C32" t="s">
        <v>468</v>
      </c>
      <c r="D32" t="s">
        <v>24</v>
      </c>
      <c r="E32" s="28">
        <v>572097</v>
      </c>
      <c r="F32" s="13">
        <v>918.50173349999989</v>
      </c>
      <c r="G32" s="14">
        <f t="shared" si="0"/>
        <v>1.0500000000000001E-2</v>
      </c>
      <c r="H32" s="15" t="s">
        <v>381</v>
      </c>
      <c r="I32" s="107"/>
      <c r="J32" t="s">
        <v>422</v>
      </c>
      <c r="K32" s="48">
        <f t="shared" si="1"/>
        <v>8.9999999999999993E-3</v>
      </c>
      <c r="L32" s="54">
        <f>+SUM($K$9:K37)</f>
        <v>0.90749999999999997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40</v>
      </c>
      <c r="C33" t="s">
        <v>42</v>
      </c>
      <c r="D33" t="s">
        <v>10</v>
      </c>
      <c r="E33" s="28">
        <v>561699</v>
      </c>
      <c r="F33" s="13">
        <v>902.36944349999999</v>
      </c>
      <c r="G33" s="14">
        <f t="shared" si="0"/>
        <v>1.04E-2</v>
      </c>
      <c r="H33" s="15" t="s">
        <v>381</v>
      </c>
      <c r="I33" s="107"/>
      <c r="J33" s="14" t="s">
        <v>515</v>
      </c>
      <c r="K33" s="48">
        <f t="shared" si="1"/>
        <v>8.3000000000000001E-3</v>
      </c>
      <c r="M33" s="14"/>
      <c r="N33" s="36"/>
      <c r="P33" s="14"/>
    </row>
    <row r="34" spans="1:16" ht="12.75" customHeight="1" x14ac:dyDescent="0.2">
      <c r="A34">
        <f>+MAX($A$7:A33)+1</f>
        <v>26</v>
      </c>
      <c r="B34" t="s">
        <v>250</v>
      </c>
      <c r="C34" t="s">
        <v>115</v>
      </c>
      <c r="D34" t="s">
        <v>36</v>
      </c>
      <c r="E34" s="28">
        <v>450000</v>
      </c>
      <c r="F34" s="13">
        <v>901.57500000000005</v>
      </c>
      <c r="G34" s="14">
        <f t="shared" si="0"/>
        <v>1.03E-2</v>
      </c>
      <c r="H34" s="15" t="s">
        <v>381</v>
      </c>
      <c r="I34" s="107"/>
      <c r="J34" s="14" t="s">
        <v>795</v>
      </c>
      <c r="K34" s="48">
        <f t="shared" si="1"/>
        <v>8.0000000000000002E-3</v>
      </c>
      <c r="M34" s="14"/>
      <c r="N34" s="36"/>
      <c r="P34" s="14"/>
    </row>
    <row r="35" spans="1:16" ht="12.75" customHeight="1" x14ac:dyDescent="0.2">
      <c r="A35">
        <f>+MAX($A$7:A34)+1</f>
        <v>27</v>
      </c>
      <c r="B35" t="s">
        <v>227</v>
      </c>
      <c r="C35" t="s">
        <v>66</v>
      </c>
      <c r="D35" t="s">
        <v>28</v>
      </c>
      <c r="E35" s="28">
        <v>233862</v>
      </c>
      <c r="F35" s="13">
        <v>896.62690799999996</v>
      </c>
      <c r="G35" s="14">
        <f t="shared" si="0"/>
        <v>1.03E-2</v>
      </c>
      <c r="H35" s="15" t="s">
        <v>381</v>
      </c>
      <c r="I35" s="107"/>
      <c r="J35" s="14" t="s">
        <v>32</v>
      </c>
      <c r="K35" s="48">
        <f t="shared" si="1"/>
        <v>7.6E-3</v>
      </c>
      <c r="M35" s="14"/>
      <c r="N35" s="36"/>
      <c r="P35" s="14"/>
    </row>
    <row r="36" spans="1:16" ht="12.75" customHeight="1" x14ac:dyDescent="0.2">
      <c r="A36">
        <f>+MAX($A$7:A35)+1</f>
        <v>28</v>
      </c>
      <c r="B36" t="s">
        <v>577</v>
      </c>
      <c r="C36" t="s">
        <v>578</v>
      </c>
      <c r="D36" t="s">
        <v>45</v>
      </c>
      <c r="E36" s="28">
        <v>1021430</v>
      </c>
      <c r="F36" s="13">
        <v>878.4298</v>
      </c>
      <c r="G36" s="14">
        <f t="shared" si="0"/>
        <v>1.01E-2</v>
      </c>
      <c r="H36" s="15" t="s">
        <v>381</v>
      </c>
      <c r="I36" s="107"/>
      <c r="J36" s="14" t="s">
        <v>43</v>
      </c>
      <c r="K36" s="48">
        <f t="shared" si="1"/>
        <v>7.3000000000000001E-3</v>
      </c>
      <c r="M36" s="14"/>
      <c r="N36" s="36"/>
      <c r="P36" s="14"/>
    </row>
    <row r="37" spans="1:16" ht="12.75" customHeight="1" x14ac:dyDescent="0.2">
      <c r="A37">
        <f>+MAX($A$7:A36)+1</f>
        <v>29</v>
      </c>
      <c r="B37" t="s">
        <v>282</v>
      </c>
      <c r="C37" t="s">
        <v>149</v>
      </c>
      <c r="D37" t="s">
        <v>41</v>
      </c>
      <c r="E37" s="28">
        <v>100000</v>
      </c>
      <c r="F37" s="13">
        <v>860.3</v>
      </c>
      <c r="G37" s="14">
        <f t="shared" si="0"/>
        <v>9.9000000000000008E-3</v>
      </c>
      <c r="H37" s="15" t="s">
        <v>381</v>
      </c>
      <c r="I37" s="107"/>
      <c r="J37" t="s">
        <v>30</v>
      </c>
      <c r="K37" s="48">
        <f t="shared" si="1"/>
        <v>7.1999999999999998E-3</v>
      </c>
      <c r="M37" s="14"/>
      <c r="N37" s="36"/>
      <c r="P37" s="14"/>
    </row>
    <row r="38" spans="1:16" ht="12.75" customHeight="1" x14ac:dyDescent="0.2">
      <c r="A38">
        <f>+MAX($A$7:A37)+1</f>
        <v>30</v>
      </c>
      <c r="B38" t="s">
        <v>218</v>
      </c>
      <c r="C38" t="s">
        <v>61</v>
      </c>
      <c r="D38" t="s">
        <v>22</v>
      </c>
      <c r="E38" s="28">
        <v>124760</v>
      </c>
      <c r="F38" s="13">
        <v>858.28642000000002</v>
      </c>
      <c r="G38" s="14">
        <f t="shared" si="0"/>
        <v>9.9000000000000008E-3</v>
      </c>
      <c r="H38" s="15" t="s">
        <v>381</v>
      </c>
      <c r="I38" s="107"/>
      <c r="J38" s="14" t="s">
        <v>595</v>
      </c>
      <c r="K38" s="48">
        <f t="shared" si="1"/>
        <v>6.7999999999999996E-3</v>
      </c>
    </row>
    <row r="39" spans="1:16" ht="12.75" customHeight="1" x14ac:dyDescent="0.2">
      <c r="A39">
        <f>+MAX($A$7:A38)+1</f>
        <v>31</v>
      </c>
      <c r="B39" t="s">
        <v>228</v>
      </c>
      <c r="C39" t="s">
        <v>71</v>
      </c>
      <c r="D39" t="s">
        <v>28</v>
      </c>
      <c r="E39" s="28">
        <v>67626</v>
      </c>
      <c r="F39" s="13">
        <v>850.90414499999997</v>
      </c>
      <c r="G39" s="14">
        <f t="shared" si="0"/>
        <v>9.7999999999999997E-3</v>
      </c>
      <c r="H39" s="15" t="s">
        <v>381</v>
      </c>
      <c r="I39" s="107"/>
      <c r="J39" s="14" t="s">
        <v>38</v>
      </c>
      <c r="K39" s="48">
        <f t="shared" si="1"/>
        <v>6.1999999999999998E-3</v>
      </c>
    </row>
    <row r="40" spans="1:16" ht="12.75" customHeight="1" x14ac:dyDescent="0.2">
      <c r="A40">
        <f>+MAX($A$7:A39)+1</f>
        <v>32</v>
      </c>
      <c r="B40" t="s">
        <v>205</v>
      </c>
      <c r="C40" t="s">
        <v>44</v>
      </c>
      <c r="D40" t="s">
        <v>24</v>
      </c>
      <c r="E40" s="28">
        <v>145008</v>
      </c>
      <c r="F40" s="13">
        <v>844.96161599999994</v>
      </c>
      <c r="G40" s="14">
        <f t="shared" si="0"/>
        <v>9.7000000000000003E-3</v>
      </c>
      <c r="H40" s="15" t="s">
        <v>381</v>
      </c>
      <c r="I40" s="107"/>
      <c r="J40" t="s">
        <v>375</v>
      </c>
      <c r="K40" s="48">
        <f t="shared" si="1"/>
        <v>5.8999999999999999E-3</v>
      </c>
    </row>
    <row r="41" spans="1:16" ht="12.75" customHeight="1" x14ac:dyDescent="0.2">
      <c r="A41">
        <f>+MAX($A$7:A40)+1</f>
        <v>33</v>
      </c>
      <c r="B41" t="s">
        <v>322</v>
      </c>
      <c r="C41" t="s">
        <v>323</v>
      </c>
      <c r="D41" t="s">
        <v>146</v>
      </c>
      <c r="E41" s="28">
        <v>167043</v>
      </c>
      <c r="F41" s="13">
        <v>831.37301099999991</v>
      </c>
      <c r="G41" s="14">
        <f t="shared" ref="G41:G72" si="2">+ROUND(F41/VLOOKUP("Grand Total",$B$4:$F$333,5,0),4)</f>
        <v>9.4999999999999998E-3</v>
      </c>
      <c r="H41" s="15" t="s">
        <v>381</v>
      </c>
      <c r="I41" s="107"/>
      <c r="J41" s="90" t="s">
        <v>295</v>
      </c>
      <c r="K41" s="48">
        <f t="shared" si="1"/>
        <v>5.7000000000000002E-3</v>
      </c>
    </row>
    <row r="42" spans="1:16" ht="12.75" customHeight="1" x14ac:dyDescent="0.2">
      <c r="A42">
        <f>+MAX($A$7:A41)+1</f>
        <v>34</v>
      </c>
      <c r="B42" t="s">
        <v>679</v>
      </c>
      <c r="C42" t="s">
        <v>707</v>
      </c>
      <c r="D42" t="s">
        <v>10</v>
      </c>
      <c r="E42" s="28">
        <v>476190</v>
      </c>
      <c r="F42" s="13">
        <v>816.18966</v>
      </c>
      <c r="G42" s="14">
        <f t="shared" si="2"/>
        <v>9.4000000000000004E-3</v>
      </c>
      <c r="H42" s="15" t="s">
        <v>381</v>
      </c>
      <c r="I42" s="107"/>
      <c r="J42" t="s">
        <v>510</v>
      </c>
      <c r="K42" s="48">
        <f t="shared" si="1"/>
        <v>5.7000000000000002E-3</v>
      </c>
    </row>
    <row r="43" spans="1:16" ht="12.75" customHeight="1" x14ac:dyDescent="0.2">
      <c r="A43">
        <f>+MAX($A$7:A42)+1</f>
        <v>35</v>
      </c>
      <c r="B43" s="65" t="s">
        <v>497</v>
      </c>
      <c r="C43" s="65" t="s">
        <v>498</v>
      </c>
      <c r="D43" t="s">
        <v>41</v>
      </c>
      <c r="E43" s="28">
        <v>165000</v>
      </c>
      <c r="F43" s="13">
        <v>803.13750000000005</v>
      </c>
      <c r="G43" s="14">
        <f t="shared" si="2"/>
        <v>9.1999999999999998E-3</v>
      </c>
      <c r="H43" s="15" t="s">
        <v>381</v>
      </c>
      <c r="I43" s="107"/>
      <c r="J43" t="s">
        <v>163</v>
      </c>
      <c r="K43" s="48">
        <f t="shared" si="1"/>
        <v>5.7000000000000002E-3</v>
      </c>
    </row>
    <row r="44" spans="1:16" ht="12.75" customHeight="1" x14ac:dyDescent="0.2">
      <c r="A44">
        <f>+MAX($A$7:A43)+1</f>
        <v>36</v>
      </c>
      <c r="B44" t="s">
        <v>207</v>
      </c>
      <c r="C44" t="s">
        <v>53</v>
      </c>
      <c r="D44" t="s">
        <v>18</v>
      </c>
      <c r="E44" s="28">
        <v>18538</v>
      </c>
      <c r="F44" s="13">
        <v>800.95282799999995</v>
      </c>
      <c r="G44" s="14">
        <f t="shared" si="2"/>
        <v>9.1999999999999998E-3</v>
      </c>
      <c r="H44" s="15" t="s">
        <v>381</v>
      </c>
      <c r="I44" s="107"/>
      <c r="J44" s="14" t="s">
        <v>610</v>
      </c>
      <c r="K44" s="48">
        <f t="shared" si="1"/>
        <v>5.4000000000000003E-3</v>
      </c>
    </row>
    <row r="45" spans="1:16" ht="12.75" customHeight="1" x14ac:dyDescent="0.2">
      <c r="A45">
        <f>+MAX($A$7:A44)+1</f>
        <v>37</v>
      </c>
      <c r="B45" t="s">
        <v>667</v>
      </c>
      <c r="C45" t="s">
        <v>668</v>
      </c>
      <c r="D45" t="s">
        <v>107</v>
      </c>
      <c r="E45" s="28">
        <v>700000</v>
      </c>
      <c r="F45" s="13">
        <v>789.95</v>
      </c>
      <c r="G45" s="14">
        <f t="shared" si="2"/>
        <v>9.1000000000000004E-3</v>
      </c>
      <c r="H45" s="15" t="s">
        <v>381</v>
      </c>
      <c r="I45" s="107"/>
      <c r="J45" s="14" t="s">
        <v>796</v>
      </c>
      <c r="K45" s="48">
        <f t="shared" si="1"/>
        <v>3.3999999999999998E-3</v>
      </c>
    </row>
    <row r="46" spans="1:16" ht="12.75" customHeight="1" x14ac:dyDescent="0.2">
      <c r="A46">
        <f>+MAX($A$7:A45)+1</f>
        <v>38</v>
      </c>
      <c r="B46" t="s">
        <v>420</v>
      </c>
      <c r="C46" t="s">
        <v>421</v>
      </c>
      <c r="D46" t="s">
        <v>422</v>
      </c>
      <c r="E46" s="28">
        <v>516943</v>
      </c>
      <c r="F46" s="13">
        <v>788.07960349999996</v>
      </c>
      <c r="G46" s="14">
        <f t="shared" si="2"/>
        <v>8.9999999999999993E-3</v>
      </c>
      <c r="H46" s="15" t="s">
        <v>381</v>
      </c>
      <c r="I46" s="107"/>
      <c r="J46" t="s">
        <v>501</v>
      </c>
      <c r="K46" s="48">
        <f t="shared" si="1"/>
        <v>2.8E-3</v>
      </c>
    </row>
    <row r="47" spans="1:16" ht="12.75" customHeight="1" x14ac:dyDescent="0.2">
      <c r="A47">
        <f>+MAX($A$7:A46)+1</f>
        <v>39</v>
      </c>
      <c r="B47" t="s">
        <v>212</v>
      </c>
      <c r="C47" t="s">
        <v>49</v>
      </c>
      <c r="D47" t="s">
        <v>20</v>
      </c>
      <c r="E47" s="28">
        <v>7924</v>
      </c>
      <c r="F47" s="13">
        <v>770.96954200000005</v>
      </c>
      <c r="G47" s="14">
        <f t="shared" si="2"/>
        <v>8.8000000000000005E-3</v>
      </c>
      <c r="H47" s="15" t="s">
        <v>381</v>
      </c>
      <c r="I47" s="107"/>
      <c r="J47" s="14" t="s">
        <v>298</v>
      </c>
      <c r="K47" s="48">
        <f t="shared" si="1"/>
        <v>1.1999999999999999E-3</v>
      </c>
    </row>
    <row r="48" spans="1:16" ht="12.75" customHeight="1" x14ac:dyDescent="0.2">
      <c r="A48">
        <f>+MAX($A$7:A47)+1</f>
        <v>40</v>
      </c>
      <c r="B48" t="s">
        <v>574</v>
      </c>
      <c r="C48" t="s">
        <v>490</v>
      </c>
      <c r="D48" t="s">
        <v>22</v>
      </c>
      <c r="E48" s="28">
        <v>236994</v>
      </c>
      <c r="F48" s="13">
        <v>770.34899700000005</v>
      </c>
      <c r="G48" s="14">
        <f t="shared" si="2"/>
        <v>8.8000000000000005E-3</v>
      </c>
      <c r="H48" s="15" t="s">
        <v>381</v>
      </c>
      <c r="I48" s="107"/>
      <c r="J48" t="s">
        <v>447</v>
      </c>
      <c r="K48" s="48">
        <f t="shared" si="1"/>
        <v>5.9999999999999995E-4</v>
      </c>
    </row>
    <row r="49" spans="1:11" ht="12.75" customHeight="1" x14ac:dyDescent="0.2">
      <c r="A49">
        <f>+MAX($A$7:A48)+1</f>
        <v>41</v>
      </c>
      <c r="B49" t="s">
        <v>625</v>
      </c>
      <c r="C49" t="s">
        <v>626</v>
      </c>
      <c r="D49" t="s">
        <v>107</v>
      </c>
      <c r="E49" s="28">
        <v>800000</v>
      </c>
      <c r="F49" s="13">
        <v>737.2</v>
      </c>
      <c r="G49" s="14">
        <f t="shared" si="2"/>
        <v>8.5000000000000006E-3</v>
      </c>
      <c r="H49" s="15" t="s">
        <v>381</v>
      </c>
      <c r="I49" s="107"/>
      <c r="J49" t="s">
        <v>103</v>
      </c>
      <c r="K49" s="48">
        <f t="shared" si="1"/>
        <v>0</v>
      </c>
    </row>
    <row r="50" spans="1:11" ht="12.75" customHeight="1" x14ac:dyDescent="0.2">
      <c r="A50">
        <f>+MAX($A$7:A49)+1</f>
        <v>42</v>
      </c>
      <c r="B50" t="s">
        <v>214</v>
      </c>
      <c r="C50" t="s">
        <v>75</v>
      </c>
      <c r="D50" t="s">
        <v>515</v>
      </c>
      <c r="E50" s="28">
        <v>615888</v>
      </c>
      <c r="F50" s="13">
        <v>725.51606400000003</v>
      </c>
      <c r="G50" s="14">
        <f t="shared" si="2"/>
        <v>8.3000000000000001E-3</v>
      </c>
      <c r="H50" s="15" t="s">
        <v>381</v>
      </c>
      <c r="I50" s="107"/>
      <c r="J50" s="14" t="s">
        <v>64</v>
      </c>
      <c r="K50" s="48">
        <f t="shared" ref="K50" si="3">+SUMIFS($G$5:$G$1000,$B$5:$B$1000,"CBLO / Reverse Repo Investments")+SUMIFS($G$5:$G$1000,$B$5:$B$1000,"Net Receivable/Payable")</f>
        <v>4.3099999999999999E-2</v>
      </c>
    </row>
    <row r="51" spans="1:11" ht="12.75" customHeight="1" x14ac:dyDescent="0.2">
      <c r="A51">
        <f>+MAX($A$7:A50)+1</f>
        <v>43</v>
      </c>
      <c r="B51" t="s">
        <v>548</v>
      </c>
      <c r="C51" t="s">
        <v>549</v>
      </c>
      <c r="D51" t="s">
        <v>41</v>
      </c>
      <c r="E51" s="28">
        <v>30000</v>
      </c>
      <c r="F51" s="13">
        <v>700.90499999999997</v>
      </c>
      <c r="G51" s="14">
        <f t="shared" si="2"/>
        <v>8.0000000000000002E-3</v>
      </c>
      <c r="H51" s="15" t="s">
        <v>381</v>
      </c>
      <c r="I51" s="107"/>
    </row>
    <row r="52" spans="1:11" ht="12.75" customHeight="1" x14ac:dyDescent="0.2">
      <c r="A52">
        <f>+MAX($A$7:A51)+1</f>
        <v>44</v>
      </c>
      <c r="B52" t="s">
        <v>540</v>
      </c>
      <c r="C52" t="s">
        <v>541</v>
      </c>
      <c r="D52" t="s">
        <v>32</v>
      </c>
      <c r="E52" s="28">
        <v>305000</v>
      </c>
      <c r="F52" s="13">
        <v>664.74749999999995</v>
      </c>
      <c r="G52" s="14">
        <f t="shared" si="2"/>
        <v>7.6E-3</v>
      </c>
      <c r="H52" s="15" t="s">
        <v>381</v>
      </c>
      <c r="I52" s="107"/>
    </row>
    <row r="53" spans="1:11" ht="12.75" customHeight="1" x14ac:dyDescent="0.2">
      <c r="A53">
        <f>+MAX($A$7:A52)+1</f>
        <v>45</v>
      </c>
      <c r="B53" t="s">
        <v>609</v>
      </c>
      <c r="C53" t="s">
        <v>619</v>
      </c>
      <c r="D53" t="s">
        <v>10</v>
      </c>
      <c r="E53" s="28">
        <v>450000</v>
      </c>
      <c r="F53" s="13">
        <v>649.35</v>
      </c>
      <c r="G53" s="14">
        <f t="shared" si="2"/>
        <v>7.4999999999999997E-3</v>
      </c>
      <c r="H53" s="15" t="s">
        <v>381</v>
      </c>
      <c r="I53" s="107"/>
    </row>
    <row r="54" spans="1:11" ht="12.75" customHeight="1" x14ac:dyDescent="0.2">
      <c r="A54">
        <f>+MAX($A$7:A53)+1</f>
        <v>46</v>
      </c>
      <c r="B54" t="s">
        <v>516</v>
      </c>
      <c r="C54" t="s">
        <v>517</v>
      </c>
      <c r="D54" t="s">
        <v>43</v>
      </c>
      <c r="E54" s="28">
        <v>59992</v>
      </c>
      <c r="F54" s="13">
        <v>634.38540399999999</v>
      </c>
      <c r="G54" s="14">
        <f t="shared" si="2"/>
        <v>7.3000000000000001E-3</v>
      </c>
      <c r="H54" s="15" t="s">
        <v>381</v>
      </c>
      <c r="I54" s="107"/>
    </row>
    <row r="55" spans="1:11" ht="12.75" customHeight="1" x14ac:dyDescent="0.2">
      <c r="A55">
        <f>+MAX($A$7:A54)+1</f>
        <v>47</v>
      </c>
      <c r="B55" t="s">
        <v>314</v>
      </c>
      <c r="C55" t="s">
        <v>57</v>
      </c>
      <c r="D55" t="s">
        <v>26</v>
      </c>
      <c r="E55" s="28">
        <v>37027</v>
      </c>
      <c r="F55" s="13">
        <v>630.40318850000006</v>
      </c>
      <c r="G55" s="14">
        <f t="shared" si="2"/>
        <v>7.1999999999999998E-3</v>
      </c>
      <c r="H55" s="15" t="s">
        <v>381</v>
      </c>
      <c r="I55" s="107"/>
    </row>
    <row r="56" spans="1:11" ht="12.75" customHeight="1" x14ac:dyDescent="0.2">
      <c r="A56">
        <f>+MAX($A$7:A55)+1</f>
        <v>48</v>
      </c>
      <c r="B56" t="s">
        <v>215</v>
      </c>
      <c r="C56" t="s">
        <v>99</v>
      </c>
      <c r="D56" t="s">
        <v>10</v>
      </c>
      <c r="E56" s="28">
        <v>57716</v>
      </c>
      <c r="F56" s="13">
        <v>583.04703200000006</v>
      </c>
      <c r="G56" s="14">
        <f t="shared" si="2"/>
        <v>6.7000000000000002E-3</v>
      </c>
      <c r="H56" s="15" t="s">
        <v>381</v>
      </c>
      <c r="I56" s="107"/>
    </row>
    <row r="57" spans="1:11" ht="12.75" customHeight="1" x14ac:dyDescent="0.2">
      <c r="A57">
        <f>+MAX($A$7:A56)+1</f>
        <v>49</v>
      </c>
      <c r="B57" t="s">
        <v>441</v>
      </c>
      <c r="C57" t="s">
        <v>442</v>
      </c>
      <c r="D57" t="s">
        <v>26</v>
      </c>
      <c r="E57" s="28">
        <v>102900</v>
      </c>
      <c r="F57" s="13">
        <v>573.46169999999995</v>
      </c>
      <c r="G57" s="14">
        <f t="shared" si="2"/>
        <v>6.6E-3</v>
      </c>
      <c r="H57" s="15" t="s">
        <v>381</v>
      </c>
      <c r="I57" s="107"/>
    </row>
    <row r="58" spans="1:11" ht="12.75" customHeight="1" x14ac:dyDescent="0.2">
      <c r="A58">
        <f>+MAX($A$7:A57)+1</f>
        <v>50</v>
      </c>
      <c r="B58" t="s">
        <v>664</v>
      </c>
      <c r="C58" t="s">
        <v>416</v>
      </c>
      <c r="D58" t="s">
        <v>10</v>
      </c>
      <c r="E58" s="28">
        <v>457578</v>
      </c>
      <c r="F58" s="13">
        <v>572.88765599999999</v>
      </c>
      <c r="G58" s="14">
        <f t="shared" si="2"/>
        <v>6.6E-3</v>
      </c>
      <c r="H58" s="15" t="s">
        <v>381</v>
      </c>
      <c r="I58" s="107"/>
    </row>
    <row r="59" spans="1:11" ht="12.75" customHeight="1" x14ac:dyDescent="0.2">
      <c r="A59">
        <f>+MAX($A$7:A58)+1</f>
        <v>51</v>
      </c>
      <c r="B59" t="s">
        <v>315</v>
      </c>
      <c r="C59" t="s">
        <v>77</v>
      </c>
      <c r="D59" t="s">
        <v>38</v>
      </c>
      <c r="E59" s="28">
        <v>146336</v>
      </c>
      <c r="F59" s="13">
        <v>539.32132799999999</v>
      </c>
      <c r="G59" s="14">
        <f t="shared" si="2"/>
        <v>6.1999999999999998E-3</v>
      </c>
      <c r="H59" s="15" t="s">
        <v>381</v>
      </c>
      <c r="I59" s="107"/>
    </row>
    <row r="60" spans="1:11" ht="12.75" customHeight="1" x14ac:dyDescent="0.2">
      <c r="A60">
        <f>+MAX($A$7:A59)+1</f>
        <v>52</v>
      </c>
      <c r="B60" t="s">
        <v>203</v>
      </c>
      <c r="C60" t="s">
        <v>35</v>
      </c>
      <c r="D60" t="s">
        <v>18</v>
      </c>
      <c r="E60" s="28">
        <v>36110</v>
      </c>
      <c r="F60" s="13">
        <v>519.04513999999995</v>
      </c>
      <c r="G60" s="14">
        <f t="shared" si="2"/>
        <v>6.0000000000000001E-3</v>
      </c>
      <c r="H60" s="15" t="s">
        <v>381</v>
      </c>
      <c r="I60" s="107"/>
    </row>
    <row r="61" spans="1:11" ht="12.75" customHeight="1" x14ac:dyDescent="0.2">
      <c r="A61">
        <f>+MAX($A$7:A60)+1</f>
        <v>53</v>
      </c>
      <c r="B61" t="s">
        <v>196</v>
      </c>
      <c r="C61" t="s">
        <v>31</v>
      </c>
      <c r="D61" t="s">
        <v>30</v>
      </c>
      <c r="E61" s="28">
        <v>54300</v>
      </c>
      <c r="F61" s="13">
        <v>500.13015000000001</v>
      </c>
      <c r="G61" s="14">
        <f t="shared" si="2"/>
        <v>5.7000000000000002E-3</v>
      </c>
      <c r="H61" s="15" t="s">
        <v>381</v>
      </c>
      <c r="I61" s="107"/>
    </row>
    <row r="62" spans="1:11" ht="12.75" customHeight="1" x14ac:dyDescent="0.2">
      <c r="A62">
        <f>+MAX($A$7:A61)+1</f>
        <v>54</v>
      </c>
      <c r="B62" t="s">
        <v>252</v>
      </c>
      <c r="C62" t="s">
        <v>114</v>
      </c>
      <c r="D62" t="s">
        <v>14</v>
      </c>
      <c r="E62" s="28">
        <v>97852</v>
      </c>
      <c r="F62" s="13">
        <v>493.223006</v>
      </c>
      <c r="G62" s="14">
        <f t="shared" si="2"/>
        <v>5.7000000000000002E-3</v>
      </c>
      <c r="H62" s="15" t="s">
        <v>381</v>
      </c>
      <c r="I62" s="107"/>
    </row>
    <row r="63" spans="1:11" ht="12.75" customHeight="1" x14ac:dyDescent="0.2">
      <c r="A63">
        <f>+MAX($A$7:A62)+1</f>
        <v>55</v>
      </c>
      <c r="B63" t="s">
        <v>220</v>
      </c>
      <c r="C63" t="s">
        <v>29</v>
      </c>
      <c r="D63" t="s">
        <v>10</v>
      </c>
      <c r="E63" s="28">
        <v>85419</v>
      </c>
      <c r="F63" s="13">
        <v>481.72045049999997</v>
      </c>
      <c r="G63" s="14">
        <f t="shared" si="2"/>
        <v>5.4999999999999997E-3</v>
      </c>
      <c r="H63" s="15" t="s">
        <v>381</v>
      </c>
      <c r="I63" s="107"/>
    </row>
    <row r="64" spans="1:11" ht="12.75" customHeight="1" x14ac:dyDescent="0.2">
      <c r="A64">
        <f>+MAX($A$7:A63)+1</f>
        <v>56</v>
      </c>
      <c r="B64" t="s">
        <v>454</v>
      </c>
      <c r="C64" t="s">
        <v>455</v>
      </c>
      <c r="D64" t="s">
        <v>45</v>
      </c>
      <c r="E64" s="28">
        <v>140625</v>
      </c>
      <c r="F64" s="13">
        <v>463.921875</v>
      </c>
      <c r="G64" s="14">
        <f t="shared" si="2"/>
        <v>5.3E-3</v>
      </c>
      <c r="H64" s="15" t="s">
        <v>381</v>
      </c>
      <c r="I64" s="107"/>
    </row>
    <row r="65" spans="1:9" ht="12.75" customHeight="1" x14ac:dyDescent="0.2">
      <c r="A65">
        <f>+MAX($A$7:A64)+1</f>
        <v>57</v>
      </c>
      <c r="B65" t="s">
        <v>345</v>
      </c>
      <c r="C65" t="s">
        <v>346</v>
      </c>
      <c r="D65" t="s">
        <v>18</v>
      </c>
      <c r="E65" s="28">
        <v>39494</v>
      </c>
      <c r="F65" s="13">
        <v>455.14860299999998</v>
      </c>
      <c r="G65" s="14">
        <f t="shared" si="2"/>
        <v>5.1999999999999998E-3</v>
      </c>
      <c r="H65" s="15" t="s">
        <v>381</v>
      </c>
      <c r="I65" s="107"/>
    </row>
    <row r="66" spans="1:9" ht="12.75" customHeight="1" x14ac:dyDescent="0.2">
      <c r="A66">
        <f>+MAX($A$7:A65)+1</f>
        <v>58</v>
      </c>
      <c r="B66" t="s">
        <v>579</v>
      </c>
      <c r="C66" t="s">
        <v>580</v>
      </c>
      <c r="D66" t="s">
        <v>10</v>
      </c>
      <c r="E66" s="28">
        <v>645520</v>
      </c>
      <c r="F66" s="13">
        <v>441.21292</v>
      </c>
      <c r="G66" s="14">
        <f t="shared" si="2"/>
        <v>5.1000000000000004E-3</v>
      </c>
      <c r="H66" s="15" t="s">
        <v>381</v>
      </c>
      <c r="I66" s="107"/>
    </row>
    <row r="67" spans="1:9" ht="12.75" customHeight="1" x14ac:dyDescent="0.2">
      <c r="A67">
        <f>+MAX($A$7:A66)+1</f>
        <v>59</v>
      </c>
      <c r="B67" t="s">
        <v>226</v>
      </c>
      <c r="C67" t="s">
        <v>70</v>
      </c>
      <c r="D67" t="s">
        <v>10</v>
      </c>
      <c r="E67" s="28">
        <v>406552</v>
      </c>
      <c r="F67" s="13">
        <v>441.10892000000001</v>
      </c>
      <c r="G67" s="14">
        <f t="shared" si="2"/>
        <v>5.1000000000000004E-3</v>
      </c>
      <c r="H67" s="15" t="s">
        <v>381</v>
      </c>
      <c r="I67" s="107"/>
    </row>
    <row r="68" spans="1:9" ht="12.75" customHeight="1" x14ac:dyDescent="0.2">
      <c r="A68">
        <f>+MAX($A$7:A67)+1</f>
        <v>60</v>
      </c>
      <c r="B68" t="s">
        <v>206</v>
      </c>
      <c r="C68" t="s">
        <v>48</v>
      </c>
      <c r="D68" t="s">
        <v>26</v>
      </c>
      <c r="E68" s="28">
        <v>9276</v>
      </c>
      <c r="F68" s="13">
        <v>436.83003000000002</v>
      </c>
      <c r="G68" s="14">
        <f t="shared" si="2"/>
        <v>5.0000000000000001E-3</v>
      </c>
      <c r="H68" s="15" t="s">
        <v>381</v>
      </c>
      <c r="I68" s="107"/>
    </row>
    <row r="69" spans="1:9" ht="12.75" customHeight="1" x14ac:dyDescent="0.2">
      <c r="A69">
        <f>+MAX($A$7:A68)+1</f>
        <v>61</v>
      </c>
      <c r="B69" t="s">
        <v>518</v>
      </c>
      <c r="C69" t="s">
        <v>519</v>
      </c>
      <c r="D69" t="s">
        <v>24</v>
      </c>
      <c r="E69" s="28">
        <v>26499</v>
      </c>
      <c r="F69" s="13">
        <v>392.55618600000003</v>
      </c>
      <c r="G69" s="14">
        <f t="shared" si="2"/>
        <v>4.4999999999999997E-3</v>
      </c>
      <c r="H69" s="15" t="s">
        <v>381</v>
      </c>
      <c r="I69" s="107"/>
    </row>
    <row r="70" spans="1:9" ht="12.75" customHeight="1" x14ac:dyDescent="0.2">
      <c r="A70">
        <f>+MAX($A$7:A69)+1</f>
        <v>62</v>
      </c>
      <c r="B70" t="s">
        <v>262</v>
      </c>
      <c r="C70" t="s">
        <v>124</v>
      </c>
      <c r="D70" t="s">
        <v>18</v>
      </c>
      <c r="E70" s="28">
        <v>21646</v>
      </c>
      <c r="F70" s="13">
        <v>380.62326400000001</v>
      </c>
      <c r="G70" s="14">
        <f t="shared" si="2"/>
        <v>4.4000000000000003E-3</v>
      </c>
      <c r="H70" s="15" t="s">
        <v>381</v>
      </c>
      <c r="I70" s="107"/>
    </row>
    <row r="71" spans="1:9" ht="12.75" customHeight="1" x14ac:dyDescent="0.2">
      <c r="A71">
        <f>+MAX($A$7:A70)+1</f>
        <v>63</v>
      </c>
      <c r="B71" t="s">
        <v>444</v>
      </c>
      <c r="C71" t="s">
        <v>68</v>
      </c>
      <c r="D71" t="s">
        <v>22</v>
      </c>
      <c r="E71" s="28">
        <v>65514</v>
      </c>
      <c r="F71" s="13">
        <v>374.18321100000003</v>
      </c>
      <c r="G71" s="14">
        <f t="shared" si="2"/>
        <v>4.3E-3</v>
      </c>
      <c r="H71" s="15" t="s">
        <v>381</v>
      </c>
      <c r="I71" s="107"/>
    </row>
    <row r="72" spans="1:9" ht="12.75" customHeight="1" x14ac:dyDescent="0.2">
      <c r="A72">
        <f>+MAX($A$7:A71)+1</f>
        <v>64</v>
      </c>
      <c r="B72" t="s">
        <v>261</v>
      </c>
      <c r="C72" t="s">
        <v>122</v>
      </c>
      <c r="D72" t="s">
        <v>18</v>
      </c>
      <c r="E72" s="28">
        <v>135300</v>
      </c>
      <c r="F72" s="13">
        <v>368.08364999999998</v>
      </c>
      <c r="G72" s="14">
        <f t="shared" si="2"/>
        <v>4.1999999999999997E-3</v>
      </c>
      <c r="H72" s="15" t="s">
        <v>381</v>
      </c>
      <c r="I72" s="107"/>
    </row>
    <row r="73" spans="1:9" ht="12.75" customHeight="1" x14ac:dyDescent="0.2">
      <c r="A73">
        <f>+MAX($A$7:A72)+1</f>
        <v>65</v>
      </c>
      <c r="B73" t="s">
        <v>254</v>
      </c>
      <c r="C73" t="s">
        <v>573</v>
      </c>
      <c r="D73" t="s">
        <v>10</v>
      </c>
      <c r="E73" s="28">
        <v>104370</v>
      </c>
      <c r="F73" s="13">
        <v>328.922055</v>
      </c>
      <c r="G73" s="14">
        <f t="shared" ref="G73:G78" si="4">+ROUND(F73/VLOOKUP("Grand Total",$B$4:$F$333,5,0),4)</f>
        <v>3.8E-3</v>
      </c>
      <c r="H73" s="15" t="s">
        <v>381</v>
      </c>
      <c r="I73" s="107"/>
    </row>
    <row r="74" spans="1:9" ht="12.75" customHeight="1" x14ac:dyDescent="0.2">
      <c r="A74">
        <f>+MAX($A$7:A73)+1</f>
        <v>66</v>
      </c>
      <c r="B74" t="s">
        <v>378</v>
      </c>
      <c r="C74" t="s">
        <v>72</v>
      </c>
      <c r="D74" t="s">
        <v>24</v>
      </c>
      <c r="E74" s="28">
        <v>188372</v>
      </c>
      <c r="F74" s="13">
        <v>327.76728000000003</v>
      </c>
      <c r="G74" s="14">
        <f t="shared" si="4"/>
        <v>3.8E-3</v>
      </c>
      <c r="H74" s="15" t="s">
        <v>381</v>
      </c>
      <c r="I74" s="107"/>
    </row>
    <row r="75" spans="1:9" ht="12.75" customHeight="1" x14ac:dyDescent="0.2">
      <c r="A75">
        <f>+MAX($A$7:A74)+1</f>
        <v>67</v>
      </c>
      <c r="B75" s="65" t="s">
        <v>499</v>
      </c>
      <c r="C75" t="s">
        <v>500</v>
      </c>
      <c r="D75" t="s">
        <v>501</v>
      </c>
      <c r="E75" s="28">
        <v>60000</v>
      </c>
      <c r="F75" s="13">
        <v>247.92</v>
      </c>
      <c r="G75" s="14">
        <f t="shared" si="4"/>
        <v>2.8E-3</v>
      </c>
      <c r="H75" s="15" t="s">
        <v>381</v>
      </c>
      <c r="I75" s="107"/>
    </row>
    <row r="76" spans="1:9" ht="12.75" customHeight="1" x14ac:dyDescent="0.2">
      <c r="A76">
        <f>+MAX($A$7:A75)+1</f>
        <v>68</v>
      </c>
      <c r="B76" s="65" t="s">
        <v>268</v>
      </c>
      <c r="C76" t="s">
        <v>134</v>
      </c>
      <c r="D76" t="s">
        <v>30</v>
      </c>
      <c r="E76" s="28">
        <v>68130</v>
      </c>
      <c r="F76" s="13">
        <v>131.62716</v>
      </c>
      <c r="G76" s="14">
        <f t="shared" si="4"/>
        <v>1.5E-3</v>
      </c>
      <c r="H76" s="15" t="s">
        <v>381</v>
      </c>
      <c r="I76" s="107"/>
    </row>
    <row r="77" spans="1:9" ht="12.75" customHeight="1" x14ac:dyDescent="0.2">
      <c r="A77">
        <f>+MAX($A$7:A76)+1</f>
        <v>69</v>
      </c>
      <c r="B77" s="65" t="s">
        <v>286</v>
      </c>
      <c r="C77" t="s">
        <v>158</v>
      </c>
      <c r="D77" t="s">
        <v>41</v>
      </c>
      <c r="E77" s="28">
        <v>6975</v>
      </c>
      <c r="F77" s="13">
        <v>108.13691249999999</v>
      </c>
      <c r="G77" s="14">
        <f t="shared" si="4"/>
        <v>1.1999999999999999E-3</v>
      </c>
      <c r="H77" s="15" t="s">
        <v>381</v>
      </c>
      <c r="I77" s="107"/>
    </row>
    <row r="78" spans="1:9" ht="12.75" customHeight="1" x14ac:dyDescent="0.2">
      <c r="A78">
        <f>+MAX($A$7:A77)+1</f>
        <v>70</v>
      </c>
      <c r="B78" s="65" t="s">
        <v>445</v>
      </c>
      <c r="C78" t="s">
        <v>446</v>
      </c>
      <c r="D78" t="s">
        <v>447</v>
      </c>
      <c r="E78" s="28">
        <v>17235</v>
      </c>
      <c r="F78" s="13">
        <v>49.972882499999997</v>
      </c>
      <c r="G78" s="14">
        <f t="shared" si="4"/>
        <v>5.9999999999999995E-4</v>
      </c>
      <c r="H78" s="15" t="s">
        <v>381</v>
      </c>
      <c r="I78" s="107"/>
    </row>
    <row r="79" spans="1:9" ht="12.75" customHeight="1" x14ac:dyDescent="0.2">
      <c r="A79">
        <f>+MAX($A$7:A78)+1</f>
        <v>71</v>
      </c>
      <c r="B79" s="65" t="s">
        <v>606</v>
      </c>
      <c r="C79" t="s">
        <v>85</v>
      </c>
      <c r="D79" t="s">
        <v>103</v>
      </c>
      <c r="E79" s="28">
        <v>30579</v>
      </c>
      <c r="F79" s="13">
        <v>0</v>
      </c>
      <c r="G79" s="108" t="s">
        <v>571</v>
      </c>
      <c r="H79" s="15" t="s">
        <v>381</v>
      </c>
      <c r="I79" s="107"/>
    </row>
    <row r="80" spans="1:9" ht="12.75" customHeight="1" x14ac:dyDescent="0.2">
      <c r="B80" s="18" t="s">
        <v>86</v>
      </c>
      <c r="C80" s="18"/>
      <c r="D80" s="18"/>
      <c r="E80" s="29"/>
      <c r="F80" s="19">
        <f>SUM(F9:F79)</f>
        <v>57915.144505999997</v>
      </c>
      <c r="G80" s="20">
        <f>SUM(G9:G79)</f>
        <v>0.66489999999999971</v>
      </c>
      <c r="H80" s="21"/>
      <c r="I80" s="35"/>
    </row>
    <row r="81" spans="1:9" ht="12.75" customHeight="1" x14ac:dyDescent="0.2">
      <c r="F81" s="13"/>
      <c r="G81" s="14"/>
      <c r="H81" s="15"/>
    </row>
    <row r="82" spans="1:9" ht="12.75" customHeight="1" x14ac:dyDescent="0.2">
      <c r="B82" s="16" t="s">
        <v>92</v>
      </c>
      <c r="C82" s="16"/>
      <c r="F82" s="13"/>
      <c r="G82" s="14"/>
      <c r="H82" s="15"/>
    </row>
    <row r="83" spans="1:9" ht="12.75" customHeight="1" x14ac:dyDescent="0.2">
      <c r="B83" s="16" t="s">
        <v>312</v>
      </c>
      <c r="C83" s="16"/>
      <c r="F83" s="13"/>
      <c r="G83" s="14"/>
      <c r="H83" s="15"/>
    </row>
    <row r="84" spans="1:9" ht="12.75" customHeight="1" x14ac:dyDescent="0.2">
      <c r="A84">
        <f>+MAX($A$7:A83)+1</f>
        <v>72</v>
      </c>
      <c r="B84" s="65" t="s">
        <v>594</v>
      </c>
      <c r="C84" t="s">
        <v>642</v>
      </c>
      <c r="D84" t="s">
        <v>595</v>
      </c>
      <c r="E84" s="28">
        <v>120</v>
      </c>
      <c r="F84" s="13">
        <v>594.90959999999995</v>
      </c>
      <c r="G84" s="14">
        <f>+ROUND(F84/VLOOKUP("Grand Total",$B$4:$F$333,5,0),4)</f>
        <v>6.7999999999999996E-3</v>
      </c>
      <c r="H84" s="15">
        <v>43129</v>
      </c>
      <c r="I84" s="107"/>
    </row>
    <row r="85" spans="1:9" ht="12.75" customHeight="1" x14ac:dyDescent="0.2">
      <c r="A85">
        <f>+MAX($A$7:A84)+1</f>
        <v>73</v>
      </c>
      <c r="B85" s="65" t="s">
        <v>467</v>
      </c>
      <c r="C85" t="s">
        <v>659</v>
      </c>
      <c r="D85" t="s">
        <v>163</v>
      </c>
      <c r="E85" s="28">
        <v>100</v>
      </c>
      <c r="F85" s="13">
        <v>496.96550000000002</v>
      </c>
      <c r="G85" s="14">
        <f>+ROUND(F85/VLOOKUP("Grand Total",$B$4:$F$333,5,0),4)</f>
        <v>5.7000000000000002E-3</v>
      </c>
      <c r="H85" s="15">
        <v>43129</v>
      </c>
      <c r="I85" s="107"/>
    </row>
    <row r="86" spans="1:9" ht="12.75" customHeight="1" x14ac:dyDescent="0.2">
      <c r="A86">
        <f>+MAX($A$7:A85)+1</f>
        <v>74</v>
      </c>
      <c r="B86" s="65" t="s">
        <v>532</v>
      </c>
      <c r="C86" t="s">
        <v>706</v>
      </c>
      <c r="D86" t="s">
        <v>295</v>
      </c>
      <c r="E86" s="28">
        <v>100</v>
      </c>
      <c r="F86" s="13">
        <v>495.17500000000001</v>
      </c>
      <c r="G86" s="14">
        <f>+ROUND(F86/VLOOKUP("Grand Total",$B$4:$F$333,5,0),4)</f>
        <v>5.7000000000000002E-3</v>
      </c>
      <c r="H86" s="15">
        <v>43145</v>
      </c>
      <c r="I86" s="107"/>
    </row>
    <row r="87" spans="1:9" ht="12.75" customHeight="1" x14ac:dyDescent="0.2">
      <c r="A87">
        <f>+MAX($A$7:A86)+1</f>
        <v>75</v>
      </c>
      <c r="B87" s="65" t="s">
        <v>296</v>
      </c>
      <c r="C87" t="s">
        <v>590</v>
      </c>
      <c r="D87" t="s">
        <v>610</v>
      </c>
      <c r="E87" s="28">
        <v>100</v>
      </c>
      <c r="F87" s="13">
        <v>472.15800000000002</v>
      </c>
      <c r="G87" s="14">
        <f>+ROUND(F87/VLOOKUP("Grand Total",$B$4:$F$333,5,0),4)</f>
        <v>5.4000000000000003E-3</v>
      </c>
      <c r="H87" s="15">
        <v>43350</v>
      </c>
      <c r="I87" s="107"/>
    </row>
    <row r="88" spans="1:9" ht="12.75" customHeight="1" x14ac:dyDescent="0.2">
      <c r="B88" s="18" t="s">
        <v>86</v>
      </c>
      <c r="C88" s="18"/>
      <c r="D88" s="18"/>
      <c r="E88" s="29"/>
      <c r="F88" s="19">
        <f>SUM(F84:F87)</f>
        <v>2059.2080999999998</v>
      </c>
      <c r="G88" s="20">
        <f>SUM(G84:G87)</f>
        <v>2.3600000000000003E-2</v>
      </c>
      <c r="H88" s="21"/>
    </row>
    <row r="89" spans="1:9" ht="12.75" customHeight="1" x14ac:dyDescent="0.2">
      <c r="F89" s="13"/>
      <c r="G89" s="14"/>
      <c r="H89" s="15"/>
    </row>
    <row r="90" spans="1:9" ht="12.75" customHeight="1" x14ac:dyDescent="0.2">
      <c r="B90" s="16" t="s">
        <v>126</v>
      </c>
      <c r="C90" s="16"/>
      <c r="F90" s="13"/>
      <c r="G90" s="14"/>
      <c r="H90" s="15"/>
    </row>
    <row r="91" spans="1:9" ht="12.75" customHeight="1" x14ac:dyDescent="0.2">
      <c r="B91" s="31" t="s">
        <v>417</v>
      </c>
      <c r="C91" s="16"/>
      <c r="F91" s="13"/>
      <c r="G91" s="14"/>
      <c r="H91" s="15"/>
    </row>
    <row r="92" spans="1:9" ht="12.75" customHeight="1" x14ac:dyDescent="0.2">
      <c r="A92">
        <f>+MAX($A$7:A91)+1</f>
        <v>76</v>
      </c>
      <c r="B92" s="65" t="s">
        <v>699</v>
      </c>
      <c r="C92" t="s">
        <v>569</v>
      </c>
      <c r="D92" t="s">
        <v>176</v>
      </c>
      <c r="E92" s="28">
        <v>150</v>
      </c>
      <c r="F92" s="13">
        <v>1477.932</v>
      </c>
      <c r="G92" s="14">
        <f t="shared" ref="G92:G110" si="5">+ROUND(F92/VLOOKUP("Grand Total",$B$4:$F$333,5,0),4)</f>
        <v>1.7000000000000001E-2</v>
      </c>
      <c r="H92" s="15">
        <v>44376</v>
      </c>
      <c r="I92" s="107"/>
    </row>
    <row r="93" spans="1:9" ht="12.75" customHeight="1" x14ac:dyDescent="0.2">
      <c r="A93">
        <f>+MAX($A$7:A92)+1</f>
        <v>77</v>
      </c>
      <c r="B93" s="65" t="s">
        <v>750</v>
      </c>
      <c r="C93" t="s">
        <v>602</v>
      </c>
      <c r="D93" t="s">
        <v>109</v>
      </c>
      <c r="E93" s="28">
        <v>150</v>
      </c>
      <c r="F93" s="13">
        <v>1460.07</v>
      </c>
      <c r="G93" s="14">
        <f t="shared" si="5"/>
        <v>1.6799999999999999E-2</v>
      </c>
      <c r="H93" s="15">
        <v>44804</v>
      </c>
      <c r="I93" s="107"/>
    </row>
    <row r="94" spans="1:9" ht="12.75" customHeight="1" x14ac:dyDescent="0.2">
      <c r="A94">
        <f>+MAX($A$7:A93)+1</f>
        <v>78</v>
      </c>
      <c r="B94" s="65" t="s">
        <v>738</v>
      </c>
      <c r="C94" t="s">
        <v>537</v>
      </c>
      <c r="D94" t="s">
        <v>109</v>
      </c>
      <c r="E94" s="28">
        <v>110</v>
      </c>
      <c r="F94" s="13">
        <v>1095.8299</v>
      </c>
      <c r="G94" s="14">
        <f t="shared" si="5"/>
        <v>1.26E-2</v>
      </c>
      <c r="H94" s="15">
        <v>44091</v>
      </c>
      <c r="I94" s="107"/>
    </row>
    <row r="95" spans="1:9" ht="12.75" customHeight="1" x14ac:dyDescent="0.2">
      <c r="A95">
        <f>+MAX($A$7:A94)+1</f>
        <v>79</v>
      </c>
      <c r="B95" s="65" t="s">
        <v>698</v>
      </c>
      <c r="C95" t="s">
        <v>651</v>
      </c>
      <c r="D95" t="s">
        <v>109</v>
      </c>
      <c r="E95" s="28">
        <v>100</v>
      </c>
      <c r="F95" s="13">
        <v>1024.9169999999999</v>
      </c>
      <c r="G95" s="14">
        <f t="shared" si="5"/>
        <v>1.18E-2</v>
      </c>
      <c r="H95" s="15">
        <v>45042</v>
      </c>
      <c r="I95" s="107"/>
    </row>
    <row r="96" spans="1:9" ht="12.75" customHeight="1" x14ac:dyDescent="0.2">
      <c r="A96">
        <f>+MAX($A$7:A95)+1</f>
        <v>80</v>
      </c>
      <c r="B96" s="65" t="s">
        <v>748</v>
      </c>
      <c r="C96" t="s">
        <v>487</v>
      </c>
      <c r="D96" t="s">
        <v>488</v>
      </c>
      <c r="E96" s="28">
        <v>100</v>
      </c>
      <c r="F96" s="13">
        <v>1002.1130000000001</v>
      </c>
      <c r="G96" s="14">
        <f t="shared" si="5"/>
        <v>1.15E-2</v>
      </c>
      <c r="H96" s="15">
        <v>44693</v>
      </c>
      <c r="I96" s="107"/>
    </row>
    <row r="97" spans="1:9" ht="12.75" customHeight="1" x14ac:dyDescent="0.2">
      <c r="A97">
        <f>+MAX($A$7:A96)+1</f>
        <v>81</v>
      </c>
      <c r="B97" s="65" t="s">
        <v>788</v>
      </c>
      <c r="C97" s="121" t="s">
        <v>570</v>
      </c>
      <c r="D97" t="s">
        <v>795</v>
      </c>
      <c r="E97" s="28">
        <v>70</v>
      </c>
      <c r="F97" s="13">
        <v>699.99789999999996</v>
      </c>
      <c r="G97" s="14">
        <f t="shared" si="5"/>
        <v>8.0000000000000002E-3</v>
      </c>
      <c r="H97" s="15">
        <v>43826</v>
      </c>
      <c r="I97" s="107"/>
    </row>
    <row r="98" spans="1:9" ht="12.75" customHeight="1" x14ac:dyDescent="0.2">
      <c r="A98">
        <f>+MAX($A$7:A97)+1</f>
        <v>82</v>
      </c>
      <c r="B98" s="65" t="s">
        <v>763</v>
      </c>
      <c r="C98" t="s">
        <v>603</v>
      </c>
      <c r="D98" t="s">
        <v>109</v>
      </c>
      <c r="E98" s="28">
        <v>50</v>
      </c>
      <c r="F98" s="13">
        <v>508.911</v>
      </c>
      <c r="G98" s="14">
        <f t="shared" si="5"/>
        <v>5.7999999999999996E-3</v>
      </c>
      <c r="H98" s="15">
        <v>44004</v>
      </c>
      <c r="I98" s="107"/>
    </row>
    <row r="99" spans="1:9" ht="12.75" customHeight="1" x14ac:dyDescent="0.2">
      <c r="A99">
        <f>+MAX($A$7:A98)+1</f>
        <v>83</v>
      </c>
      <c r="B99" s="65" t="s">
        <v>744</v>
      </c>
      <c r="C99" t="s">
        <v>451</v>
      </c>
      <c r="D99" t="s">
        <v>369</v>
      </c>
      <c r="E99" s="28">
        <v>50000</v>
      </c>
      <c r="F99" s="13">
        <v>505.18200000000002</v>
      </c>
      <c r="G99" s="14">
        <f t="shared" si="5"/>
        <v>5.7999999999999996E-3</v>
      </c>
      <c r="H99" s="15">
        <v>43693</v>
      </c>
      <c r="I99" s="107"/>
    </row>
    <row r="100" spans="1:9" ht="12.75" customHeight="1" x14ac:dyDescent="0.2">
      <c r="A100">
        <f>+MAX($A$7:A99)+1</f>
        <v>84</v>
      </c>
      <c r="B100" s="65" t="s">
        <v>764</v>
      </c>
      <c r="C100" t="s">
        <v>470</v>
      </c>
      <c r="D100" t="s">
        <v>109</v>
      </c>
      <c r="E100" s="28">
        <v>5</v>
      </c>
      <c r="F100" s="13">
        <v>498.911</v>
      </c>
      <c r="G100" s="14">
        <f t="shared" si="5"/>
        <v>5.7000000000000002E-3</v>
      </c>
      <c r="H100" s="15">
        <v>43544</v>
      </c>
      <c r="I100" s="107"/>
    </row>
    <row r="101" spans="1:9" ht="12.75" customHeight="1" x14ac:dyDescent="0.2">
      <c r="A101">
        <f>+MAX($A$7:A100)+1</f>
        <v>85</v>
      </c>
      <c r="B101" s="65" t="s">
        <v>765</v>
      </c>
      <c r="C101" t="s">
        <v>469</v>
      </c>
      <c r="D101" t="s">
        <v>109</v>
      </c>
      <c r="E101" s="28">
        <v>50</v>
      </c>
      <c r="F101" s="13">
        <v>498.3245</v>
      </c>
      <c r="G101" s="14">
        <f t="shared" si="5"/>
        <v>5.7000000000000002E-3</v>
      </c>
      <c r="H101" s="15">
        <v>44006</v>
      </c>
      <c r="I101" s="107"/>
    </row>
    <row r="102" spans="1:9" ht="12.75" customHeight="1" x14ac:dyDescent="0.2">
      <c r="A102">
        <f>+MAX($A$7:A101)+1</f>
        <v>86</v>
      </c>
      <c r="B102" s="65" t="s">
        <v>766</v>
      </c>
      <c r="C102" t="s">
        <v>708</v>
      </c>
      <c r="D102" t="s">
        <v>109</v>
      </c>
      <c r="E102" s="28">
        <v>5</v>
      </c>
      <c r="F102" s="13">
        <v>498.04649999999998</v>
      </c>
      <c r="G102" s="14">
        <f t="shared" si="5"/>
        <v>5.7000000000000002E-3</v>
      </c>
      <c r="H102" s="15">
        <v>43367</v>
      </c>
      <c r="I102" s="107"/>
    </row>
    <row r="103" spans="1:9" ht="12.75" customHeight="1" x14ac:dyDescent="0.2">
      <c r="A103">
        <f>+MAX($A$7:A102)+1</f>
        <v>87</v>
      </c>
      <c r="B103" s="65" t="s">
        <v>767</v>
      </c>
      <c r="C103" t="s">
        <v>539</v>
      </c>
      <c r="D103" t="s">
        <v>510</v>
      </c>
      <c r="E103" s="28">
        <v>50</v>
      </c>
      <c r="F103" s="13">
        <v>495.97699999999998</v>
      </c>
      <c r="G103" s="14">
        <f t="shared" si="5"/>
        <v>5.7000000000000002E-3</v>
      </c>
      <c r="H103" s="15">
        <v>44026</v>
      </c>
      <c r="I103" s="107"/>
    </row>
    <row r="104" spans="1:9" ht="12.75" customHeight="1" x14ac:dyDescent="0.2">
      <c r="A104">
        <f>+MAX($A$7:A103)+1</f>
        <v>88</v>
      </c>
      <c r="B104" s="65" t="s">
        <v>656</v>
      </c>
      <c r="C104" t="s">
        <v>601</v>
      </c>
      <c r="D104" t="s">
        <v>109</v>
      </c>
      <c r="E104" s="28">
        <v>50</v>
      </c>
      <c r="F104" s="13">
        <v>492.90800000000002</v>
      </c>
      <c r="G104" s="14">
        <f t="shared" si="5"/>
        <v>5.7000000000000002E-3</v>
      </c>
      <c r="H104" s="15">
        <v>44104</v>
      </c>
      <c r="I104" s="107"/>
    </row>
    <row r="105" spans="1:9" ht="12.75" customHeight="1" x14ac:dyDescent="0.2">
      <c r="A105">
        <f>+MAX($A$7:A104)+1</f>
        <v>89</v>
      </c>
      <c r="B105" s="65" t="s">
        <v>744</v>
      </c>
      <c r="C105" t="s">
        <v>560</v>
      </c>
      <c r="D105" t="s">
        <v>369</v>
      </c>
      <c r="E105" s="28">
        <v>30000</v>
      </c>
      <c r="F105" s="13">
        <v>303.26760000000002</v>
      </c>
      <c r="G105" s="14">
        <f t="shared" si="5"/>
        <v>3.5000000000000001E-3</v>
      </c>
      <c r="H105" s="15">
        <v>43717</v>
      </c>
      <c r="I105" s="107"/>
    </row>
    <row r="106" spans="1:9" ht="12.75" customHeight="1" x14ac:dyDescent="0.2">
      <c r="A106">
        <f>+MAX($A$7:A105)+1</f>
        <v>90</v>
      </c>
      <c r="B106" s="65" t="s">
        <v>753</v>
      </c>
      <c r="C106" t="s">
        <v>484</v>
      </c>
      <c r="D106" t="s">
        <v>796</v>
      </c>
      <c r="E106" s="28">
        <v>30</v>
      </c>
      <c r="F106" s="13">
        <v>299.99430000000001</v>
      </c>
      <c r="G106" s="14">
        <f t="shared" si="5"/>
        <v>3.3999999999999998E-3</v>
      </c>
      <c r="H106" s="15">
        <v>43105</v>
      </c>
      <c r="I106" s="107"/>
    </row>
    <row r="107" spans="1:9" ht="12.75" customHeight="1" x14ac:dyDescent="0.2">
      <c r="A107">
        <f>+MAX($A$7:A106)+1</f>
        <v>91</v>
      </c>
      <c r="B107" s="65" t="s">
        <v>759</v>
      </c>
      <c r="C107" t="s">
        <v>462</v>
      </c>
      <c r="D107" t="s">
        <v>176</v>
      </c>
      <c r="E107" s="28">
        <v>20</v>
      </c>
      <c r="F107" s="13">
        <v>200.72139999999999</v>
      </c>
      <c r="G107" s="14">
        <f t="shared" si="5"/>
        <v>2.3E-3</v>
      </c>
      <c r="H107" s="15">
        <v>43678</v>
      </c>
      <c r="I107" s="107"/>
    </row>
    <row r="108" spans="1:9" ht="12.75" customHeight="1" x14ac:dyDescent="0.2">
      <c r="A108">
        <f>+MAX($A$7:A107)+1</f>
        <v>92</v>
      </c>
      <c r="B108" s="65" t="s">
        <v>752</v>
      </c>
      <c r="C108" t="s">
        <v>432</v>
      </c>
      <c r="D108" t="s">
        <v>369</v>
      </c>
      <c r="E108" s="28">
        <v>13</v>
      </c>
      <c r="F108" s="13">
        <v>130.57291000000001</v>
      </c>
      <c r="G108" s="14">
        <f t="shared" si="5"/>
        <v>1.5E-3</v>
      </c>
      <c r="H108" s="15">
        <v>43322</v>
      </c>
      <c r="I108" s="107"/>
    </row>
    <row r="109" spans="1:9" ht="12.75" customHeight="1" x14ac:dyDescent="0.2">
      <c r="A109">
        <f>+MAX($A$7:A108)+1</f>
        <v>93</v>
      </c>
      <c r="B109" s="65" t="s">
        <v>751</v>
      </c>
      <c r="C109" t="s">
        <v>419</v>
      </c>
      <c r="D109" t="s">
        <v>109</v>
      </c>
      <c r="E109" s="28">
        <v>10</v>
      </c>
      <c r="F109" s="13">
        <v>101.5703</v>
      </c>
      <c r="G109" s="14">
        <f t="shared" si="5"/>
        <v>1.1999999999999999E-3</v>
      </c>
      <c r="H109" s="15">
        <v>44343</v>
      </c>
      <c r="I109" s="107"/>
    </row>
    <row r="110" spans="1:9" ht="12.75" customHeight="1" x14ac:dyDescent="0.2">
      <c r="A110">
        <f>+MAX($A$7:A109)+1</f>
        <v>94</v>
      </c>
      <c r="B110" s="65" t="s">
        <v>768</v>
      </c>
      <c r="C110" t="s">
        <v>340</v>
      </c>
      <c r="D110" t="s">
        <v>298</v>
      </c>
      <c r="E110" s="28">
        <v>10</v>
      </c>
      <c r="F110" s="13">
        <v>101.5167</v>
      </c>
      <c r="G110" s="14">
        <f t="shared" si="5"/>
        <v>1.1999999999999999E-3</v>
      </c>
      <c r="H110" s="15">
        <v>43621</v>
      </c>
      <c r="I110" s="107"/>
    </row>
    <row r="111" spans="1:9" ht="12.75" customHeight="1" x14ac:dyDescent="0.2">
      <c r="B111" s="18" t="s">
        <v>86</v>
      </c>
      <c r="C111" s="18"/>
      <c r="D111" s="18"/>
      <c r="E111" s="29"/>
      <c r="F111" s="19">
        <f>SUM(F92:F110)</f>
        <v>11396.763010000002</v>
      </c>
      <c r="G111" s="20">
        <f>SUM(G92:G110)</f>
        <v>0.13089999999999999</v>
      </c>
      <c r="H111" s="21"/>
    </row>
    <row r="112" spans="1:9" ht="12.75" customHeight="1" x14ac:dyDescent="0.2">
      <c r="F112" s="13"/>
      <c r="G112" s="14"/>
      <c r="H112" s="15"/>
    </row>
    <row r="113" spans="1:11" ht="12.75" customHeight="1" x14ac:dyDescent="0.2">
      <c r="B113" s="16" t="s">
        <v>572</v>
      </c>
      <c r="C113" s="16"/>
      <c r="F113" s="13"/>
      <c r="G113" s="14"/>
      <c r="H113" s="15"/>
    </row>
    <row r="114" spans="1:11" ht="12.75" customHeight="1" x14ac:dyDescent="0.2">
      <c r="A114">
        <f>+MAX($A$7:A113)+1</f>
        <v>95</v>
      </c>
      <c r="B114" s="65" t="s">
        <v>565</v>
      </c>
      <c r="C114" t="s">
        <v>566</v>
      </c>
      <c r="D114" t="s">
        <v>375</v>
      </c>
      <c r="E114" s="28">
        <v>50</v>
      </c>
      <c r="F114" s="13">
        <v>516.32550000000003</v>
      </c>
      <c r="G114" s="14">
        <f>+ROUND(F114/VLOOKUP("Grand Total",$B$4:$F$333,5,0),4)</f>
        <v>5.8999999999999999E-3</v>
      </c>
      <c r="H114" s="15">
        <v>43321</v>
      </c>
    </row>
    <row r="115" spans="1:11" ht="12.75" customHeight="1" x14ac:dyDescent="0.2">
      <c r="B115" s="18" t="s">
        <v>86</v>
      </c>
      <c r="C115" s="18"/>
      <c r="D115" s="18"/>
      <c r="E115" s="29"/>
      <c r="F115" s="19">
        <f>SUM(F114:F114)</f>
        <v>516.32550000000003</v>
      </c>
      <c r="G115" s="20">
        <f>SUM(G114:G114)</f>
        <v>5.8999999999999999E-3</v>
      </c>
      <c r="H115" s="21"/>
    </row>
    <row r="116" spans="1:11" s="46" customFormat="1" ht="12.75" customHeight="1" x14ac:dyDescent="0.2">
      <c r="B116" s="67"/>
      <c r="C116" s="67"/>
      <c r="D116" s="67"/>
      <c r="E116" s="68"/>
      <c r="F116" s="69"/>
      <c r="G116" s="70"/>
      <c r="H116" s="71"/>
      <c r="I116" s="33"/>
      <c r="K116" s="48"/>
    </row>
    <row r="117" spans="1:11" ht="12.75" customHeight="1" x14ac:dyDescent="0.2">
      <c r="B117" s="16" t="s">
        <v>171</v>
      </c>
      <c r="C117" s="16"/>
      <c r="F117" s="13"/>
      <c r="G117" s="14"/>
      <c r="H117" s="15"/>
    </row>
    <row r="118" spans="1:11" ht="12.75" customHeight="1" x14ac:dyDescent="0.2">
      <c r="A118">
        <f>+MAX($A$7:A117)+1</f>
        <v>96</v>
      </c>
      <c r="B118" s="65" t="s">
        <v>638</v>
      </c>
      <c r="C118" t="s">
        <v>639</v>
      </c>
      <c r="D118" t="s">
        <v>413</v>
      </c>
      <c r="E118" s="28">
        <v>2650000</v>
      </c>
      <c r="F118" s="13">
        <v>2554.0567500000002</v>
      </c>
      <c r="G118" s="14">
        <f t="shared" ref="G118:G127" si="6">+ROUND(F118/VLOOKUP("Grand Total",$B$4:$F$333,5,0),4)</f>
        <v>2.93E-2</v>
      </c>
      <c r="H118" s="15">
        <v>46522</v>
      </c>
    </row>
    <row r="119" spans="1:11" ht="12.75" customHeight="1" x14ac:dyDescent="0.2">
      <c r="A119">
        <f>+MAX($A$7:A118)+1</f>
        <v>97</v>
      </c>
      <c r="B119" s="65" t="s">
        <v>597</v>
      </c>
      <c r="C119" t="s">
        <v>598</v>
      </c>
      <c r="D119" t="s">
        <v>413</v>
      </c>
      <c r="E119" s="28">
        <v>2200000</v>
      </c>
      <c r="F119" s="13">
        <v>2224.2066</v>
      </c>
      <c r="G119" s="14">
        <f t="shared" si="6"/>
        <v>2.5499999999999998E-2</v>
      </c>
      <c r="H119" s="15">
        <v>49297</v>
      </c>
    </row>
    <row r="120" spans="1:11" ht="12.75" customHeight="1" x14ac:dyDescent="0.2">
      <c r="A120">
        <f>+MAX($A$7:A119)+1</f>
        <v>98</v>
      </c>
      <c r="B120" s="65" t="s">
        <v>506</v>
      </c>
      <c r="C120" t="s">
        <v>507</v>
      </c>
      <c r="D120" t="s">
        <v>413</v>
      </c>
      <c r="E120" s="28">
        <v>1750000</v>
      </c>
      <c r="F120" s="13">
        <v>1787.6442500000001</v>
      </c>
      <c r="G120" s="14">
        <f t="shared" si="6"/>
        <v>2.0500000000000001E-2</v>
      </c>
      <c r="H120" s="15">
        <v>45275</v>
      </c>
    </row>
    <row r="121" spans="1:11" ht="12.75" customHeight="1" x14ac:dyDescent="0.2">
      <c r="A121">
        <f>+MAX($A$7:A120)+1</f>
        <v>99</v>
      </c>
      <c r="B121" s="65" t="s">
        <v>485</v>
      </c>
      <c r="C121" t="s">
        <v>486</v>
      </c>
      <c r="D121" t="s">
        <v>413</v>
      </c>
      <c r="E121" s="28">
        <v>1000000</v>
      </c>
      <c r="F121" s="13">
        <v>987.70899999999995</v>
      </c>
      <c r="G121" s="14">
        <f t="shared" si="6"/>
        <v>1.1299999999999999E-2</v>
      </c>
      <c r="H121" s="15">
        <v>44914</v>
      </c>
    </row>
    <row r="122" spans="1:11" ht="12.75" customHeight="1" x14ac:dyDescent="0.2">
      <c r="A122">
        <f>+MAX($A$7:A121)+1</f>
        <v>100</v>
      </c>
      <c r="B122" s="65" t="s">
        <v>660</v>
      </c>
      <c r="C122" t="s">
        <v>661</v>
      </c>
      <c r="D122" t="s">
        <v>413</v>
      </c>
      <c r="E122" s="28">
        <v>500000</v>
      </c>
      <c r="F122" s="13">
        <v>511.00200000000001</v>
      </c>
      <c r="G122" s="14">
        <f t="shared" si="6"/>
        <v>5.8999999999999999E-3</v>
      </c>
      <c r="H122" s="15">
        <v>47561</v>
      </c>
    </row>
    <row r="123" spans="1:11" ht="12.75" customHeight="1" x14ac:dyDescent="0.2">
      <c r="A123">
        <f>+MAX($A$7:A122)+1</f>
        <v>101</v>
      </c>
      <c r="B123" s="65" t="s">
        <v>652</v>
      </c>
      <c r="C123" t="s">
        <v>653</v>
      </c>
      <c r="D123" t="s">
        <v>413</v>
      </c>
      <c r="E123" s="28">
        <v>500000</v>
      </c>
      <c r="F123" s="13">
        <v>510.48599999999999</v>
      </c>
      <c r="G123" s="14">
        <f t="shared" si="6"/>
        <v>5.8999999999999999E-3</v>
      </c>
      <c r="H123" s="15">
        <v>45802</v>
      </c>
    </row>
    <row r="124" spans="1:11" ht="12.75" customHeight="1" x14ac:dyDescent="0.2">
      <c r="A124">
        <f>+MAX($A$7:A123)+1</f>
        <v>102</v>
      </c>
      <c r="B124" s="65" t="s">
        <v>599</v>
      </c>
      <c r="C124" t="s">
        <v>600</v>
      </c>
      <c r="D124" t="s">
        <v>413</v>
      </c>
      <c r="E124" s="28">
        <v>500000</v>
      </c>
      <c r="F124" s="13">
        <v>468.19600000000003</v>
      </c>
      <c r="G124" s="14">
        <f t="shared" si="6"/>
        <v>5.4000000000000003E-3</v>
      </c>
      <c r="H124" s="15">
        <v>48108</v>
      </c>
    </row>
    <row r="125" spans="1:11" ht="12.75" customHeight="1" x14ac:dyDescent="0.2">
      <c r="A125">
        <f>+MAX($A$7:A124)+1</f>
        <v>103</v>
      </c>
      <c r="B125" s="65" t="s">
        <v>567</v>
      </c>
      <c r="C125" t="s">
        <v>568</v>
      </c>
      <c r="D125" t="s">
        <v>413</v>
      </c>
      <c r="E125" s="28">
        <v>350000</v>
      </c>
      <c r="F125" s="13">
        <v>350.00069999999999</v>
      </c>
      <c r="G125" s="14">
        <f t="shared" si="6"/>
        <v>4.0000000000000001E-3</v>
      </c>
      <c r="H125" s="15">
        <v>45066</v>
      </c>
    </row>
    <row r="126" spans="1:11" ht="12.75" customHeight="1" x14ac:dyDescent="0.2">
      <c r="A126">
        <f>+MAX($A$7:A125)+1</f>
        <v>104</v>
      </c>
      <c r="B126" s="65" t="s">
        <v>647</v>
      </c>
      <c r="C126" t="s">
        <v>648</v>
      </c>
      <c r="D126" t="s">
        <v>413</v>
      </c>
      <c r="E126" s="28">
        <v>300000</v>
      </c>
      <c r="F126" s="13">
        <v>300.6003</v>
      </c>
      <c r="G126" s="14">
        <f t="shared" si="6"/>
        <v>3.5000000000000001E-3</v>
      </c>
      <c r="H126" s="15">
        <v>47197</v>
      </c>
    </row>
    <row r="127" spans="1:11" ht="12.75" customHeight="1" x14ac:dyDescent="0.2">
      <c r="A127">
        <f>+MAX($A$7:A126)+1</f>
        <v>105</v>
      </c>
      <c r="B127" s="65" t="s">
        <v>696</v>
      </c>
      <c r="C127" t="s">
        <v>697</v>
      </c>
      <c r="D127" t="s">
        <v>413</v>
      </c>
      <c r="E127" s="28">
        <v>300000</v>
      </c>
      <c r="F127" s="13">
        <v>273.22019999999998</v>
      </c>
      <c r="G127" s="14">
        <f t="shared" si="6"/>
        <v>3.0999999999999999E-3</v>
      </c>
      <c r="H127" s="15">
        <v>48918</v>
      </c>
    </row>
    <row r="128" spans="1:11" ht="12.75" customHeight="1" x14ac:dyDescent="0.2">
      <c r="B128" s="18" t="s">
        <v>86</v>
      </c>
      <c r="C128" s="18"/>
      <c r="D128" s="18"/>
      <c r="E128" s="29"/>
      <c r="F128" s="19">
        <f>SUM(F118:F127)</f>
        <v>9967.1218000000008</v>
      </c>
      <c r="G128" s="20">
        <f>SUM(G118:G127)</f>
        <v>0.11440000000000003</v>
      </c>
      <c r="H128" s="21"/>
    </row>
    <row r="129" spans="1:11" s="46" customFormat="1" ht="12.75" customHeight="1" x14ac:dyDescent="0.2">
      <c r="B129" s="67"/>
      <c r="C129" s="67"/>
      <c r="D129" s="67"/>
      <c r="E129" s="68"/>
      <c r="F129" s="69"/>
      <c r="G129" s="70"/>
      <c r="H129" s="71"/>
      <c r="I129" s="33"/>
      <c r="K129" s="48"/>
    </row>
    <row r="130" spans="1:11" ht="12.75" customHeight="1" x14ac:dyDescent="0.2">
      <c r="B130" s="16" t="s">
        <v>93</v>
      </c>
      <c r="C130" s="16"/>
      <c r="F130" s="13"/>
      <c r="G130" s="14"/>
      <c r="H130" s="15"/>
    </row>
    <row r="131" spans="1:11" ht="12.75" customHeight="1" x14ac:dyDescent="0.2">
      <c r="A131">
        <f>+MAX($A$7:A130)+1</f>
        <v>106</v>
      </c>
      <c r="B131" s="65" t="s">
        <v>709</v>
      </c>
      <c r="C131" t="s">
        <v>710</v>
      </c>
      <c r="D131" t="s">
        <v>325</v>
      </c>
      <c r="E131" s="28">
        <v>55322.918599999997</v>
      </c>
      <c r="F131" s="13">
        <v>1501.8908271</v>
      </c>
      <c r="G131" s="14">
        <f>+ROUND(F131/VLOOKUP("Grand Total",$B$4:$F$333,5,0),4)</f>
        <v>1.72E-2</v>
      </c>
      <c r="H131" s="15"/>
    </row>
    <row r="132" spans="1:11" ht="12.75" customHeight="1" x14ac:dyDescent="0.2">
      <c r="B132" s="18" t="s">
        <v>86</v>
      </c>
      <c r="C132" s="18"/>
      <c r="D132" s="18"/>
      <c r="E132" s="29"/>
      <c r="F132" s="19">
        <f>SUM(F131:F131)</f>
        <v>1501.8908271</v>
      </c>
      <c r="G132" s="20">
        <f>SUM(G131:G131)</f>
        <v>1.72E-2</v>
      </c>
      <c r="H132" s="21"/>
    </row>
    <row r="133" spans="1:11" s="46" customFormat="1" ht="12.75" customHeight="1" x14ac:dyDescent="0.2">
      <c r="B133" s="67"/>
      <c r="C133" s="67"/>
      <c r="D133" s="67"/>
      <c r="E133" s="68"/>
      <c r="F133" s="69"/>
      <c r="G133" s="70"/>
      <c r="H133" s="71"/>
      <c r="I133" s="33"/>
      <c r="K133" s="48"/>
    </row>
    <row r="134" spans="1:11" ht="12.75" customHeight="1" x14ac:dyDescent="0.2">
      <c r="A134" s="95" t="s">
        <v>380</v>
      </c>
      <c r="B134" s="16" t="s">
        <v>94</v>
      </c>
      <c r="C134" s="16"/>
      <c r="F134" s="13">
        <v>3652.4984387</v>
      </c>
      <c r="G134" s="14">
        <f>+ROUND(F134/VLOOKUP("Grand Total",$B$4:$F$333,5,0),4)</f>
        <v>4.19E-2</v>
      </c>
      <c r="H134" s="15">
        <v>43101</v>
      </c>
    </row>
    <row r="135" spans="1:11" ht="12.75" customHeight="1" x14ac:dyDescent="0.2">
      <c r="B135" s="18" t="s">
        <v>86</v>
      </c>
      <c r="C135" s="18"/>
      <c r="D135" s="18"/>
      <c r="E135" s="29"/>
      <c r="F135" s="19">
        <f>SUM(F134)</f>
        <v>3652.4984387</v>
      </c>
      <c r="G135" s="20">
        <f>SUM(G134)</f>
        <v>4.19E-2</v>
      </c>
      <c r="H135" s="21"/>
      <c r="I135" s="35"/>
    </row>
    <row r="136" spans="1:11" ht="12.75" customHeight="1" x14ac:dyDescent="0.2">
      <c r="F136" s="13"/>
      <c r="G136" s="14"/>
      <c r="H136" s="15"/>
    </row>
    <row r="137" spans="1:11" ht="12.75" customHeight="1" x14ac:dyDescent="0.2">
      <c r="B137" s="16" t="s">
        <v>95</v>
      </c>
      <c r="C137" s="16"/>
      <c r="F137" s="13"/>
      <c r="G137" s="14"/>
      <c r="H137" s="15"/>
    </row>
    <row r="138" spans="1:11" ht="12.75" customHeight="1" x14ac:dyDescent="0.2">
      <c r="B138" s="16" t="s">
        <v>96</v>
      </c>
      <c r="C138" s="16"/>
      <c r="F138" s="13">
        <v>106.74282159999711</v>
      </c>
      <c r="G138" s="14">
        <f>+ROUND(F138/VLOOKUP("Grand Total",$B$4:$F$333,5,0),4)</f>
        <v>1.1999999999999999E-3</v>
      </c>
      <c r="H138" s="15"/>
    </row>
    <row r="139" spans="1:11" ht="12.75" customHeight="1" x14ac:dyDescent="0.2">
      <c r="B139" s="18" t="s">
        <v>86</v>
      </c>
      <c r="C139" s="18"/>
      <c r="D139" s="18"/>
      <c r="E139" s="29"/>
      <c r="F139" s="19">
        <f>SUM(F138)</f>
        <v>106.74282159999711</v>
      </c>
      <c r="G139" s="20">
        <f>SUM(G138)</f>
        <v>1.1999999999999999E-3</v>
      </c>
      <c r="H139" s="21"/>
      <c r="I139" s="35"/>
    </row>
    <row r="140" spans="1:11" ht="12.75" customHeight="1" x14ac:dyDescent="0.2">
      <c r="B140" s="22" t="s">
        <v>97</v>
      </c>
      <c r="C140" s="22"/>
      <c r="D140" s="22"/>
      <c r="E140" s="30"/>
      <c r="F140" s="23">
        <f>+SUMIF($B$5:B139,"Total",$F$5:F139)</f>
        <v>87115.695003399989</v>
      </c>
      <c r="G140" s="24">
        <f>+SUMIF($B$5:B139,"Total",$G$5:G139)</f>
        <v>0.99999999999999978</v>
      </c>
      <c r="H140" s="25"/>
      <c r="I140" s="35"/>
    </row>
    <row r="141" spans="1:11" ht="12.75" customHeight="1" x14ac:dyDescent="0.2"/>
    <row r="142" spans="1:11" ht="12.75" customHeight="1" x14ac:dyDescent="0.2">
      <c r="B142" s="16" t="s">
        <v>799</v>
      </c>
      <c r="C142" s="16"/>
    </row>
    <row r="143" spans="1:11" ht="12.75" customHeight="1" x14ac:dyDescent="0.2">
      <c r="B143" s="16" t="s">
        <v>189</v>
      </c>
      <c r="C143" s="16"/>
    </row>
    <row r="144" spans="1:11" ht="12.75" customHeight="1" x14ac:dyDescent="0.2">
      <c r="B144" s="16" t="s">
        <v>190</v>
      </c>
      <c r="C144" s="16"/>
      <c r="F144" s="43"/>
      <c r="G144" s="43"/>
    </row>
    <row r="145" spans="2:3" ht="12.75" customHeight="1" x14ac:dyDescent="0.2">
      <c r="B145" s="53" t="s">
        <v>313</v>
      </c>
      <c r="C145" s="16"/>
    </row>
    <row r="146" spans="2:3" ht="12.75" customHeight="1" x14ac:dyDescent="0.2">
      <c r="B146" s="16"/>
    </row>
    <row r="147" spans="2:3" ht="12.75" customHeight="1" x14ac:dyDescent="0.2"/>
    <row r="148" spans="2:3" ht="12.75" customHeight="1" x14ac:dyDescent="0.2"/>
    <row r="149" spans="2:3" ht="12.75" customHeight="1" x14ac:dyDescent="0.2"/>
    <row r="150" spans="2:3" ht="12.75" customHeight="1" x14ac:dyDescent="0.2"/>
    <row r="151" spans="2:3" ht="12.75" customHeight="1" x14ac:dyDescent="0.2"/>
    <row r="152" spans="2:3" ht="12.75" customHeight="1" x14ac:dyDescent="0.2"/>
    <row r="153" spans="2:3" ht="12.75" customHeight="1" x14ac:dyDescent="0.2"/>
    <row r="154" spans="2:3" ht="12.75" customHeight="1" x14ac:dyDescent="0.2"/>
    <row r="155" spans="2:3" ht="12.75" customHeight="1" x14ac:dyDescent="0.2"/>
    <row r="156" spans="2:3" ht="12.75" customHeight="1" x14ac:dyDescent="0.2"/>
    <row r="157" spans="2:3" ht="12.75" customHeight="1" x14ac:dyDescent="0.2"/>
    <row r="158" spans="2:3" ht="12.75" customHeight="1" x14ac:dyDescent="0.2"/>
    <row r="159" spans="2:3" ht="12.75" customHeight="1" x14ac:dyDescent="0.2"/>
    <row r="160" spans="2:3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</sheetData>
  <sheetProtection password="EDB3" sheet="1" objects="1" scenarios="1"/>
  <sortState ref="J9:K49">
    <sortCondition descending="1" ref="K9:K49"/>
  </sortState>
  <mergeCells count="1">
    <mergeCell ref="B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8" bestFit="1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397</v>
      </c>
      <c r="B1" s="123" t="s">
        <v>175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798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C7" s="16"/>
      <c r="F7" s="13"/>
      <c r="G7" s="14"/>
      <c r="H7" s="15"/>
    </row>
    <row r="8" spans="1:16" ht="12.75" customHeight="1" x14ac:dyDescent="0.2">
      <c r="B8" s="16" t="s">
        <v>732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s="65" t="s">
        <v>769</v>
      </c>
      <c r="C9" t="s">
        <v>711</v>
      </c>
      <c r="D9" t="s">
        <v>164</v>
      </c>
      <c r="E9" s="28">
        <v>5000</v>
      </c>
      <c r="F9" s="13">
        <v>4996.5249999999996</v>
      </c>
      <c r="G9" s="14">
        <f>+ROUND(F9/VLOOKUP("Grand Total",$B$4:$F$273,5,0),4)</f>
        <v>3.9300000000000002E-2</v>
      </c>
      <c r="H9" s="15">
        <v>43105</v>
      </c>
      <c r="J9" s="14" t="s">
        <v>163</v>
      </c>
      <c r="K9" s="48">
        <f t="shared" ref="K9:K15" si="0">SUMIFS($G$5:$G$351,$D$5:$D$351,J9)</f>
        <v>0.37500000000000006</v>
      </c>
    </row>
    <row r="10" spans="1:16" ht="12.75" customHeight="1" x14ac:dyDescent="0.2">
      <c r="A10">
        <f>+MAX($A$7:A9)+1</f>
        <v>2</v>
      </c>
      <c r="B10" s="65" t="s">
        <v>770</v>
      </c>
      <c r="C10" t="s">
        <v>712</v>
      </c>
      <c r="D10" t="s">
        <v>163</v>
      </c>
      <c r="E10" s="28">
        <v>5000</v>
      </c>
      <c r="F10" s="13">
        <v>4955.0450000000001</v>
      </c>
      <c r="G10" s="14">
        <f>+ROUND(F10/VLOOKUP("Grand Total",$B$4:$F$273,5,0),4)</f>
        <v>3.9E-2</v>
      </c>
      <c r="H10" s="15">
        <v>43154</v>
      </c>
      <c r="J10" s="14" t="s">
        <v>295</v>
      </c>
      <c r="K10" s="48">
        <f t="shared" si="0"/>
        <v>0.1729</v>
      </c>
    </row>
    <row r="11" spans="1:16" ht="12.75" customHeight="1" x14ac:dyDescent="0.2">
      <c r="A11">
        <f>+MAX($A$7:A10)+1</f>
        <v>3</v>
      </c>
      <c r="B11" s="65" t="s">
        <v>771</v>
      </c>
      <c r="C11" t="s">
        <v>713</v>
      </c>
      <c r="D11" t="s">
        <v>163</v>
      </c>
      <c r="E11" s="28">
        <v>5000</v>
      </c>
      <c r="F11" s="13">
        <v>4947.7049999999999</v>
      </c>
      <c r="G11" s="14">
        <f>+ROUND(F11/VLOOKUP("Grand Total",$B$4:$F$273,5,0),4)</f>
        <v>3.8899999999999997E-2</v>
      </c>
      <c r="H11" s="15">
        <v>43161</v>
      </c>
      <c r="J11" s="14" t="s">
        <v>413</v>
      </c>
      <c r="K11" s="48">
        <f t="shared" si="0"/>
        <v>7.7799999999999994E-2</v>
      </c>
    </row>
    <row r="12" spans="1:16" ht="12.75" customHeight="1" x14ac:dyDescent="0.2">
      <c r="A12">
        <f>+MAX($A$7:A11)+1</f>
        <v>4</v>
      </c>
      <c r="B12" s="65" t="s">
        <v>194</v>
      </c>
      <c r="C12" t="s">
        <v>714</v>
      </c>
      <c r="D12" t="s">
        <v>332</v>
      </c>
      <c r="E12" s="28">
        <v>2500</v>
      </c>
      <c r="F12" s="13">
        <v>2478.2649999999999</v>
      </c>
      <c r="G12" s="14">
        <f>+ROUND(F12/VLOOKUP("Grand Total",$B$4:$F$273,5,0),4)</f>
        <v>1.95E-2</v>
      </c>
      <c r="H12" s="15">
        <v>43152</v>
      </c>
      <c r="J12" s="14" t="s">
        <v>332</v>
      </c>
      <c r="K12" s="48">
        <f t="shared" si="0"/>
        <v>5.8499999999999996E-2</v>
      </c>
    </row>
    <row r="13" spans="1:16" ht="12.75" customHeight="1" x14ac:dyDescent="0.2">
      <c r="B13" s="18" t="s">
        <v>86</v>
      </c>
      <c r="C13" s="18"/>
      <c r="D13" s="18"/>
      <c r="E13" s="29"/>
      <c r="F13" s="19">
        <f>SUM(F9:F12)</f>
        <v>17377.54</v>
      </c>
      <c r="G13" s="20">
        <f>SUM(G9:G12)</f>
        <v>0.13669999999999999</v>
      </c>
      <c r="H13" s="21"/>
      <c r="I13" s="82"/>
      <c r="J13" s="14" t="s">
        <v>164</v>
      </c>
      <c r="K13" s="48">
        <f t="shared" si="0"/>
        <v>3.9300000000000002E-2</v>
      </c>
    </row>
    <row r="14" spans="1:16" ht="12.75" customHeight="1" x14ac:dyDescent="0.2">
      <c r="B14" s="16"/>
      <c r="C14" s="16"/>
      <c r="F14" s="13"/>
      <c r="G14" s="14"/>
      <c r="H14" s="15"/>
      <c r="J14" s="14" t="s">
        <v>595</v>
      </c>
      <c r="K14" s="48">
        <f t="shared" si="0"/>
        <v>3.0600000000000002E-2</v>
      </c>
    </row>
    <row r="15" spans="1:16" ht="12.75" customHeight="1" x14ac:dyDescent="0.2">
      <c r="B15" s="16" t="s">
        <v>772</v>
      </c>
      <c r="C15" s="16"/>
      <c r="F15" s="13"/>
      <c r="G15" s="14"/>
      <c r="H15" s="15"/>
      <c r="J15" s="14" t="s">
        <v>610</v>
      </c>
      <c r="K15" s="48">
        <f t="shared" si="0"/>
        <v>1.95E-2</v>
      </c>
      <c r="M15" s="14"/>
      <c r="N15" s="36"/>
      <c r="P15" s="14"/>
    </row>
    <row r="16" spans="1:16" ht="12.75" customHeight="1" x14ac:dyDescent="0.2">
      <c r="A16">
        <f>+MAX($A$7:A15)+1</f>
        <v>5</v>
      </c>
      <c r="B16" t="s">
        <v>773</v>
      </c>
      <c r="C16" t="s">
        <v>715</v>
      </c>
      <c r="D16" t="s">
        <v>295</v>
      </c>
      <c r="E16" s="28">
        <v>2000</v>
      </c>
      <c r="F16" s="13">
        <v>9827.44</v>
      </c>
      <c r="G16" s="14">
        <f t="shared" ref="G16:G36" si="1">+ROUND(F16/VLOOKUP("Grand Total",$B$4:$F$273,5,0),4)</f>
        <v>7.7299999999999994E-2</v>
      </c>
      <c r="H16" s="15">
        <v>43186</v>
      </c>
      <c r="J16" s="14" t="s">
        <v>64</v>
      </c>
      <c r="K16" s="48">
        <f>+SUMIFS($G$5:$G$1000,$B$5:$B$1000,"CBLO / Reverse Repo Investments")+SUMIFS($G$5:$G$1000,$B$5:$B$1000,"Net Receivable/Payable")</f>
        <v>0.22639999999999999</v>
      </c>
      <c r="L16" s="54"/>
      <c r="M16" s="14"/>
      <c r="N16" s="36"/>
      <c r="P16" s="14"/>
    </row>
    <row r="17" spans="1:16" ht="12.75" customHeight="1" x14ac:dyDescent="0.2">
      <c r="A17">
        <f>+MAX($A$7:A16)+1</f>
        <v>6</v>
      </c>
      <c r="B17" s="65" t="s">
        <v>593</v>
      </c>
      <c r="C17" t="s">
        <v>640</v>
      </c>
      <c r="D17" t="s">
        <v>163</v>
      </c>
      <c r="E17" s="28">
        <v>1500</v>
      </c>
      <c r="F17" s="13">
        <v>7454.5950000000003</v>
      </c>
      <c r="G17" s="14">
        <f t="shared" si="1"/>
        <v>5.8599999999999999E-2</v>
      </c>
      <c r="H17" s="15">
        <v>43133</v>
      </c>
      <c r="K17" s="48"/>
      <c r="M17" s="14"/>
      <c r="N17" s="36"/>
      <c r="P17" s="14"/>
    </row>
    <row r="18" spans="1:16" ht="12.75" customHeight="1" x14ac:dyDescent="0.2">
      <c r="A18">
        <f>+MAX($A$7:A17)+1</f>
        <v>7</v>
      </c>
      <c r="B18" t="s">
        <v>775</v>
      </c>
      <c r="C18" t="s">
        <v>716</v>
      </c>
      <c r="D18" t="s">
        <v>332</v>
      </c>
      <c r="E18" s="28">
        <v>1000</v>
      </c>
      <c r="F18" s="13">
        <v>4960.7650000000003</v>
      </c>
      <c r="G18" s="14">
        <f t="shared" si="1"/>
        <v>3.9E-2</v>
      </c>
      <c r="H18" s="15">
        <v>43145</v>
      </c>
      <c r="J18" s="14"/>
      <c r="K18" s="48"/>
    </row>
    <row r="19" spans="1:16" ht="12.75" customHeight="1" x14ac:dyDescent="0.2">
      <c r="A19">
        <f>+MAX($A$7:A18)+1</f>
        <v>8</v>
      </c>
      <c r="B19" t="s">
        <v>774</v>
      </c>
      <c r="C19" t="s">
        <v>717</v>
      </c>
      <c r="D19" t="s">
        <v>163</v>
      </c>
      <c r="E19" s="28">
        <v>1000</v>
      </c>
      <c r="F19" s="13">
        <v>4949.6049999999996</v>
      </c>
      <c r="G19" s="14">
        <f t="shared" si="1"/>
        <v>3.8899999999999997E-2</v>
      </c>
      <c r="H19" s="15">
        <v>43160</v>
      </c>
    </row>
    <row r="20" spans="1:16" ht="12.75" customHeight="1" x14ac:dyDescent="0.2">
      <c r="A20">
        <f>+MAX($A$7:A19)+1</f>
        <v>9</v>
      </c>
      <c r="B20" t="s">
        <v>776</v>
      </c>
      <c r="C20" t="s">
        <v>718</v>
      </c>
      <c r="D20" t="s">
        <v>295</v>
      </c>
      <c r="E20" s="28">
        <v>1000</v>
      </c>
      <c r="F20" s="13">
        <v>4944.3950000000004</v>
      </c>
      <c r="G20" s="14">
        <f t="shared" si="1"/>
        <v>3.8899999999999997E-2</v>
      </c>
      <c r="H20" s="15">
        <v>43154</v>
      </c>
    </row>
    <row r="21" spans="1:16" ht="12.75" customHeight="1" x14ac:dyDescent="0.2">
      <c r="A21">
        <f>+MAX($A$7:A20)+1</f>
        <v>10</v>
      </c>
      <c r="B21" t="s">
        <v>777</v>
      </c>
      <c r="C21" t="s">
        <v>719</v>
      </c>
      <c r="D21" t="s">
        <v>163</v>
      </c>
      <c r="E21" s="28">
        <v>1000</v>
      </c>
      <c r="F21" s="13">
        <v>4939.51</v>
      </c>
      <c r="G21" s="14">
        <f t="shared" si="1"/>
        <v>3.8899999999999997E-2</v>
      </c>
      <c r="H21" s="15">
        <v>43164</v>
      </c>
    </row>
    <row r="22" spans="1:16" ht="12.75" customHeight="1" x14ac:dyDescent="0.2">
      <c r="A22">
        <f>+MAX($A$7:A21)+1</f>
        <v>11</v>
      </c>
      <c r="B22" t="s">
        <v>778</v>
      </c>
      <c r="C22" t="s">
        <v>720</v>
      </c>
      <c r="D22" t="s">
        <v>163</v>
      </c>
      <c r="E22" s="28">
        <v>1000</v>
      </c>
      <c r="F22" s="13">
        <v>4938.625</v>
      </c>
      <c r="G22" s="14">
        <f t="shared" si="1"/>
        <v>3.8899999999999997E-2</v>
      </c>
      <c r="H22" s="15">
        <v>43173</v>
      </c>
    </row>
    <row r="23" spans="1:16" ht="12.75" customHeight="1" x14ac:dyDescent="0.2">
      <c r="A23">
        <f>+MAX($A$7:A22)+1</f>
        <v>12</v>
      </c>
      <c r="B23" t="s">
        <v>779</v>
      </c>
      <c r="C23" t="s">
        <v>662</v>
      </c>
      <c r="D23" t="s">
        <v>163</v>
      </c>
      <c r="E23" s="28">
        <v>840</v>
      </c>
      <c r="F23" s="13">
        <v>4176.7781999999997</v>
      </c>
      <c r="G23" s="14">
        <f t="shared" si="1"/>
        <v>3.2899999999999999E-2</v>
      </c>
      <c r="H23" s="15">
        <v>43129</v>
      </c>
      <c r="J23" s="14"/>
      <c r="K23" s="48"/>
    </row>
    <row r="24" spans="1:16" ht="12.75" customHeight="1" x14ac:dyDescent="0.2">
      <c r="A24">
        <f>+MAX($A$7:A23)+1</f>
        <v>13</v>
      </c>
      <c r="B24" t="s">
        <v>780</v>
      </c>
      <c r="C24" t="s">
        <v>659</v>
      </c>
      <c r="D24" t="s">
        <v>163</v>
      </c>
      <c r="E24" s="28">
        <v>760</v>
      </c>
      <c r="F24" s="13">
        <v>3778.4767999999999</v>
      </c>
      <c r="G24" s="14">
        <f t="shared" si="1"/>
        <v>2.9700000000000001E-2</v>
      </c>
      <c r="H24" s="15">
        <v>43129</v>
      </c>
      <c r="J24" s="14"/>
      <c r="K24" s="48"/>
    </row>
    <row r="25" spans="1:16" ht="12.75" customHeight="1" x14ac:dyDescent="0.2">
      <c r="A25">
        <f>+MAX($A$7:A24)+1</f>
        <v>14</v>
      </c>
      <c r="B25" t="s">
        <v>781</v>
      </c>
      <c r="C25" t="s">
        <v>721</v>
      </c>
      <c r="D25" t="s">
        <v>163</v>
      </c>
      <c r="E25" s="28">
        <v>500</v>
      </c>
      <c r="F25" s="13">
        <v>2486.9250000000002</v>
      </c>
      <c r="G25" s="14">
        <f t="shared" si="1"/>
        <v>1.9599999999999999E-2</v>
      </c>
      <c r="H25" s="15">
        <v>43130</v>
      </c>
      <c r="J25" s="14"/>
      <c r="K25" s="48"/>
    </row>
    <row r="26" spans="1:16" ht="12.75" customHeight="1" x14ac:dyDescent="0.2">
      <c r="A26">
        <f>+MAX($A$7:A25)+1</f>
        <v>15</v>
      </c>
      <c r="B26" t="s">
        <v>781</v>
      </c>
      <c r="C26" t="s">
        <v>722</v>
      </c>
      <c r="D26" t="s">
        <v>163</v>
      </c>
      <c r="E26" s="28">
        <v>500</v>
      </c>
      <c r="F26" s="13">
        <v>2476.3449999999998</v>
      </c>
      <c r="G26" s="14">
        <f t="shared" si="1"/>
        <v>1.95E-2</v>
      </c>
      <c r="H26" s="15">
        <v>43153</v>
      </c>
      <c r="J26" s="14"/>
      <c r="K26" s="48"/>
    </row>
    <row r="27" spans="1:16" ht="12.75" customHeight="1" x14ac:dyDescent="0.2">
      <c r="A27">
        <f>+MAX($A$7:A26)+1</f>
        <v>16</v>
      </c>
      <c r="B27" t="s">
        <v>782</v>
      </c>
      <c r="C27" t="s">
        <v>634</v>
      </c>
      <c r="D27" t="s">
        <v>610</v>
      </c>
      <c r="E27" s="28">
        <v>500</v>
      </c>
      <c r="F27" s="13">
        <v>2474.9050000000002</v>
      </c>
      <c r="G27" s="14">
        <f t="shared" si="1"/>
        <v>1.95E-2</v>
      </c>
      <c r="H27" s="15">
        <v>43152</v>
      </c>
      <c r="J27" s="14"/>
    </row>
    <row r="28" spans="1:16" ht="12.75" customHeight="1" x14ac:dyDescent="0.2">
      <c r="A28">
        <f>+MAX($A$7:A27)+1</f>
        <v>17</v>
      </c>
      <c r="B28" t="s">
        <v>783</v>
      </c>
      <c r="C28" t="s">
        <v>723</v>
      </c>
      <c r="D28" t="s">
        <v>295</v>
      </c>
      <c r="E28" s="28">
        <v>500</v>
      </c>
      <c r="F28" s="13">
        <v>2471.0700000000002</v>
      </c>
      <c r="G28" s="14">
        <f t="shared" si="1"/>
        <v>1.9400000000000001E-2</v>
      </c>
      <c r="H28" s="15">
        <v>43158</v>
      </c>
      <c r="J28" s="14"/>
    </row>
    <row r="29" spans="1:16" ht="12.75" customHeight="1" x14ac:dyDescent="0.2">
      <c r="A29">
        <f>+MAX($A$7:A28)+1</f>
        <v>18</v>
      </c>
      <c r="B29" t="s">
        <v>784</v>
      </c>
      <c r="C29" t="s">
        <v>724</v>
      </c>
      <c r="D29" t="s">
        <v>295</v>
      </c>
      <c r="E29" s="28">
        <v>500</v>
      </c>
      <c r="F29" s="13">
        <v>2465.3074999999999</v>
      </c>
      <c r="G29" s="14">
        <f t="shared" si="1"/>
        <v>1.9400000000000001E-2</v>
      </c>
      <c r="H29" s="15">
        <v>43179</v>
      </c>
      <c r="J29" s="14"/>
    </row>
    <row r="30" spans="1:16" ht="12.75" customHeight="1" x14ac:dyDescent="0.2">
      <c r="A30">
        <f>+MAX($A$7:A29)+1</f>
        <v>19</v>
      </c>
      <c r="B30" t="s">
        <v>785</v>
      </c>
      <c r="C30" t="s">
        <v>682</v>
      </c>
      <c r="D30" t="s">
        <v>595</v>
      </c>
      <c r="E30" s="28">
        <v>400</v>
      </c>
      <c r="F30" s="13">
        <v>1968.0619999999999</v>
      </c>
      <c r="G30" s="14">
        <f t="shared" si="1"/>
        <v>1.55E-2</v>
      </c>
      <c r="H30" s="15">
        <v>43158</v>
      </c>
      <c r="J30" s="14"/>
    </row>
    <row r="31" spans="1:16" ht="12.75" customHeight="1" x14ac:dyDescent="0.2">
      <c r="A31">
        <f>+MAX($A$7:A30)+1</f>
        <v>20</v>
      </c>
      <c r="B31" t="s">
        <v>785</v>
      </c>
      <c r="C31" t="s">
        <v>642</v>
      </c>
      <c r="D31" t="s">
        <v>595</v>
      </c>
      <c r="E31" s="28">
        <v>386</v>
      </c>
      <c r="F31" s="13">
        <v>1914.7182600000001</v>
      </c>
      <c r="G31" s="14">
        <f t="shared" si="1"/>
        <v>1.5100000000000001E-2</v>
      </c>
      <c r="H31" s="15">
        <v>43129</v>
      </c>
      <c r="J31" s="14"/>
    </row>
    <row r="32" spans="1:16" ht="12.75" customHeight="1" x14ac:dyDescent="0.2">
      <c r="A32">
        <f>+MAX($A$7:A31)+1</f>
        <v>21</v>
      </c>
      <c r="B32" t="s">
        <v>786</v>
      </c>
      <c r="C32" t="s">
        <v>644</v>
      </c>
      <c r="D32" t="s">
        <v>163</v>
      </c>
      <c r="E32" s="28">
        <v>382</v>
      </c>
      <c r="F32" s="13">
        <v>1898.8799799999999</v>
      </c>
      <c r="G32" s="14">
        <f t="shared" si="1"/>
        <v>1.49E-2</v>
      </c>
      <c r="H32" s="15">
        <v>43129</v>
      </c>
      <c r="J32" s="14"/>
    </row>
    <row r="33" spans="1:10" ht="12.75" customHeight="1" x14ac:dyDescent="0.2">
      <c r="A33">
        <f>+MAX($A$7:A32)+1</f>
        <v>22</v>
      </c>
      <c r="B33" t="s">
        <v>776</v>
      </c>
      <c r="C33" t="s">
        <v>706</v>
      </c>
      <c r="D33" t="s">
        <v>295</v>
      </c>
      <c r="E33" s="28">
        <v>260</v>
      </c>
      <c r="F33" s="13">
        <v>1288.001</v>
      </c>
      <c r="G33" s="14">
        <f t="shared" si="1"/>
        <v>1.01E-2</v>
      </c>
      <c r="H33" s="15">
        <v>43145</v>
      </c>
      <c r="J33" s="14"/>
    </row>
    <row r="34" spans="1:10" ht="12.75" customHeight="1" x14ac:dyDescent="0.2">
      <c r="A34">
        <f>+MAX($A$7:A33)+1</f>
        <v>23</v>
      </c>
      <c r="B34" t="s">
        <v>787</v>
      </c>
      <c r="C34" t="s">
        <v>725</v>
      </c>
      <c r="D34" t="s">
        <v>295</v>
      </c>
      <c r="E34" s="28">
        <v>200</v>
      </c>
      <c r="F34" s="13">
        <v>993.05200000000002</v>
      </c>
      <c r="G34" s="14">
        <f t="shared" si="1"/>
        <v>7.7999999999999996E-3</v>
      </c>
      <c r="H34" s="15">
        <v>43136</v>
      </c>
      <c r="J34" s="14"/>
    </row>
    <row r="35" spans="1:10" ht="12.75" customHeight="1" x14ac:dyDescent="0.2">
      <c r="A35">
        <f>+MAX($A$7:A34)+1</f>
        <v>24</v>
      </c>
      <c r="B35" t="s">
        <v>777</v>
      </c>
      <c r="C35" t="s">
        <v>726</v>
      </c>
      <c r="D35" t="s">
        <v>163</v>
      </c>
      <c r="E35" s="28">
        <v>100</v>
      </c>
      <c r="F35" s="13">
        <v>496.13150000000002</v>
      </c>
      <c r="G35" s="14">
        <f t="shared" si="1"/>
        <v>3.8999999999999998E-3</v>
      </c>
      <c r="H35" s="15">
        <v>43140</v>
      </c>
      <c r="J35" s="14"/>
    </row>
    <row r="36" spans="1:10" ht="12.75" customHeight="1" x14ac:dyDescent="0.2">
      <c r="A36">
        <f>+MAX($A$7:A35)+1</f>
        <v>25</v>
      </c>
      <c r="B36" t="s">
        <v>780</v>
      </c>
      <c r="C36" t="s">
        <v>727</v>
      </c>
      <c r="D36" t="s">
        <v>163</v>
      </c>
      <c r="E36" s="28">
        <v>32</v>
      </c>
      <c r="F36" s="13">
        <v>158.96592000000001</v>
      </c>
      <c r="G36" s="14">
        <f t="shared" si="1"/>
        <v>1.2999999999999999E-3</v>
      </c>
      <c r="H36" s="15">
        <v>43132</v>
      </c>
      <c r="J36" s="14"/>
    </row>
    <row r="37" spans="1:10" ht="12.75" customHeight="1" x14ac:dyDescent="0.2">
      <c r="B37" s="18" t="s">
        <v>86</v>
      </c>
      <c r="C37" s="18"/>
      <c r="D37" s="18"/>
      <c r="E37" s="29"/>
      <c r="F37" s="19">
        <f>SUM(F16:F36)</f>
        <v>71062.553159999996</v>
      </c>
      <c r="G37" s="20">
        <f>SUM(G16:G36)</f>
        <v>0.55909999999999993</v>
      </c>
      <c r="H37" s="21"/>
    </row>
    <row r="38" spans="1:10" ht="12.75" customHeight="1" x14ac:dyDescent="0.2">
      <c r="F38" s="13"/>
      <c r="G38" s="14"/>
      <c r="H38" s="15"/>
    </row>
    <row r="39" spans="1:10" ht="12.75" customHeight="1" x14ac:dyDescent="0.2">
      <c r="B39" s="16" t="s">
        <v>170</v>
      </c>
      <c r="C39" s="16"/>
      <c r="F39" s="13"/>
      <c r="G39" s="14"/>
      <c r="H39" s="15"/>
    </row>
    <row r="40" spans="1:10" ht="12.75" customHeight="1" x14ac:dyDescent="0.2">
      <c r="A40">
        <f>+MAX($A$7:A39)+1</f>
        <v>26</v>
      </c>
      <c r="B40" s="1" t="s">
        <v>613</v>
      </c>
      <c r="C40" t="s">
        <v>728</v>
      </c>
      <c r="D40" t="s">
        <v>413</v>
      </c>
      <c r="E40" s="28">
        <v>8000000</v>
      </c>
      <c r="F40" s="13">
        <v>7903.1040000000003</v>
      </c>
      <c r="G40" s="14">
        <f>+ROUND(F40/VLOOKUP("Grand Total",$B$4:$F$273,5,0),4)</f>
        <v>6.2199999999999998E-2</v>
      </c>
      <c r="H40" s="15">
        <v>43174</v>
      </c>
    </row>
    <row r="41" spans="1:10" ht="12.75" customHeight="1" x14ac:dyDescent="0.2">
      <c r="A41">
        <f>+MAX($A$7:A40)+1</f>
        <v>27</v>
      </c>
      <c r="B41" s="1" t="s">
        <v>613</v>
      </c>
      <c r="C41" t="s">
        <v>729</v>
      </c>
      <c r="D41" t="s">
        <v>413</v>
      </c>
      <c r="E41" s="28">
        <v>2001100</v>
      </c>
      <c r="F41" s="13">
        <v>1979.1619406999998</v>
      </c>
      <c r="G41" s="14">
        <f>+ROUND(F41/VLOOKUP("Grand Total",$B$4:$F$273,5,0),4)</f>
        <v>1.5599999999999999E-2</v>
      </c>
      <c r="H41" s="15">
        <v>43167</v>
      </c>
    </row>
    <row r="42" spans="1:10" ht="12.75" customHeight="1" x14ac:dyDescent="0.2">
      <c r="B42" s="18" t="s">
        <v>86</v>
      </c>
      <c r="C42" s="18"/>
      <c r="D42" s="18"/>
      <c r="E42" s="29"/>
      <c r="F42" s="19">
        <f>SUM(F40:F41)</f>
        <v>9882.2659406999992</v>
      </c>
      <c r="G42" s="20">
        <f>SUM(G40:G41)</f>
        <v>7.7799999999999994E-2</v>
      </c>
      <c r="H42" s="21"/>
      <c r="I42" s="82"/>
    </row>
    <row r="43" spans="1:10" ht="12.75" customHeight="1" x14ac:dyDescent="0.2">
      <c r="F43" s="13"/>
      <c r="G43" s="14"/>
      <c r="H43" s="15"/>
    </row>
    <row r="44" spans="1:10" ht="12.75" customHeight="1" x14ac:dyDescent="0.2">
      <c r="A44" s="95" t="s">
        <v>380</v>
      </c>
      <c r="B44" s="16" t="s">
        <v>94</v>
      </c>
      <c r="C44" s="16"/>
      <c r="F44" s="13">
        <v>31710.642199999998</v>
      </c>
      <c r="G44" s="14">
        <f>+ROUND(F44/VLOOKUP("Grand Total",$B$4:$F$273,5,0),4)</f>
        <v>0.2495</v>
      </c>
      <c r="H44" s="15">
        <v>43101</v>
      </c>
    </row>
    <row r="45" spans="1:10" ht="12.75" customHeight="1" x14ac:dyDescent="0.2">
      <c r="B45" s="18" t="s">
        <v>86</v>
      </c>
      <c r="C45" s="18"/>
      <c r="D45" s="18"/>
      <c r="E45" s="29"/>
      <c r="F45" s="19">
        <f>SUM(F44)</f>
        <v>31710.642199999998</v>
      </c>
      <c r="G45" s="20">
        <f>SUM(G44)</f>
        <v>0.2495</v>
      </c>
      <c r="H45" s="21"/>
      <c r="I45" s="82"/>
    </row>
    <row r="46" spans="1:10" ht="12.75" customHeight="1" x14ac:dyDescent="0.2">
      <c r="F46" s="13"/>
      <c r="G46" s="14"/>
      <c r="H46" s="15"/>
    </row>
    <row r="47" spans="1:10" ht="12.75" customHeight="1" x14ac:dyDescent="0.2">
      <c r="B47" s="16" t="s">
        <v>95</v>
      </c>
      <c r="C47" s="16"/>
      <c r="F47" s="13"/>
      <c r="G47" s="14"/>
      <c r="H47" s="15"/>
    </row>
    <row r="48" spans="1:10" ht="12.75" customHeight="1" x14ac:dyDescent="0.2">
      <c r="B48" s="16" t="s">
        <v>96</v>
      </c>
      <c r="C48" s="16"/>
      <c r="F48" s="13">
        <v>-2926.5011836000049</v>
      </c>
      <c r="G48" s="14">
        <f>+ROUND(F48/VLOOKUP("Grand Total",$B$4:$F$273,5,0),4)-0.01%</f>
        <v>-2.3099999999999999E-2</v>
      </c>
      <c r="H48" s="15"/>
    </row>
    <row r="49" spans="2:9" ht="12.75" customHeight="1" x14ac:dyDescent="0.2">
      <c r="B49" s="18" t="s">
        <v>86</v>
      </c>
      <c r="C49" s="18"/>
      <c r="D49" s="18"/>
      <c r="E49" s="29"/>
      <c r="F49" s="19">
        <f>SUM(F48:F48)</f>
        <v>-2926.5011836000049</v>
      </c>
      <c r="G49" s="20">
        <f>SUM(G48:G48)</f>
        <v>-2.3099999999999999E-2</v>
      </c>
      <c r="H49" s="21"/>
      <c r="I49" s="82"/>
    </row>
    <row r="50" spans="2:9" ht="12.75" customHeight="1" x14ac:dyDescent="0.2">
      <c r="B50" s="22" t="s">
        <v>97</v>
      </c>
      <c r="C50" s="22"/>
      <c r="D50" s="22"/>
      <c r="E50" s="30"/>
      <c r="F50" s="23">
        <f>+SUMIF($B$5:B49,"Total",$F$5:F49)</f>
        <v>127106.50011709999</v>
      </c>
      <c r="G50" s="24">
        <f>+SUMIF($B$5:B49,"Total",$G$5:G49)</f>
        <v>0.99999999999999989</v>
      </c>
      <c r="H50" s="25"/>
      <c r="I50" s="82"/>
    </row>
    <row r="51" spans="2:9" ht="12.75" customHeight="1" x14ac:dyDescent="0.2"/>
    <row r="52" spans="2:9" ht="12.75" customHeight="1" x14ac:dyDescent="0.2">
      <c r="B52" s="16" t="s">
        <v>799</v>
      </c>
      <c r="C52" s="16"/>
    </row>
    <row r="53" spans="2:9" ht="12.75" customHeight="1" x14ac:dyDescent="0.2">
      <c r="B53" s="16" t="s">
        <v>189</v>
      </c>
      <c r="C53" s="16"/>
    </row>
    <row r="54" spans="2:9" ht="12.75" customHeight="1" x14ac:dyDescent="0.2">
      <c r="B54" s="16" t="s">
        <v>789</v>
      </c>
      <c r="C54" s="16"/>
    </row>
    <row r="55" spans="2:9" ht="12.75" customHeight="1" x14ac:dyDescent="0.2">
      <c r="B55" s="16"/>
      <c r="C55" s="16"/>
      <c r="F55" s="43"/>
      <c r="G55" s="43"/>
    </row>
    <row r="56" spans="2:9" ht="12.75" customHeight="1" x14ac:dyDescent="0.2"/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</sheetData>
  <sheetProtection password="EDB3" sheet="1" objects="1" scenarios="1"/>
  <sortState ref="J8:K15">
    <sortCondition descending="1" ref="K10:K17"/>
  </sortState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/>
  </sheetViews>
  <sheetFormatPr defaultColWidth="9.140625" defaultRowHeight="12.75" x14ac:dyDescent="0.2"/>
  <cols>
    <col min="1" max="1" width="6.42578125" style="65" bestFit="1" customWidth="1"/>
    <col min="2" max="2" width="52.42578125" style="65" customWidth="1"/>
    <col min="3" max="3" width="14" style="65" bestFit="1" customWidth="1"/>
    <col min="4" max="4" width="14.85546875" style="65" bestFit="1" customWidth="1"/>
    <col min="5" max="5" width="11" style="85" customWidth="1"/>
    <col min="6" max="6" width="22.7109375" style="65" bestFit="1" customWidth="1"/>
    <col min="7" max="7" width="14" style="65" bestFit="1" customWidth="1"/>
    <col min="8" max="8" width="11.85546875" style="65" bestFit="1" customWidth="1"/>
    <col min="9" max="9" width="15" style="99" customWidth="1"/>
    <col min="10" max="10" width="16.28515625" style="65" bestFit="1" customWidth="1"/>
    <col min="11" max="11" width="8" style="84" customWidth="1"/>
    <col min="12" max="16384" width="9.140625" style="65"/>
  </cols>
  <sheetData>
    <row r="1" spans="1:16" ht="18.75" x14ac:dyDescent="0.2">
      <c r="A1" s="109" t="s">
        <v>398</v>
      </c>
      <c r="B1" s="123" t="s">
        <v>489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110"/>
      <c r="D2" s="111"/>
      <c r="E2" s="112"/>
      <c r="F2" s="113"/>
      <c r="G2" s="114"/>
      <c r="H2" s="114"/>
    </row>
    <row r="3" spans="1:16" ht="15.75" customHeight="1" x14ac:dyDescent="0.2">
      <c r="A3" s="115"/>
      <c r="B3" s="116"/>
      <c r="C3" s="116"/>
      <c r="D3" s="117"/>
      <c r="E3" s="112"/>
      <c r="F3" s="113"/>
      <c r="G3" s="114"/>
      <c r="H3" s="114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118"/>
    </row>
    <row r="5" spans="1:16" ht="12.75" customHeight="1" x14ac:dyDescent="0.2">
      <c r="F5" s="86"/>
      <c r="G5" s="90"/>
      <c r="H5" s="89"/>
    </row>
    <row r="6" spans="1:16" ht="12.75" customHeight="1" x14ac:dyDescent="0.2">
      <c r="F6" s="86"/>
      <c r="G6" s="90"/>
      <c r="H6" s="89"/>
    </row>
    <row r="7" spans="1:16" ht="12.75" customHeight="1" x14ac:dyDescent="0.2">
      <c r="B7" s="16" t="s">
        <v>92</v>
      </c>
      <c r="C7" s="16"/>
      <c r="F7" s="86"/>
      <c r="G7" s="90"/>
      <c r="H7" s="89"/>
    </row>
    <row r="8" spans="1:16" ht="12.75" customHeight="1" x14ac:dyDescent="0.2">
      <c r="B8" s="16" t="s">
        <v>732</v>
      </c>
      <c r="F8" s="86"/>
      <c r="G8" s="90"/>
      <c r="H8" s="89"/>
      <c r="J8" s="17" t="s">
        <v>4</v>
      </c>
      <c r="K8" s="37" t="s">
        <v>12</v>
      </c>
    </row>
    <row r="9" spans="1:16" ht="12.75" customHeight="1" x14ac:dyDescent="0.2">
      <c r="A9" s="65">
        <f>+MAX($A$7:A8)+1</f>
        <v>1</v>
      </c>
      <c r="B9" s="65" t="s">
        <v>197</v>
      </c>
      <c r="C9" s="65" t="s">
        <v>591</v>
      </c>
      <c r="D9" s="65" t="s">
        <v>295</v>
      </c>
      <c r="E9" s="85">
        <v>160</v>
      </c>
      <c r="F9" s="86">
        <v>155.16032000000001</v>
      </c>
      <c r="G9" s="90">
        <f>+ROUND(F9/VLOOKUP("Grand Total",$B$4:$F$295,5,0),4)</f>
        <v>2.7099999999999999E-2</v>
      </c>
      <c r="H9" s="89">
        <v>43264</v>
      </c>
      <c r="J9" s="90" t="s">
        <v>295</v>
      </c>
      <c r="K9" s="103">
        <f>SUMIFS($G$5:$G$315,$D$5:$D$315,J9)</f>
        <v>0.35</v>
      </c>
    </row>
    <row r="10" spans="1:16" ht="12.75" customHeight="1" x14ac:dyDescent="0.2">
      <c r="B10" s="18" t="s">
        <v>86</v>
      </c>
      <c r="C10" s="18"/>
      <c r="D10" s="18"/>
      <c r="E10" s="29"/>
      <c r="F10" s="19">
        <f>SUM(F9:F9)</f>
        <v>155.16032000000001</v>
      </c>
      <c r="G10" s="20">
        <f>SUM(G9:G9)</f>
        <v>2.7099999999999999E-2</v>
      </c>
      <c r="H10" s="21"/>
      <c r="I10" s="82"/>
      <c r="J10" s="65" t="s">
        <v>163</v>
      </c>
      <c r="K10" s="103">
        <f>SUMIFS($G$5:$G$315,$D$5:$D$315,J10)</f>
        <v>0.2949</v>
      </c>
    </row>
    <row r="11" spans="1:16" ht="12.75" customHeight="1" x14ac:dyDescent="0.2">
      <c r="B11" s="16"/>
      <c r="C11" s="16"/>
      <c r="F11" s="86"/>
      <c r="G11" s="90"/>
      <c r="H11" s="89"/>
      <c r="J11" s="14" t="s">
        <v>610</v>
      </c>
      <c r="K11" s="103">
        <f>SUMIFS($G$5:$G$315,$D$5:$D$315,J11)</f>
        <v>0.14599999999999999</v>
      </c>
      <c r="L11" s="84"/>
      <c r="M11" s="90"/>
    </row>
    <row r="12" spans="1:16" ht="12.75" customHeight="1" x14ac:dyDescent="0.2">
      <c r="B12" s="16" t="s">
        <v>312</v>
      </c>
      <c r="C12" s="16"/>
      <c r="F12" s="86"/>
      <c r="G12" s="90"/>
      <c r="H12" s="89"/>
      <c r="J12" s="14" t="s">
        <v>595</v>
      </c>
      <c r="K12" s="103">
        <f>SUMIFS($G$5:$G$315,$D$5:$D$315,J12)</f>
        <v>8.5900000000000004E-2</v>
      </c>
      <c r="L12" s="84"/>
      <c r="M12" s="90"/>
    </row>
    <row r="13" spans="1:16" ht="12.75" customHeight="1" x14ac:dyDescent="0.2">
      <c r="A13" s="65">
        <f>+MAX($A$7:A12)+1</f>
        <v>2</v>
      </c>
      <c r="B13" s="65" t="s">
        <v>467</v>
      </c>
      <c r="C13" s="65" t="s">
        <v>659</v>
      </c>
      <c r="D13" s="65" t="s">
        <v>163</v>
      </c>
      <c r="E13" s="119">
        <v>140</v>
      </c>
      <c r="F13" s="91">
        <v>695.75170000000003</v>
      </c>
      <c r="G13" s="90">
        <f t="shared" ref="G13:G22" si="0">+ROUND(F13/VLOOKUP("Grand Total",$B$4:$F$295,5,0),4)</f>
        <v>0.1216</v>
      </c>
      <c r="H13" s="89">
        <v>43129</v>
      </c>
      <c r="J13" s="90" t="s">
        <v>413</v>
      </c>
      <c r="K13" s="103">
        <f>SUMIFS($G$5:$G$315,$D$5:$D$315,J13)</f>
        <v>5.1999999999999998E-3</v>
      </c>
      <c r="L13" s="84"/>
      <c r="M13" s="90"/>
    </row>
    <row r="14" spans="1:16" ht="12.75" customHeight="1" x14ac:dyDescent="0.2">
      <c r="A14" s="65">
        <f>+MAX($A$7:A13)+1</f>
        <v>3</v>
      </c>
      <c r="B14" s="120" t="s">
        <v>205</v>
      </c>
      <c r="C14" s="65" t="s">
        <v>561</v>
      </c>
      <c r="D14" s="65" t="s">
        <v>295</v>
      </c>
      <c r="E14" s="119">
        <v>140</v>
      </c>
      <c r="F14" s="91">
        <v>675.36350000000004</v>
      </c>
      <c r="G14" s="90">
        <f t="shared" si="0"/>
        <v>0.11799999999999999</v>
      </c>
      <c r="H14" s="89">
        <v>43269</v>
      </c>
      <c r="J14" s="14" t="s">
        <v>64</v>
      </c>
      <c r="K14" s="48">
        <f>+SUMIFS($G$5:$G$1000,$B$5:$B$1000,"CBLO / Reverse Repo Investments")+SUMIFS($G$5:$G$1000,$B$5:$B$1000,"Net Receivable/Payable")</f>
        <v>0.11799999999999999</v>
      </c>
      <c r="L14" s="78"/>
      <c r="M14" s="90"/>
      <c r="N14" s="84"/>
      <c r="P14" s="90"/>
    </row>
    <row r="15" spans="1:16" ht="12.75" customHeight="1" x14ac:dyDescent="0.2">
      <c r="A15" s="65">
        <f>+MAX($A$7:A14)+1</f>
        <v>4</v>
      </c>
      <c r="B15" s="120" t="s">
        <v>532</v>
      </c>
      <c r="C15" s="65" t="s">
        <v>706</v>
      </c>
      <c r="D15" s="65" t="s">
        <v>295</v>
      </c>
      <c r="E15" s="119">
        <v>120</v>
      </c>
      <c r="F15" s="91">
        <v>594.21</v>
      </c>
      <c r="G15" s="90">
        <f t="shared" si="0"/>
        <v>0.1038</v>
      </c>
      <c r="H15" s="89">
        <v>43145</v>
      </c>
      <c r="J15" s="90"/>
      <c r="L15" s="78"/>
      <c r="M15" s="90"/>
      <c r="N15" s="84"/>
      <c r="P15" s="90"/>
    </row>
    <row r="16" spans="1:16" ht="12.75" customHeight="1" x14ac:dyDescent="0.2">
      <c r="A16" s="65">
        <f>+MAX($A$7:A15)+1</f>
        <v>5</v>
      </c>
      <c r="B16" s="120" t="s">
        <v>611</v>
      </c>
      <c r="C16" s="65" t="s">
        <v>612</v>
      </c>
      <c r="D16" s="65" t="s">
        <v>295</v>
      </c>
      <c r="E16" s="119">
        <v>120</v>
      </c>
      <c r="F16" s="91">
        <v>578.54280000000006</v>
      </c>
      <c r="G16" s="90">
        <f t="shared" si="0"/>
        <v>0.1011</v>
      </c>
      <c r="H16" s="89">
        <v>43265</v>
      </c>
      <c r="L16" s="78"/>
      <c r="M16" s="90"/>
      <c r="N16" s="84"/>
      <c r="P16" s="90"/>
    </row>
    <row r="17" spans="1:16" ht="12.75" customHeight="1" x14ac:dyDescent="0.2">
      <c r="A17" s="65">
        <f>+MAX($A$7:A16)+1</f>
        <v>6</v>
      </c>
      <c r="B17" s="120" t="s">
        <v>296</v>
      </c>
      <c r="C17" s="65" t="s">
        <v>590</v>
      </c>
      <c r="D17" s="65" t="s">
        <v>610</v>
      </c>
      <c r="E17" s="119">
        <v>118</v>
      </c>
      <c r="F17" s="91">
        <v>557.14643999999998</v>
      </c>
      <c r="G17" s="90">
        <f t="shared" si="0"/>
        <v>9.74E-2</v>
      </c>
      <c r="H17" s="89">
        <v>43350</v>
      </c>
      <c r="L17" s="78"/>
      <c r="M17" s="90"/>
      <c r="N17" s="84"/>
      <c r="P17" s="90"/>
    </row>
    <row r="18" spans="1:16" ht="12.75" customHeight="1" x14ac:dyDescent="0.2">
      <c r="A18" s="65">
        <f>+MAX($A$7:A17)+1</f>
        <v>7</v>
      </c>
      <c r="B18" s="120" t="s">
        <v>594</v>
      </c>
      <c r="C18" s="65" t="s">
        <v>682</v>
      </c>
      <c r="D18" s="65" t="s">
        <v>595</v>
      </c>
      <c r="E18" s="119">
        <v>100</v>
      </c>
      <c r="F18" s="91">
        <v>491.7355</v>
      </c>
      <c r="G18" s="90">
        <f t="shared" si="0"/>
        <v>8.5900000000000004E-2</v>
      </c>
      <c r="H18" s="89">
        <v>43158</v>
      </c>
      <c r="L18" s="78"/>
      <c r="M18" s="90"/>
      <c r="N18" s="84"/>
      <c r="P18" s="90"/>
    </row>
    <row r="19" spans="1:16" ht="12.75" customHeight="1" x14ac:dyDescent="0.2">
      <c r="A19" s="65">
        <f>+MAX($A$7:A18)+1</f>
        <v>8</v>
      </c>
      <c r="B19" s="120" t="s">
        <v>355</v>
      </c>
      <c r="C19" s="65" t="s">
        <v>562</v>
      </c>
      <c r="D19" s="65" t="s">
        <v>163</v>
      </c>
      <c r="E19" s="119">
        <v>82</v>
      </c>
      <c r="F19" s="91">
        <v>395.43761999999998</v>
      </c>
      <c r="G19" s="90">
        <f t="shared" si="0"/>
        <v>6.9099999999999995E-2</v>
      </c>
      <c r="H19" s="89">
        <v>43273</v>
      </c>
      <c r="L19" s="78"/>
      <c r="M19" s="90"/>
      <c r="N19" s="84"/>
      <c r="P19" s="90"/>
    </row>
    <row r="20" spans="1:16" ht="12.75" customHeight="1" x14ac:dyDescent="0.2">
      <c r="A20" s="65">
        <f>+MAX($A$7:A19)+1</f>
        <v>9</v>
      </c>
      <c r="B20" s="120" t="s">
        <v>415</v>
      </c>
      <c r="C20" s="65" t="s">
        <v>662</v>
      </c>
      <c r="D20" s="65" t="s">
        <v>163</v>
      </c>
      <c r="E20" s="119">
        <v>60</v>
      </c>
      <c r="F20" s="91">
        <v>298.22280000000001</v>
      </c>
      <c r="G20" s="90">
        <f t="shared" si="0"/>
        <v>5.21E-2</v>
      </c>
      <c r="H20" s="89">
        <v>43129</v>
      </c>
      <c r="L20" s="78"/>
      <c r="M20" s="90"/>
      <c r="N20" s="84"/>
      <c r="P20" s="90"/>
    </row>
    <row r="21" spans="1:16" ht="12.75" customHeight="1" x14ac:dyDescent="0.2">
      <c r="A21" s="65">
        <f>+MAX($A$7:A20)+1</f>
        <v>10</v>
      </c>
      <c r="B21" s="120" t="s">
        <v>467</v>
      </c>
      <c r="C21" s="65" t="s">
        <v>727</v>
      </c>
      <c r="D21" s="65" t="s">
        <v>163</v>
      </c>
      <c r="E21" s="119">
        <v>60</v>
      </c>
      <c r="F21" s="91">
        <v>297.93599999999998</v>
      </c>
      <c r="G21" s="90">
        <f t="shared" si="0"/>
        <v>5.21E-2</v>
      </c>
      <c r="H21" s="89">
        <v>43132</v>
      </c>
      <c r="L21" s="78"/>
      <c r="M21" s="90"/>
      <c r="N21" s="84"/>
      <c r="P21" s="90"/>
    </row>
    <row r="22" spans="1:16" ht="12.75" customHeight="1" x14ac:dyDescent="0.2">
      <c r="A22" s="65">
        <f>+MAX($A$7:A21)+1</f>
        <v>11</v>
      </c>
      <c r="B22" s="120" t="s">
        <v>296</v>
      </c>
      <c r="C22" s="65" t="s">
        <v>641</v>
      </c>
      <c r="D22" s="65" t="s">
        <v>610</v>
      </c>
      <c r="E22" s="119">
        <v>60</v>
      </c>
      <c r="F22" s="91">
        <v>278.214</v>
      </c>
      <c r="G22" s="90">
        <f t="shared" si="0"/>
        <v>4.8599999999999997E-2</v>
      </c>
      <c r="H22" s="89">
        <v>43430</v>
      </c>
      <c r="L22" s="78"/>
      <c r="M22" s="90"/>
      <c r="N22" s="84"/>
      <c r="P22" s="90"/>
    </row>
    <row r="23" spans="1:16" ht="12.75" customHeight="1" x14ac:dyDescent="0.2">
      <c r="B23" s="18" t="s">
        <v>86</v>
      </c>
      <c r="C23" s="18"/>
      <c r="D23" s="18"/>
      <c r="E23" s="29"/>
      <c r="F23" s="19">
        <f>SUM(F13:F22)</f>
        <v>4862.5603600000004</v>
      </c>
      <c r="G23" s="20">
        <f>SUM(G13:G22)</f>
        <v>0.84970000000000012</v>
      </c>
      <c r="H23" s="21"/>
      <c r="I23" s="82"/>
      <c r="J23" s="90"/>
      <c r="L23" s="78">
        <f>SUM(K10:K23)</f>
        <v>0.64999999999999991</v>
      </c>
    </row>
    <row r="24" spans="1:16" ht="12.75" customHeight="1" x14ac:dyDescent="0.2">
      <c r="F24" s="86"/>
      <c r="G24" s="90"/>
      <c r="H24" s="89"/>
    </row>
    <row r="25" spans="1:16" ht="12.75" customHeight="1" x14ac:dyDescent="0.2">
      <c r="B25" s="16" t="s">
        <v>170</v>
      </c>
      <c r="C25" s="16"/>
      <c r="F25" s="86"/>
      <c r="G25" s="90"/>
      <c r="H25" s="89"/>
    </row>
    <row r="26" spans="1:16" ht="12.75" customHeight="1" x14ac:dyDescent="0.2">
      <c r="A26" s="65">
        <f>+MAX($A$7:A25)+1</f>
        <v>12</v>
      </c>
      <c r="B26" s="65" t="s">
        <v>635</v>
      </c>
      <c r="C26" s="65" t="s">
        <v>636</v>
      </c>
      <c r="D26" s="65" t="s">
        <v>413</v>
      </c>
      <c r="E26" s="85">
        <v>30000</v>
      </c>
      <c r="F26" s="86">
        <v>29.63664</v>
      </c>
      <c r="G26" s="90">
        <f>+ROUND(F26/VLOOKUP("Grand Total",$B$4:$F$295,5,0),4)</f>
        <v>5.1999999999999998E-3</v>
      </c>
      <c r="H26" s="89">
        <v>43172</v>
      </c>
    </row>
    <row r="27" spans="1:16" ht="12.75" customHeight="1" x14ac:dyDescent="0.2">
      <c r="B27" s="18" t="s">
        <v>86</v>
      </c>
      <c r="C27" s="18"/>
      <c r="D27" s="18"/>
      <c r="E27" s="29"/>
      <c r="F27" s="19">
        <f>SUM(F26:F26)</f>
        <v>29.63664</v>
      </c>
      <c r="G27" s="20">
        <f>SUM(G26:G26)</f>
        <v>5.1999999999999998E-3</v>
      </c>
      <c r="H27" s="21"/>
      <c r="I27" s="82"/>
    </row>
    <row r="28" spans="1:16" ht="12.75" customHeight="1" x14ac:dyDescent="0.2">
      <c r="F28" s="86"/>
      <c r="G28" s="90"/>
      <c r="H28" s="89"/>
    </row>
    <row r="29" spans="1:16" ht="12.75" customHeight="1" x14ac:dyDescent="0.2">
      <c r="A29" s="95" t="s">
        <v>380</v>
      </c>
      <c r="B29" s="16" t="s">
        <v>94</v>
      </c>
      <c r="C29" s="16"/>
      <c r="F29" s="86">
        <v>781.52416310000001</v>
      </c>
      <c r="G29" s="90">
        <f>+ROUND(F29/VLOOKUP("Grand Total",$B$4:$F$295,5,0),4)</f>
        <v>0.1366</v>
      </c>
      <c r="H29" s="89">
        <v>43101</v>
      </c>
    </row>
    <row r="30" spans="1:16" ht="12.75" customHeight="1" x14ac:dyDescent="0.2">
      <c r="B30" s="18" t="s">
        <v>86</v>
      </c>
      <c r="C30" s="18"/>
      <c r="D30" s="18"/>
      <c r="E30" s="29"/>
      <c r="F30" s="19">
        <f>SUM(F29)</f>
        <v>781.52416310000001</v>
      </c>
      <c r="G30" s="20">
        <f>SUM(G29)</f>
        <v>0.1366</v>
      </c>
      <c r="H30" s="21"/>
      <c r="I30" s="82"/>
    </row>
    <row r="31" spans="1:16" ht="12.75" customHeight="1" x14ac:dyDescent="0.2">
      <c r="F31" s="86"/>
      <c r="G31" s="90"/>
      <c r="H31" s="89"/>
    </row>
    <row r="32" spans="1:16" ht="12.75" customHeight="1" x14ac:dyDescent="0.2">
      <c r="B32" s="16" t="s">
        <v>95</v>
      </c>
      <c r="C32" s="16"/>
      <c r="F32" s="86"/>
      <c r="G32" s="90"/>
      <c r="H32" s="89"/>
    </row>
    <row r="33" spans="2:9" ht="12.75" customHeight="1" x14ac:dyDescent="0.2">
      <c r="B33" s="16" t="s">
        <v>96</v>
      </c>
      <c r="C33" s="16"/>
      <c r="F33" s="86">
        <v>-106.41250449999916</v>
      </c>
      <c r="G33" s="90">
        <f>+ROUND(F33/VLOOKUP("Grand Total",$B$4:$F$295,5,0),4)</f>
        <v>-1.8599999999999998E-2</v>
      </c>
      <c r="H33" s="89"/>
    </row>
    <row r="34" spans="2:9" ht="12.75" customHeight="1" x14ac:dyDescent="0.2">
      <c r="B34" s="18" t="s">
        <v>86</v>
      </c>
      <c r="C34" s="18"/>
      <c r="D34" s="18"/>
      <c r="E34" s="29"/>
      <c r="F34" s="19">
        <f>SUM(F33)</f>
        <v>-106.41250449999916</v>
      </c>
      <c r="G34" s="20">
        <f>SUM(G33)</f>
        <v>-1.8599999999999998E-2</v>
      </c>
      <c r="H34" s="21"/>
      <c r="I34" s="82"/>
    </row>
    <row r="35" spans="2:9" ht="12.75" customHeight="1" x14ac:dyDescent="0.2">
      <c r="B35" s="22" t="s">
        <v>97</v>
      </c>
      <c r="C35" s="22"/>
      <c r="D35" s="22"/>
      <c r="E35" s="30"/>
      <c r="F35" s="23">
        <f>+SUMIF($B$5:B34,"Total",$F$5:F34)</f>
        <v>5722.4689786000008</v>
      </c>
      <c r="G35" s="24">
        <f>+SUMIF($B$5:B34,"Total",$G$5:G34)</f>
        <v>1.0000000000000002</v>
      </c>
      <c r="H35" s="25"/>
      <c r="I35" s="82"/>
    </row>
    <row r="36" spans="2:9" ht="12.75" customHeight="1" x14ac:dyDescent="0.2"/>
    <row r="37" spans="2:9" ht="12.75" customHeight="1" x14ac:dyDescent="0.2">
      <c r="B37" s="16" t="s">
        <v>799</v>
      </c>
      <c r="C37" s="16"/>
    </row>
    <row r="38" spans="2:9" ht="12.75" customHeight="1" x14ac:dyDescent="0.2">
      <c r="B38" s="16" t="s">
        <v>189</v>
      </c>
      <c r="C38" s="16"/>
    </row>
    <row r="39" spans="2:9" ht="12.75" customHeight="1" x14ac:dyDescent="0.2">
      <c r="B39" s="16"/>
      <c r="C39" s="16"/>
    </row>
    <row r="40" spans="2:9" ht="12.75" customHeight="1" x14ac:dyDescent="0.2">
      <c r="B40" s="16"/>
      <c r="C40" s="16"/>
    </row>
    <row r="41" spans="2:9" ht="12.75" customHeight="1" x14ac:dyDescent="0.2">
      <c r="B41" s="16"/>
      <c r="C41" s="16"/>
    </row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</sheetData>
  <sheetProtection password="EDB3" sheet="1" objects="1" scenarios="1"/>
  <sortState ref="J8:K14">
    <sortCondition descending="1" ref="K12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399</v>
      </c>
      <c r="B1" s="123" t="s">
        <v>512</v>
      </c>
      <c r="C1" s="124"/>
      <c r="D1" s="124"/>
      <c r="E1" s="124"/>
      <c r="F1" s="124"/>
      <c r="G1" s="124"/>
      <c r="H1" s="125"/>
    </row>
    <row r="2" spans="1:12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93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471</v>
      </c>
      <c r="C8" t="s">
        <v>305</v>
      </c>
      <c r="D8" t="s">
        <v>325</v>
      </c>
      <c r="E8" s="28">
        <v>155961.65919999999</v>
      </c>
      <c r="F8" s="13">
        <v>48.4973697</v>
      </c>
      <c r="G8" s="14">
        <f>+ROUND(F8/VLOOKUP("Grand Total",$B$4:$F$298,5,0),4)</f>
        <v>0.39150000000000001</v>
      </c>
      <c r="H8" s="15" t="s">
        <v>381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472</v>
      </c>
      <c r="C9" t="s">
        <v>306</v>
      </c>
      <c r="D9" t="s">
        <v>325</v>
      </c>
      <c r="E9" s="28">
        <v>60527.780599999998</v>
      </c>
      <c r="F9" s="13">
        <v>39.022260199999998</v>
      </c>
      <c r="G9" s="14">
        <f>+ROUND(F9/VLOOKUP("Grand Total",$B$4:$F$298,5,0),4)</f>
        <v>0.315</v>
      </c>
      <c r="H9" s="15" t="s">
        <v>381</v>
      </c>
      <c r="J9" s="14" t="s">
        <v>325</v>
      </c>
      <c r="K9" s="48">
        <f>SUMIFS($G$5:$G$321,$D$5:$D$321,J9)</f>
        <v>0.99380000000000002</v>
      </c>
    </row>
    <row r="10" spans="1:12" ht="12.75" customHeight="1" x14ac:dyDescent="0.2">
      <c r="A10">
        <f>+MAX($A$7:A9)+1</f>
        <v>3</v>
      </c>
      <c r="B10" t="s">
        <v>342</v>
      </c>
      <c r="C10" t="s">
        <v>307</v>
      </c>
      <c r="D10" t="s">
        <v>325</v>
      </c>
      <c r="E10" s="28">
        <v>746.67880000000002</v>
      </c>
      <c r="F10" s="13">
        <v>20.939599699999999</v>
      </c>
      <c r="G10" s="14">
        <f>+ROUND(F10/VLOOKUP("Grand Total",$B$4:$F$298,5,0),4)</f>
        <v>0.16900000000000001</v>
      </c>
      <c r="H10" s="15" t="s">
        <v>381</v>
      </c>
      <c r="J10" s="14" t="s">
        <v>64</v>
      </c>
      <c r="K10" s="48">
        <f>+SUMIFS($G$5:$G$1000,$B$5:$B$1000,"CBLO / Reverse Repo Investments")+SUMIFS($G$5:$G$1000,$B$5:$B$1000,"Net Receivable/Payable")</f>
        <v>6.1999999999999998E-3</v>
      </c>
    </row>
    <row r="11" spans="1:12" ht="12.75" customHeight="1" x14ac:dyDescent="0.2">
      <c r="A11">
        <f>+MAX($A$7:A10)+1</f>
        <v>4</v>
      </c>
      <c r="B11" t="s">
        <v>309</v>
      </c>
      <c r="C11" t="s">
        <v>308</v>
      </c>
      <c r="D11" t="s">
        <v>325</v>
      </c>
      <c r="E11" s="28">
        <v>12368.0046</v>
      </c>
      <c r="F11" s="13">
        <v>14.6610327</v>
      </c>
      <c r="G11" s="14">
        <f>+ROUND(F11/VLOOKUP("Grand Total",$B$4:$F$298,5,0),4)</f>
        <v>0.1183</v>
      </c>
      <c r="H11" s="15" t="s">
        <v>381</v>
      </c>
    </row>
    <row r="12" spans="1:12" ht="12.75" customHeight="1" x14ac:dyDescent="0.2">
      <c r="B12" s="18" t="s">
        <v>86</v>
      </c>
      <c r="C12" s="18"/>
      <c r="D12" s="18"/>
      <c r="E12" s="29"/>
      <c r="F12" s="19">
        <f>SUM(F8:F11)</f>
        <v>123.12026230000001</v>
      </c>
      <c r="G12" s="20">
        <f>SUM(G8:G11)</f>
        <v>0.99380000000000002</v>
      </c>
      <c r="H12" s="21"/>
      <c r="I12" s="35"/>
      <c r="L12" s="54">
        <f>+SUM($K$9:K9)</f>
        <v>0.99380000000000002</v>
      </c>
    </row>
    <row r="13" spans="1:12" ht="12.75" hidden="1" customHeight="1" x14ac:dyDescent="0.2">
      <c r="F13" s="13"/>
      <c r="G13" s="14"/>
      <c r="H13" s="15"/>
    </row>
    <row r="14" spans="1:12" ht="12.75" hidden="1" customHeight="1" x14ac:dyDescent="0.2">
      <c r="B14" s="16" t="s">
        <v>94</v>
      </c>
      <c r="C14" s="16"/>
      <c r="F14" s="13"/>
      <c r="G14" s="14">
        <f>+ROUND(F14/VLOOKUP("Grand Total",$B$4:$F$294,5,0),4)</f>
        <v>0</v>
      </c>
      <c r="H14" s="15"/>
    </row>
    <row r="15" spans="1:12" ht="12.75" hidden="1" customHeight="1" x14ac:dyDescent="0.2">
      <c r="B15" s="18" t="s">
        <v>86</v>
      </c>
      <c r="C15" s="18"/>
      <c r="D15" s="18"/>
      <c r="E15" s="29"/>
      <c r="F15" s="19">
        <f>SUM(F14:F14)</f>
        <v>0</v>
      </c>
      <c r="G15" s="20">
        <f>SUM(G14:G14)</f>
        <v>0</v>
      </c>
      <c r="H15" s="21"/>
      <c r="I15" s="35"/>
    </row>
    <row r="16" spans="1:12" ht="12.75" customHeight="1" x14ac:dyDescent="0.2">
      <c r="F16" s="13"/>
      <c r="G16" s="14"/>
      <c r="H16" s="15"/>
    </row>
    <row r="17" spans="1:9" ht="12.75" customHeight="1" x14ac:dyDescent="0.2">
      <c r="A17" s="95" t="s">
        <v>380</v>
      </c>
      <c r="B17" s="16" t="s">
        <v>94</v>
      </c>
      <c r="C17" s="16"/>
      <c r="F17" s="13">
        <v>0.89761789999999997</v>
      </c>
      <c r="G17" s="14">
        <f>+ROUND(F17/VLOOKUP("Grand Total",$B$4:$F$292,5,0),4)</f>
        <v>7.1999999999999998E-3</v>
      </c>
      <c r="H17" s="15">
        <v>43101</v>
      </c>
    </row>
    <row r="18" spans="1:9" ht="12.75" customHeight="1" x14ac:dyDescent="0.2">
      <c r="B18" s="18" t="s">
        <v>86</v>
      </c>
      <c r="C18" s="18"/>
      <c r="D18" s="18"/>
      <c r="E18" s="29"/>
      <c r="F18" s="19">
        <f>SUM(F17)</f>
        <v>0.89761789999999997</v>
      </c>
      <c r="G18" s="20">
        <f>SUM(G17)</f>
        <v>7.1999999999999998E-3</v>
      </c>
      <c r="H18" s="21"/>
      <c r="I18" s="35"/>
    </row>
    <row r="19" spans="1:9" ht="12.75" customHeight="1" x14ac:dyDescent="0.2">
      <c r="F19" s="13"/>
      <c r="G19" s="14"/>
      <c r="H19" s="15"/>
    </row>
    <row r="20" spans="1:9" ht="12.75" customHeight="1" x14ac:dyDescent="0.2">
      <c r="B20" s="16" t="s">
        <v>95</v>
      </c>
      <c r="C20" s="16"/>
      <c r="F20" s="13"/>
      <c r="G20" s="14"/>
      <c r="H20" s="15"/>
    </row>
    <row r="21" spans="1:9" ht="12.75" customHeight="1" x14ac:dyDescent="0.2">
      <c r="B21" s="16" t="s">
        <v>96</v>
      </c>
      <c r="C21" s="16"/>
      <c r="F21" s="43">
        <v>-0.13216079999999408</v>
      </c>
      <c r="G21" s="14">
        <f>+ROUND(F21/VLOOKUP("Grand Total",$B$4:$F$298,5,0),4)+0.01%</f>
        <v>-1E-3</v>
      </c>
      <c r="H21" s="15"/>
    </row>
    <row r="22" spans="1:9" ht="12.75" customHeight="1" x14ac:dyDescent="0.2">
      <c r="B22" s="18" t="s">
        <v>86</v>
      </c>
      <c r="C22" s="18"/>
      <c r="D22" s="18"/>
      <c r="E22" s="29"/>
      <c r="F22" s="50">
        <f>SUM(F21)</f>
        <v>-0.13216079999999408</v>
      </c>
      <c r="G22" s="20">
        <f>SUM(G21)</f>
        <v>-1E-3</v>
      </c>
      <c r="H22" s="21"/>
      <c r="I22" s="35"/>
    </row>
    <row r="23" spans="1:9" ht="12.75" customHeight="1" x14ac:dyDescent="0.2">
      <c r="B23" s="22" t="s">
        <v>97</v>
      </c>
      <c r="C23" s="22"/>
      <c r="D23" s="22"/>
      <c r="E23" s="30"/>
      <c r="F23" s="23">
        <f>+SUMIF($B$5:B22,"Total",$F$5:F22)</f>
        <v>123.88571940000001</v>
      </c>
      <c r="G23" s="24">
        <f>+SUMIF($B$5:B22,"Total",$G$5:G22)</f>
        <v>1.0000000000000002</v>
      </c>
      <c r="H23" s="25"/>
      <c r="I23" s="35"/>
    </row>
    <row r="24" spans="1:9" ht="12.75" customHeight="1" x14ac:dyDescent="0.2"/>
    <row r="25" spans="1:9" ht="12.75" customHeight="1" x14ac:dyDescent="0.2">
      <c r="B25" s="16"/>
      <c r="C25" s="16"/>
    </row>
    <row r="26" spans="1:9" ht="12.75" customHeight="1" x14ac:dyDescent="0.2">
      <c r="B26" s="16"/>
      <c r="C26" s="16"/>
    </row>
    <row r="27" spans="1:9" ht="12.75" customHeight="1" x14ac:dyDescent="0.2">
      <c r="B27" s="16"/>
      <c r="C27" s="16"/>
    </row>
    <row r="28" spans="1:9" ht="12.75" customHeight="1" x14ac:dyDescent="0.2">
      <c r="B28" s="16"/>
      <c r="C28" s="16"/>
    </row>
    <row r="29" spans="1:9" ht="12.75" customHeight="1" x14ac:dyDescent="0.2">
      <c r="B29" s="16"/>
      <c r="C29" s="16"/>
    </row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1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32.5703125" bestFit="1" customWidth="1"/>
    <col min="11" max="11" width="8" style="36" customWidth="1"/>
  </cols>
  <sheetData>
    <row r="1" spans="1:16" ht="18.75" x14ac:dyDescent="0.2">
      <c r="A1" s="94" t="s">
        <v>382</v>
      </c>
      <c r="B1" s="123" t="s">
        <v>98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417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194</v>
      </c>
      <c r="C9" t="s">
        <v>13</v>
      </c>
      <c r="D9" s="65" t="s">
        <v>10</v>
      </c>
      <c r="E9" s="28">
        <v>9345</v>
      </c>
      <c r="F9" s="13">
        <v>174.97577999999999</v>
      </c>
      <c r="G9" s="14">
        <f t="shared" ref="G9:G40" si="0">+ROUND(F9/VLOOKUP("Grand Total",$B$4:$F$283,5,0),4)</f>
        <v>9.4299999999999995E-2</v>
      </c>
      <c r="H9" s="15"/>
      <c r="J9" s="14" t="s">
        <v>10</v>
      </c>
      <c r="K9" s="48">
        <f t="shared" ref="K9:K29" si="1">SUMIFS($G$5:$G$320,$D$5:$D$320,J9)</f>
        <v>0.26429999999999998</v>
      </c>
    </row>
    <row r="10" spans="1:16" ht="12.75" customHeight="1" x14ac:dyDescent="0.2">
      <c r="A10">
        <f>+MAX($A$8:A9)+1</f>
        <v>2</v>
      </c>
      <c r="B10" t="s">
        <v>196</v>
      </c>
      <c r="C10" t="s">
        <v>31</v>
      </c>
      <c r="D10" t="s">
        <v>30</v>
      </c>
      <c r="E10" s="28">
        <v>15200</v>
      </c>
      <c r="F10" s="13">
        <v>139.99959999999999</v>
      </c>
      <c r="G10" s="14">
        <f t="shared" si="0"/>
        <v>7.5399999999999995E-2</v>
      </c>
      <c r="H10" s="15"/>
      <c r="J10" s="14" t="s">
        <v>14</v>
      </c>
      <c r="K10" s="48">
        <f t="shared" si="1"/>
        <v>0.11440000000000002</v>
      </c>
    </row>
    <row r="11" spans="1:16" ht="12.75" customHeight="1" x14ac:dyDescent="0.2">
      <c r="A11">
        <f>+MAX($A$8:A10)+1</f>
        <v>3</v>
      </c>
      <c r="B11" t="s">
        <v>200</v>
      </c>
      <c r="C11" t="s">
        <v>27</v>
      </c>
      <c r="D11" t="s">
        <v>24</v>
      </c>
      <c r="E11" s="28">
        <v>7306</v>
      </c>
      <c r="F11" s="13">
        <v>124.96182400000001</v>
      </c>
      <c r="G11" s="14">
        <f t="shared" si="0"/>
        <v>6.7299999999999999E-2</v>
      </c>
      <c r="H11" s="15"/>
      <c r="J11" s="14" t="s">
        <v>30</v>
      </c>
      <c r="K11" s="48">
        <f t="shared" si="1"/>
        <v>0.10279999999999999</v>
      </c>
      <c r="M11" s="36"/>
      <c r="N11" s="14"/>
      <c r="P11" s="14"/>
    </row>
    <row r="12" spans="1:16" ht="12.75" customHeight="1" x14ac:dyDescent="0.2">
      <c r="A12">
        <f>+MAX($A$8:A11)+1</f>
        <v>4</v>
      </c>
      <c r="B12" t="s">
        <v>204</v>
      </c>
      <c r="C12" t="s">
        <v>46</v>
      </c>
      <c r="D12" t="s">
        <v>26</v>
      </c>
      <c r="E12" s="28">
        <v>39069</v>
      </c>
      <c r="F12" s="13">
        <v>102.8491425</v>
      </c>
      <c r="G12" s="14">
        <f t="shared" si="0"/>
        <v>5.5399999999999998E-2</v>
      </c>
      <c r="H12" s="15"/>
      <c r="J12" s="14" t="s">
        <v>20</v>
      </c>
      <c r="K12" s="48">
        <f t="shared" si="1"/>
        <v>0.10249999999999999</v>
      </c>
      <c r="M12" s="36"/>
      <c r="N12" s="14"/>
      <c r="P12" s="14"/>
    </row>
    <row r="13" spans="1:16" ht="12.75" customHeight="1" x14ac:dyDescent="0.2">
      <c r="A13">
        <f>+MAX($A$8:A12)+1</f>
        <v>5</v>
      </c>
      <c r="B13" t="s">
        <v>195</v>
      </c>
      <c r="C13" t="s">
        <v>15</v>
      </c>
      <c r="D13" t="s">
        <v>14</v>
      </c>
      <c r="E13" s="28">
        <v>9157</v>
      </c>
      <c r="F13" s="13">
        <v>95.4205185</v>
      </c>
      <c r="G13" s="14">
        <f t="shared" si="0"/>
        <v>5.1400000000000001E-2</v>
      </c>
      <c r="H13" s="15"/>
      <c r="J13" s="14" t="s">
        <v>26</v>
      </c>
      <c r="K13" s="48">
        <f t="shared" si="1"/>
        <v>9.2399999999999996E-2</v>
      </c>
      <c r="M13" s="36"/>
      <c r="N13" s="14"/>
      <c r="P13" s="14"/>
    </row>
    <row r="14" spans="1:16" ht="12.75" customHeight="1" x14ac:dyDescent="0.2">
      <c r="A14">
        <f>+MAX($A$8:A13)+1</f>
        <v>6</v>
      </c>
      <c r="B14" t="s">
        <v>197</v>
      </c>
      <c r="C14" t="s">
        <v>11</v>
      </c>
      <c r="D14" t="s">
        <v>10</v>
      </c>
      <c r="E14" s="28">
        <v>29402</v>
      </c>
      <c r="F14" s="13">
        <v>92.322280000000006</v>
      </c>
      <c r="G14" s="14">
        <f t="shared" si="0"/>
        <v>4.9700000000000001E-2</v>
      </c>
      <c r="H14" s="15"/>
      <c r="J14" s="14" t="s">
        <v>24</v>
      </c>
      <c r="K14" s="48">
        <f t="shared" si="1"/>
        <v>8.6999999999999994E-2</v>
      </c>
      <c r="M14" s="36"/>
      <c r="N14" s="14"/>
      <c r="P14" s="14"/>
    </row>
    <row r="15" spans="1:16" ht="12.75" customHeight="1" x14ac:dyDescent="0.2">
      <c r="A15">
        <f>+MAX($A$8:A14)+1</f>
        <v>7</v>
      </c>
      <c r="B15" t="s">
        <v>228</v>
      </c>
      <c r="C15" t="s">
        <v>71</v>
      </c>
      <c r="D15" t="s">
        <v>28</v>
      </c>
      <c r="E15" s="28">
        <v>5648</v>
      </c>
      <c r="F15" s="13">
        <v>71.065960000000004</v>
      </c>
      <c r="G15" s="14">
        <f t="shared" si="0"/>
        <v>3.8300000000000001E-2</v>
      </c>
      <c r="H15" s="15"/>
      <c r="J15" s="14" t="s">
        <v>22</v>
      </c>
      <c r="K15" s="48">
        <f t="shared" si="1"/>
        <v>4.0399999999999991E-2</v>
      </c>
      <c r="M15" s="36"/>
      <c r="N15" s="14"/>
      <c r="P15" s="14"/>
    </row>
    <row r="16" spans="1:16" ht="12.75" customHeight="1" x14ac:dyDescent="0.2">
      <c r="A16">
        <f>+MAX($A$8:A15)+1</f>
        <v>8</v>
      </c>
      <c r="B16" t="s">
        <v>215</v>
      </c>
      <c r="C16" t="s">
        <v>99</v>
      </c>
      <c r="D16" t="s">
        <v>10</v>
      </c>
      <c r="E16" s="28">
        <v>6107</v>
      </c>
      <c r="F16" s="13">
        <v>61.692914000000002</v>
      </c>
      <c r="G16" s="14">
        <f t="shared" si="0"/>
        <v>3.32E-2</v>
      </c>
      <c r="H16" s="15"/>
      <c r="J16" s="14" t="s">
        <v>28</v>
      </c>
      <c r="K16" s="48">
        <f t="shared" si="1"/>
        <v>3.8300000000000001E-2</v>
      </c>
      <c r="M16" s="36"/>
      <c r="N16" s="14"/>
      <c r="P16" s="14"/>
    </row>
    <row r="17" spans="1:16" ht="12.75" customHeight="1" x14ac:dyDescent="0.2">
      <c r="A17">
        <f>+MAX($A$8:A16)+1</f>
        <v>9</v>
      </c>
      <c r="B17" t="s">
        <v>219</v>
      </c>
      <c r="C17" t="s">
        <v>19</v>
      </c>
      <c r="D17" t="s">
        <v>14</v>
      </c>
      <c r="E17" s="28">
        <v>2281</v>
      </c>
      <c r="F17" s="13">
        <v>61.614372000000003</v>
      </c>
      <c r="G17" s="14">
        <f t="shared" si="0"/>
        <v>3.32E-2</v>
      </c>
      <c r="H17" s="15"/>
      <c r="J17" s="14" t="s">
        <v>45</v>
      </c>
      <c r="K17" s="48">
        <f t="shared" si="1"/>
        <v>2.4899999999999999E-2</v>
      </c>
      <c r="M17" s="36"/>
      <c r="N17" s="14"/>
      <c r="P17" s="14"/>
    </row>
    <row r="18" spans="1:16" ht="12.75" customHeight="1" x14ac:dyDescent="0.2">
      <c r="A18">
        <f>+MAX($A$8:A17)+1</f>
        <v>10</v>
      </c>
      <c r="B18" t="s">
        <v>212</v>
      </c>
      <c r="C18" t="s">
        <v>49</v>
      </c>
      <c r="D18" t="s">
        <v>20</v>
      </c>
      <c r="E18" s="28">
        <v>609</v>
      </c>
      <c r="F18" s="13">
        <v>59.252959500000003</v>
      </c>
      <c r="G18" s="14">
        <f t="shared" si="0"/>
        <v>3.1899999999999998E-2</v>
      </c>
      <c r="H18" s="15"/>
      <c r="J18" s="14" t="s">
        <v>36</v>
      </c>
      <c r="K18" s="48">
        <f t="shared" si="1"/>
        <v>2.4199999999999999E-2</v>
      </c>
      <c r="M18" s="36"/>
      <c r="N18" s="14"/>
      <c r="P18" s="14"/>
    </row>
    <row r="19" spans="1:16" ht="12.75" customHeight="1" x14ac:dyDescent="0.2">
      <c r="A19">
        <f>+MAX($A$8:A18)+1</f>
        <v>11</v>
      </c>
      <c r="B19" t="s">
        <v>16</v>
      </c>
      <c r="C19" t="s">
        <v>17</v>
      </c>
      <c r="D19" t="s">
        <v>10</v>
      </c>
      <c r="E19" s="28">
        <v>17008</v>
      </c>
      <c r="F19" s="13">
        <v>52.707792000000005</v>
      </c>
      <c r="G19" s="14">
        <f t="shared" si="0"/>
        <v>2.8400000000000002E-2</v>
      </c>
      <c r="H19" s="15"/>
      <c r="J19" s="14" t="s">
        <v>34</v>
      </c>
      <c r="K19" s="48">
        <f t="shared" si="1"/>
        <v>1.72E-2</v>
      </c>
      <c r="M19" s="36"/>
      <c r="N19" s="14"/>
      <c r="P19" s="14"/>
    </row>
    <row r="20" spans="1:16" ht="12.75" customHeight="1" x14ac:dyDescent="0.2">
      <c r="A20">
        <f>+MAX($A$8:A19)+1</f>
        <v>12</v>
      </c>
      <c r="B20" t="s">
        <v>242</v>
      </c>
      <c r="C20" t="s">
        <v>102</v>
      </c>
      <c r="D20" t="s">
        <v>26</v>
      </c>
      <c r="E20" s="28">
        <v>3273</v>
      </c>
      <c r="F20" s="13">
        <v>44.769730500000001</v>
      </c>
      <c r="G20" s="14">
        <f t="shared" si="0"/>
        <v>2.41E-2</v>
      </c>
      <c r="H20" s="15"/>
      <c r="J20" s="14" t="s">
        <v>18</v>
      </c>
      <c r="K20" s="48">
        <f t="shared" si="1"/>
        <v>1.6E-2</v>
      </c>
      <c r="M20" s="36"/>
      <c r="N20" s="14"/>
      <c r="P20" s="14"/>
    </row>
    <row r="21" spans="1:16" ht="12.75" customHeight="1" x14ac:dyDescent="0.2">
      <c r="A21">
        <f>+MAX($A$8:A20)+1</f>
        <v>13</v>
      </c>
      <c r="B21" t="s">
        <v>220</v>
      </c>
      <c r="C21" t="s">
        <v>29</v>
      </c>
      <c r="D21" t="s">
        <v>10</v>
      </c>
      <c r="E21" s="28">
        <v>7800</v>
      </c>
      <c r="F21" s="13">
        <v>43.988100000000003</v>
      </c>
      <c r="G21" s="14">
        <f t="shared" si="0"/>
        <v>2.3699999999999999E-2</v>
      </c>
      <c r="H21" s="15"/>
      <c r="J21" s="14" t="s">
        <v>100</v>
      </c>
      <c r="K21" s="48">
        <f t="shared" si="1"/>
        <v>1.3599999999999999E-2</v>
      </c>
      <c r="M21" s="36"/>
      <c r="N21" s="14"/>
      <c r="P21" s="14"/>
    </row>
    <row r="22" spans="1:16" ht="12.75" customHeight="1" x14ac:dyDescent="0.2">
      <c r="A22">
        <f>+MAX($A$8:A21)+1</f>
        <v>14</v>
      </c>
      <c r="B22" t="s">
        <v>244</v>
      </c>
      <c r="C22" t="s">
        <v>104</v>
      </c>
      <c r="D22" t="s">
        <v>10</v>
      </c>
      <c r="E22" s="28">
        <v>2332</v>
      </c>
      <c r="F22" s="13">
        <v>38.452348000000001</v>
      </c>
      <c r="G22" s="14">
        <f t="shared" si="0"/>
        <v>2.07E-2</v>
      </c>
      <c r="H22" s="15"/>
      <c r="J22" s="14" t="s">
        <v>107</v>
      </c>
      <c r="K22" s="48">
        <f t="shared" si="1"/>
        <v>1.21E-2</v>
      </c>
      <c r="M22" s="36"/>
      <c r="N22" s="14"/>
      <c r="P22" s="14"/>
    </row>
    <row r="23" spans="1:16" ht="12.75" customHeight="1" x14ac:dyDescent="0.2">
      <c r="A23">
        <f>+MAX($A$8:A22)+1</f>
        <v>15</v>
      </c>
      <c r="B23" t="s">
        <v>198</v>
      </c>
      <c r="C23" t="s">
        <v>21</v>
      </c>
      <c r="D23" t="s">
        <v>20</v>
      </c>
      <c r="E23" s="28">
        <v>8600</v>
      </c>
      <c r="F23" s="13">
        <v>37.139099999999999</v>
      </c>
      <c r="G23" s="14">
        <f t="shared" si="0"/>
        <v>0.02</v>
      </c>
      <c r="H23" s="15"/>
      <c r="J23" s="14" t="s">
        <v>51</v>
      </c>
      <c r="K23" s="48">
        <f t="shared" si="1"/>
        <v>8.5000000000000006E-3</v>
      </c>
      <c r="M23" s="36"/>
      <c r="N23" s="14"/>
      <c r="P23" s="14"/>
    </row>
    <row r="24" spans="1:16" ht="12.75" customHeight="1" x14ac:dyDescent="0.2">
      <c r="A24">
        <f>+MAX($A$8:A23)+1</f>
        <v>16</v>
      </c>
      <c r="B24" t="s">
        <v>243</v>
      </c>
      <c r="C24" t="s">
        <v>101</v>
      </c>
      <c r="D24" t="s">
        <v>20</v>
      </c>
      <c r="E24" s="28">
        <v>4268</v>
      </c>
      <c r="F24" s="13">
        <v>32.056947999999998</v>
      </c>
      <c r="G24" s="14">
        <f t="shared" si="0"/>
        <v>1.7299999999999999E-2</v>
      </c>
      <c r="H24" s="15"/>
      <c r="J24" s="14" t="s">
        <v>47</v>
      </c>
      <c r="K24" s="48">
        <f t="shared" si="1"/>
        <v>7.9000000000000008E-3</v>
      </c>
      <c r="M24" s="36"/>
      <c r="N24" s="14"/>
      <c r="P24" s="14"/>
    </row>
    <row r="25" spans="1:16" ht="12.75" customHeight="1" x14ac:dyDescent="0.2">
      <c r="A25">
        <f>+MAX($A$8:A24)+1</f>
        <v>17</v>
      </c>
      <c r="B25" t="s">
        <v>217</v>
      </c>
      <c r="C25" t="s">
        <v>65</v>
      </c>
      <c r="D25" t="s">
        <v>34</v>
      </c>
      <c r="E25" s="28">
        <v>6045</v>
      </c>
      <c r="F25" s="13">
        <v>32.017342499999998</v>
      </c>
      <c r="G25" s="14">
        <f t="shared" si="0"/>
        <v>1.72E-2</v>
      </c>
      <c r="H25" s="15"/>
      <c r="J25" s="14" t="s">
        <v>103</v>
      </c>
      <c r="K25" s="48">
        <f t="shared" si="1"/>
        <v>7.9000000000000008E-3</v>
      </c>
      <c r="M25" s="36"/>
      <c r="N25" s="14"/>
      <c r="P25" s="14"/>
    </row>
    <row r="26" spans="1:16" ht="12.75" customHeight="1" x14ac:dyDescent="0.2">
      <c r="A26">
        <f>+MAX($A$8:A25)+1</f>
        <v>18</v>
      </c>
      <c r="B26" t="s">
        <v>444</v>
      </c>
      <c r="C26" t="s">
        <v>68</v>
      </c>
      <c r="D26" t="s">
        <v>22</v>
      </c>
      <c r="E26" s="28">
        <v>5057</v>
      </c>
      <c r="F26" s="13">
        <v>28.883055499999998</v>
      </c>
      <c r="G26" s="14">
        <f t="shared" si="0"/>
        <v>1.5599999999999999E-2</v>
      </c>
      <c r="H26" s="15"/>
      <c r="J26" s="14" t="s">
        <v>37</v>
      </c>
      <c r="K26" s="48">
        <f t="shared" si="1"/>
        <v>7.7999999999999996E-3</v>
      </c>
      <c r="M26" s="36"/>
      <c r="N26" s="14"/>
      <c r="P26" s="14"/>
    </row>
    <row r="27" spans="1:16" ht="12.75" customHeight="1" x14ac:dyDescent="0.2">
      <c r="A27">
        <f>+MAX($A$8:A26)+1</f>
        <v>19</v>
      </c>
      <c r="B27" t="s">
        <v>454</v>
      </c>
      <c r="C27" t="s">
        <v>455</v>
      </c>
      <c r="D27" t="s">
        <v>45</v>
      </c>
      <c r="E27" s="28">
        <v>8517</v>
      </c>
      <c r="F27" s="13">
        <v>28.097582999999997</v>
      </c>
      <c r="G27" s="14">
        <f t="shared" si="0"/>
        <v>1.5100000000000001E-2</v>
      </c>
      <c r="H27" s="15"/>
      <c r="J27" t="s">
        <v>135</v>
      </c>
      <c r="K27" s="48">
        <f t="shared" si="1"/>
        <v>6.7999999999999996E-3</v>
      </c>
      <c r="M27" s="36"/>
      <c r="N27" s="14"/>
      <c r="P27" s="14"/>
    </row>
    <row r="28" spans="1:16" ht="12.75" customHeight="1" x14ac:dyDescent="0.2">
      <c r="A28">
        <f>+MAX($A$8:A27)+1</f>
        <v>20</v>
      </c>
      <c r="B28" t="s">
        <v>254</v>
      </c>
      <c r="C28" t="s">
        <v>573</v>
      </c>
      <c r="D28" t="s">
        <v>10</v>
      </c>
      <c r="E28" s="28">
        <v>8395</v>
      </c>
      <c r="F28" s="13">
        <v>26.4568425</v>
      </c>
      <c r="G28" s="14">
        <f t="shared" si="0"/>
        <v>1.43E-2</v>
      </c>
      <c r="H28" s="15"/>
      <c r="J28" s="14" t="s">
        <v>352</v>
      </c>
      <c r="K28" s="48">
        <f t="shared" si="1"/>
        <v>6.6E-3</v>
      </c>
      <c r="M28" s="36"/>
      <c r="N28" s="14"/>
      <c r="P28" s="14"/>
    </row>
    <row r="29" spans="1:16" ht="12.75" customHeight="1" x14ac:dyDescent="0.2">
      <c r="A29">
        <f>+MAX($A$8:A28)+1</f>
        <v>21</v>
      </c>
      <c r="B29" t="s">
        <v>246</v>
      </c>
      <c r="C29" t="s">
        <v>108</v>
      </c>
      <c r="D29" t="s">
        <v>100</v>
      </c>
      <c r="E29" s="28">
        <v>12937</v>
      </c>
      <c r="F29" s="13">
        <v>25.253024</v>
      </c>
      <c r="G29" s="14">
        <f t="shared" si="0"/>
        <v>1.3599999999999999E-2</v>
      </c>
      <c r="H29" s="15"/>
      <c r="J29" s="14" t="s">
        <v>38</v>
      </c>
      <c r="K29" s="48">
        <f t="shared" si="1"/>
        <v>4.5999999999999999E-3</v>
      </c>
      <c r="N29" s="14"/>
      <c r="P29" s="14"/>
    </row>
    <row r="30" spans="1:16" ht="12.75" customHeight="1" x14ac:dyDescent="0.2">
      <c r="A30">
        <f>+MAX($A$8:A29)+1</f>
        <v>22</v>
      </c>
      <c r="B30" t="s">
        <v>253</v>
      </c>
      <c r="C30" t="s">
        <v>116</v>
      </c>
      <c r="D30" t="s">
        <v>36</v>
      </c>
      <c r="E30" s="28">
        <v>13980</v>
      </c>
      <c r="F30" s="13">
        <v>24.744599999999998</v>
      </c>
      <c r="G30" s="14">
        <f t="shared" si="0"/>
        <v>1.3299999999999999E-2</v>
      </c>
      <c r="H30" s="15"/>
      <c r="J30" s="14" t="s">
        <v>64</v>
      </c>
      <c r="K30" s="48">
        <f>+SUMIFS($G$5:$G$1000,$B$5:$B$1000,"CBLO / Reverse Repo Investments")+SUMIFS($G$5:$G$1000,$B$5:$B$1000,"Net Receivable/Payable")</f>
        <v>-2.0000000000000009E-4</v>
      </c>
      <c r="N30" s="14"/>
      <c r="P30" s="14"/>
    </row>
    <row r="31" spans="1:16" ht="12.75" customHeight="1" x14ac:dyDescent="0.2">
      <c r="A31">
        <f>+MAX($A$8:A30)+1</f>
        <v>23</v>
      </c>
      <c r="B31" t="s">
        <v>248</v>
      </c>
      <c r="C31" t="s">
        <v>111</v>
      </c>
      <c r="D31" t="s">
        <v>26</v>
      </c>
      <c r="E31" s="28">
        <v>2066</v>
      </c>
      <c r="F31" s="13">
        <v>23.934609999999999</v>
      </c>
      <c r="G31" s="14">
        <f t="shared" si="0"/>
        <v>1.29E-2</v>
      </c>
      <c r="H31" s="15"/>
      <c r="L31" s="54"/>
      <c r="M31" s="36"/>
      <c r="N31" s="14"/>
      <c r="P31" s="14"/>
    </row>
    <row r="32" spans="1:16" ht="12.75" customHeight="1" x14ac:dyDescent="0.2">
      <c r="A32">
        <f>+MAX($A$8:A31)+1</f>
        <v>24</v>
      </c>
      <c r="B32" t="s">
        <v>199</v>
      </c>
      <c r="C32" t="s">
        <v>25</v>
      </c>
      <c r="D32" t="s">
        <v>14</v>
      </c>
      <c r="E32" s="28">
        <v>2551</v>
      </c>
      <c r="F32" s="13">
        <v>22.716654999999999</v>
      </c>
      <c r="G32" s="14">
        <f t="shared" si="0"/>
        <v>1.2200000000000001E-2</v>
      </c>
      <c r="H32" s="15"/>
      <c r="J32" s="14"/>
      <c r="L32" s="54">
        <f>+SUM($K$9:K32)</f>
        <v>1</v>
      </c>
    </row>
    <row r="33" spans="1:13" ht="12.75" customHeight="1" x14ac:dyDescent="0.2">
      <c r="A33">
        <f>+MAX($A$8:A32)+1</f>
        <v>25</v>
      </c>
      <c r="B33" t="s">
        <v>251</v>
      </c>
      <c r="C33" t="s">
        <v>113</v>
      </c>
      <c r="D33" t="s">
        <v>20</v>
      </c>
      <c r="E33" s="28">
        <v>595</v>
      </c>
      <c r="F33" s="13">
        <v>22.521642499999999</v>
      </c>
      <c r="G33" s="14">
        <f t="shared" si="0"/>
        <v>1.21E-2</v>
      </c>
      <c r="H33" s="15"/>
    </row>
    <row r="34" spans="1:13" ht="12.75" customHeight="1" x14ac:dyDescent="0.2">
      <c r="A34">
        <f>+MAX($A$8:A33)+1</f>
        <v>26</v>
      </c>
      <c r="B34" t="s">
        <v>259</v>
      </c>
      <c r="C34" t="s">
        <v>123</v>
      </c>
      <c r="D34" t="s">
        <v>107</v>
      </c>
      <c r="E34" s="28">
        <v>3071</v>
      </c>
      <c r="F34" s="13">
        <v>22.492003999999998</v>
      </c>
      <c r="G34" s="14">
        <f t="shared" si="0"/>
        <v>1.21E-2</v>
      </c>
      <c r="H34" s="15"/>
      <c r="M34" s="14"/>
    </row>
    <row r="35" spans="1:13" ht="12.75" customHeight="1" x14ac:dyDescent="0.2">
      <c r="A35">
        <f>+MAX($A$8:A34)+1</f>
        <v>27</v>
      </c>
      <c r="B35" t="s">
        <v>201</v>
      </c>
      <c r="C35" t="s">
        <v>39</v>
      </c>
      <c r="D35" t="s">
        <v>20</v>
      </c>
      <c r="E35" s="28">
        <v>623</v>
      </c>
      <c r="F35" s="13">
        <v>20.768328</v>
      </c>
      <c r="G35" s="14">
        <f t="shared" si="0"/>
        <v>1.12E-2</v>
      </c>
      <c r="H35" s="15"/>
    </row>
    <row r="36" spans="1:13" ht="12.75" customHeight="1" x14ac:dyDescent="0.2">
      <c r="A36">
        <f>+MAX($A$8:A35)+1</f>
        <v>28</v>
      </c>
      <c r="B36" t="s">
        <v>207</v>
      </c>
      <c r="C36" t="s">
        <v>53</v>
      </c>
      <c r="D36" t="s">
        <v>18</v>
      </c>
      <c r="E36" s="28">
        <v>478</v>
      </c>
      <c r="F36" s="13">
        <v>20.652467999999999</v>
      </c>
      <c r="G36" s="14">
        <f t="shared" si="0"/>
        <v>1.11E-2</v>
      </c>
      <c r="H36" s="15"/>
    </row>
    <row r="37" spans="1:13" ht="12.75" customHeight="1" x14ac:dyDescent="0.2">
      <c r="A37">
        <f>+MAX($A$8:A36)+1</f>
        <v>29</v>
      </c>
      <c r="B37" t="s">
        <v>250</v>
      </c>
      <c r="C37" t="s">
        <v>115</v>
      </c>
      <c r="D37" t="s">
        <v>36</v>
      </c>
      <c r="E37" s="28">
        <v>10068</v>
      </c>
      <c r="F37" s="13">
        <v>20.171237999999999</v>
      </c>
      <c r="G37" s="14">
        <f t="shared" si="0"/>
        <v>1.09E-2</v>
      </c>
      <c r="H37" s="15"/>
    </row>
    <row r="38" spans="1:13" ht="12.75" customHeight="1" x14ac:dyDescent="0.2">
      <c r="A38">
        <f>+MAX($A$8:A37)+1</f>
        <v>30</v>
      </c>
      <c r="B38" t="s">
        <v>277</v>
      </c>
      <c r="C38" t="s">
        <v>371</v>
      </c>
      <c r="D38" t="s">
        <v>24</v>
      </c>
      <c r="E38" s="28">
        <v>1083</v>
      </c>
      <c r="F38" s="13">
        <v>19.025061000000001</v>
      </c>
      <c r="G38" s="14">
        <f t="shared" si="0"/>
        <v>1.0200000000000001E-2</v>
      </c>
      <c r="H38" s="15"/>
    </row>
    <row r="39" spans="1:13" ht="12.75" customHeight="1" x14ac:dyDescent="0.2">
      <c r="A39">
        <f>+MAX($A$8:A38)+1</f>
        <v>31</v>
      </c>
      <c r="B39" t="s">
        <v>255</v>
      </c>
      <c r="C39" t="s">
        <v>118</v>
      </c>
      <c r="D39" t="s">
        <v>30</v>
      </c>
      <c r="E39" s="28">
        <v>3578</v>
      </c>
      <c r="F39" s="13">
        <v>18.523306000000002</v>
      </c>
      <c r="G39" s="14">
        <f t="shared" si="0"/>
        <v>0.01</v>
      </c>
      <c r="H39" s="15"/>
    </row>
    <row r="40" spans="1:13" ht="12.75" customHeight="1" x14ac:dyDescent="0.2">
      <c r="A40">
        <f>+MAX($A$8:A39)+1</f>
        <v>32</v>
      </c>
      <c r="B40" t="s">
        <v>275</v>
      </c>
      <c r="C40" t="s">
        <v>145</v>
      </c>
      <c r="D40" t="s">
        <v>20</v>
      </c>
      <c r="E40" s="28">
        <v>61</v>
      </c>
      <c r="F40" s="13">
        <v>18.507918500000002</v>
      </c>
      <c r="G40" s="14">
        <f t="shared" si="0"/>
        <v>0.01</v>
      </c>
      <c r="H40" s="15"/>
    </row>
    <row r="41" spans="1:13" ht="12.75" customHeight="1" x14ac:dyDescent="0.2">
      <c r="A41">
        <f>+MAX($A$8:A40)+1</f>
        <v>33</v>
      </c>
      <c r="B41" t="s">
        <v>263</v>
      </c>
      <c r="C41" t="s">
        <v>125</v>
      </c>
      <c r="D41" t="s">
        <v>45</v>
      </c>
      <c r="E41" s="28">
        <v>6682</v>
      </c>
      <c r="F41" s="13">
        <v>18.278611000000001</v>
      </c>
      <c r="G41" s="14">
        <f t="shared" ref="G41:G58" si="2">+ROUND(F41/VLOOKUP("Grand Total",$B$4:$F$283,5,0),4)</f>
        <v>9.7999999999999997E-3</v>
      </c>
      <c r="H41" s="15"/>
    </row>
    <row r="42" spans="1:13" ht="12.75" customHeight="1" x14ac:dyDescent="0.2">
      <c r="A42">
        <f>+MAX($A$8:A41)+1</f>
        <v>34</v>
      </c>
      <c r="B42" t="s">
        <v>249</v>
      </c>
      <c r="C42" t="s">
        <v>112</v>
      </c>
      <c r="D42" t="s">
        <v>14</v>
      </c>
      <c r="E42" s="28">
        <v>5798</v>
      </c>
      <c r="F42" s="13">
        <v>18.220215</v>
      </c>
      <c r="G42" s="14">
        <f t="shared" si="2"/>
        <v>9.7999999999999997E-3</v>
      </c>
      <c r="H42" s="15"/>
    </row>
    <row r="43" spans="1:13" ht="12.75" customHeight="1" x14ac:dyDescent="0.2">
      <c r="A43">
        <f>+MAX($A$8:A42)+1</f>
        <v>35</v>
      </c>
      <c r="B43" t="s">
        <v>292</v>
      </c>
      <c r="C43" t="s">
        <v>177</v>
      </c>
      <c r="D43" t="s">
        <v>30</v>
      </c>
      <c r="E43" s="28">
        <v>4673</v>
      </c>
      <c r="F43" s="13">
        <v>18.156941499999999</v>
      </c>
      <c r="G43" s="14">
        <f t="shared" si="2"/>
        <v>9.7999999999999997E-3</v>
      </c>
      <c r="H43" s="15"/>
    </row>
    <row r="44" spans="1:13" ht="12.75" customHeight="1" x14ac:dyDescent="0.2">
      <c r="A44">
        <f>+MAX($A$8:A43)+1</f>
        <v>36</v>
      </c>
      <c r="B44" t="s">
        <v>355</v>
      </c>
      <c r="C44" t="s">
        <v>356</v>
      </c>
      <c r="D44" t="s">
        <v>24</v>
      </c>
      <c r="E44" s="28">
        <v>1478</v>
      </c>
      <c r="F44" s="13">
        <v>17.685748</v>
      </c>
      <c r="G44" s="14">
        <f t="shared" si="2"/>
        <v>9.4999999999999998E-3</v>
      </c>
      <c r="H44" s="15"/>
    </row>
    <row r="45" spans="1:13" ht="12.75" customHeight="1" x14ac:dyDescent="0.2">
      <c r="A45">
        <f>+MAX($A$8:A44)+1</f>
        <v>37</v>
      </c>
      <c r="B45" t="s">
        <v>231</v>
      </c>
      <c r="C45" t="s">
        <v>80</v>
      </c>
      <c r="D45" t="s">
        <v>51</v>
      </c>
      <c r="E45" s="28">
        <v>5973</v>
      </c>
      <c r="F45" s="13">
        <v>15.706003500000001</v>
      </c>
      <c r="G45" s="14">
        <f t="shared" si="2"/>
        <v>8.5000000000000006E-3</v>
      </c>
      <c r="H45" s="15"/>
    </row>
    <row r="46" spans="1:13" ht="12.75" customHeight="1" x14ac:dyDescent="0.2">
      <c r="A46">
        <f>+MAX($A$8:A45)+1</f>
        <v>38</v>
      </c>
      <c r="B46" t="s">
        <v>258</v>
      </c>
      <c r="C46" t="s">
        <v>120</v>
      </c>
      <c r="D46" t="s">
        <v>47</v>
      </c>
      <c r="E46" s="28">
        <v>2945</v>
      </c>
      <c r="F46" s="13">
        <v>14.7146925</v>
      </c>
      <c r="G46" s="14">
        <f t="shared" si="2"/>
        <v>7.9000000000000008E-3</v>
      </c>
      <c r="H46" s="15"/>
    </row>
    <row r="47" spans="1:13" ht="12.75" customHeight="1" x14ac:dyDescent="0.2">
      <c r="A47">
        <f>+MAX($A$8:A46)+1</f>
        <v>39</v>
      </c>
      <c r="B47" t="s">
        <v>256</v>
      </c>
      <c r="C47" t="s">
        <v>119</v>
      </c>
      <c r="D47" t="s">
        <v>103</v>
      </c>
      <c r="E47" s="28">
        <v>2509</v>
      </c>
      <c r="F47" s="13">
        <v>14.597362</v>
      </c>
      <c r="G47" s="14">
        <f t="shared" si="2"/>
        <v>7.9000000000000008E-3</v>
      </c>
      <c r="H47" s="15"/>
    </row>
    <row r="48" spans="1:13" ht="12.75" customHeight="1" x14ac:dyDescent="0.2">
      <c r="A48">
        <f>+MAX($A$8:A47)+1</f>
        <v>40</v>
      </c>
      <c r="B48" t="s">
        <v>257</v>
      </c>
      <c r="C48" t="s">
        <v>117</v>
      </c>
      <c r="D48" t="s">
        <v>37</v>
      </c>
      <c r="E48" s="28">
        <v>3584</v>
      </c>
      <c r="F48" s="13">
        <v>14.538496</v>
      </c>
      <c r="G48" s="14">
        <f t="shared" si="2"/>
        <v>7.7999999999999996E-3</v>
      </c>
      <c r="H48" s="15"/>
    </row>
    <row r="49" spans="1:9" ht="12.75" customHeight="1" x14ac:dyDescent="0.2">
      <c r="A49">
        <f>+MAX($A$8:A48)+1</f>
        <v>41</v>
      </c>
      <c r="B49" t="s">
        <v>252</v>
      </c>
      <c r="C49" t="s">
        <v>114</v>
      </c>
      <c r="D49" t="s">
        <v>14</v>
      </c>
      <c r="E49" s="28">
        <v>2863</v>
      </c>
      <c r="F49" s="13">
        <v>14.430951499999999</v>
      </c>
      <c r="G49" s="14">
        <f t="shared" si="2"/>
        <v>7.7999999999999996E-3</v>
      </c>
      <c r="H49" s="15"/>
    </row>
    <row r="50" spans="1:9" ht="12.75" customHeight="1" x14ac:dyDescent="0.2">
      <c r="A50">
        <f>+MAX($A$8:A49)+1</f>
        <v>42</v>
      </c>
      <c r="B50" t="s">
        <v>232</v>
      </c>
      <c r="C50" t="s">
        <v>81</v>
      </c>
      <c r="D50" t="s">
        <v>30</v>
      </c>
      <c r="E50" s="28">
        <v>3377</v>
      </c>
      <c r="F50" s="13">
        <v>14.136122</v>
      </c>
      <c r="G50" s="14">
        <f t="shared" si="2"/>
        <v>7.6E-3</v>
      </c>
      <c r="H50" s="15"/>
    </row>
    <row r="51" spans="1:9" ht="12.75" customHeight="1" x14ac:dyDescent="0.2">
      <c r="A51">
        <f>+MAX($A$8:A50)+1</f>
        <v>43</v>
      </c>
      <c r="B51" t="s">
        <v>211</v>
      </c>
      <c r="C51" t="s">
        <v>69</v>
      </c>
      <c r="D51" t="s">
        <v>22</v>
      </c>
      <c r="E51" s="28">
        <v>2323</v>
      </c>
      <c r="F51" s="13">
        <v>14.135455</v>
      </c>
      <c r="G51" s="14">
        <f t="shared" si="2"/>
        <v>7.6E-3</v>
      </c>
      <c r="H51" s="15"/>
    </row>
    <row r="52" spans="1:9" ht="12.75" customHeight="1" x14ac:dyDescent="0.2">
      <c r="A52">
        <f>+MAX($A$8:A51)+1</f>
        <v>44</v>
      </c>
      <c r="B52" t="s">
        <v>247</v>
      </c>
      <c r="C52" t="s">
        <v>110</v>
      </c>
      <c r="D52" t="s">
        <v>22</v>
      </c>
      <c r="E52" s="28">
        <v>555</v>
      </c>
      <c r="F52" s="13">
        <v>13.398809999999999</v>
      </c>
      <c r="G52" s="14">
        <f t="shared" si="2"/>
        <v>7.1999999999999998E-3</v>
      </c>
      <c r="H52" s="15"/>
    </row>
    <row r="53" spans="1:9" ht="12.75" customHeight="1" x14ac:dyDescent="0.2">
      <c r="A53">
        <f>+MAX($A$8:A52)+1</f>
        <v>45</v>
      </c>
      <c r="B53" t="s">
        <v>287</v>
      </c>
      <c r="C53" t="s">
        <v>159</v>
      </c>
      <c r="D53" t="s">
        <v>135</v>
      </c>
      <c r="E53" s="28">
        <v>1655</v>
      </c>
      <c r="F53" s="13">
        <v>12.622685000000001</v>
      </c>
      <c r="G53" s="14">
        <f t="shared" si="2"/>
        <v>6.7999999999999996E-3</v>
      </c>
      <c r="H53" s="15"/>
    </row>
    <row r="54" spans="1:9" ht="12.75" customHeight="1" x14ac:dyDescent="0.2">
      <c r="A54">
        <f>+MAX($A$8:A53)+1</f>
        <v>46</v>
      </c>
      <c r="B54" t="s">
        <v>330</v>
      </c>
      <c r="C54" t="s">
        <v>331</v>
      </c>
      <c r="D54" t="s">
        <v>352</v>
      </c>
      <c r="E54" s="28">
        <v>3221</v>
      </c>
      <c r="F54" s="13">
        <v>12.1995375</v>
      </c>
      <c r="G54" s="14">
        <f t="shared" si="2"/>
        <v>6.6E-3</v>
      </c>
      <c r="H54" s="15"/>
    </row>
    <row r="55" spans="1:9" ht="12.75" customHeight="1" x14ac:dyDescent="0.2">
      <c r="A55">
        <f>+MAX($A$8:A54)+1</f>
        <v>47</v>
      </c>
      <c r="B55" t="s">
        <v>245</v>
      </c>
      <c r="C55" t="s">
        <v>105</v>
      </c>
      <c r="D55" t="s">
        <v>22</v>
      </c>
      <c r="E55" s="28">
        <v>1097</v>
      </c>
      <c r="F55" s="13">
        <v>9.7095469999999988</v>
      </c>
      <c r="G55" s="14">
        <f t="shared" si="2"/>
        <v>5.1999999999999998E-3</v>
      </c>
      <c r="H55" s="15"/>
    </row>
    <row r="56" spans="1:9" ht="12.75" customHeight="1" x14ac:dyDescent="0.2">
      <c r="A56">
        <f>+MAX($A$8:A55)+1</f>
        <v>48</v>
      </c>
      <c r="B56" t="s">
        <v>261</v>
      </c>
      <c r="C56" t="s">
        <v>122</v>
      </c>
      <c r="D56" t="s">
        <v>18</v>
      </c>
      <c r="E56" s="28">
        <v>3367</v>
      </c>
      <c r="F56" s="13">
        <v>9.1599234999999997</v>
      </c>
      <c r="G56" s="14">
        <f t="shared" si="2"/>
        <v>4.8999999999999998E-3</v>
      </c>
      <c r="H56" s="15"/>
    </row>
    <row r="57" spans="1:9" ht="12.75" customHeight="1" x14ac:dyDescent="0.2">
      <c r="A57">
        <f>+MAX($A$8:A56)+1</f>
        <v>49</v>
      </c>
      <c r="B57" t="s">
        <v>218</v>
      </c>
      <c r="C57" t="s">
        <v>61</v>
      </c>
      <c r="D57" t="s">
        <v>22</v>
      </c>
      <c r="E57" s="28">
        <v>1289</v>
      </c>
      <c r="F57" s="13">
        <v>8.8676755000000007</v>
      </c>
      <c r="G57" s="14">
        <f t="shared" si="2"/>
        <v>4.7999999999999996E-3</v>
      </c>
      <c r="H57" s="15"/>
    </row>
    <row r="58" spans="1:9" ht="12.75" customHeight="1" x14ac:dyDescent="0.2">
      <c r="A58">
        <f>+MAX($A$8:A57)+1</f>
        <v>50</v>
      </c>
      <c r="B58" t="s">
        <v>260</v>
      </c>
      <c r="C58" t="s">
        <v>121</v>
      </c>
      <c r="D58" t="s">
        <v>38</v>
      </c>
      <c r="E58" s="28">
        <v>42</v>
      </c>
      <c r="F58" s="13">
        <v>8.4695309999999999</v>
      </c>
      <c r="G58" s="14">
        <f t="shared" si="2"/>
        <v>4.5999999999999999E-3</v>
      </c>
      <c r="H58" s="15"/>
    </row>
    <row r="59" spans="1:9" ht="12.75" customHeight="1" x14ac:dyDescent="0.2">
      <c r="B59" s="18" t="s">
        <v>86</v>
      </c>
      <c r="C59" s="18"/>
      <c r="D59" s="18"/>
      <c r="E59" s="29"/>
      <c r="F59" s="19">
        <f>SUM(F9:F58)</f>
        <v>1857.0633549999998</v>
      </c>
      <c r="G59" s="20">
        <f>SUM(G9:G58)</f>
        <v>1.0002000000000002</v>
      </c>
      <c r="H59" s="21"/>
      <c r="I59" s="35"/>
    </row>
    <row r="60" spans="1:9" ht="12.75" customHeight="1" x14ac:dyDescent="0.2">
      <c r="F60" s="13"/>
      <c r="G60" s="14"/>
      <c r="H60" s="15"/>
    </row>
    <row r="61" spans="1:9" ht="12.75" customHeight="1" x14ac:dyDescent="0.2">
      <c r="A61" s="95" t="s">
        <v>380</v>
      </c>
      <c r="B61" s="16" t="s">
        <v>94</v>
      </c>
      <c r="C61" s="16"/>
      <c r="F61" s="13">
        <v>4.1888769999999997</v>
      </c>
      <c r="G61" s="14">
        <f>+ROUND(F61/VLOOKUP("Grand Total",$B$4:$F$283,5,0),4)</f>
        <v>2.3E-3</v>
      </c>
      <c r="H61" s="15">
        <v>43101</v>
      </c>
    </row>
    <row r="62" spans="1:9" ht="12.75" customHeight="1" x14ac:dyDescent="0.2">
      <c r="B62" s="18" t="s">
        <v>86</v>
      </c>
      <c r="C62" s="18"/>
      <c r="D62" s="18"/>
      <c r="E62" s="29"/>
      <c r="F62" s="19">
        <f>SUM(F61)</f>
        <v>4.1888769999999997</v>
      </c>
      <c r="G62" s="20">
        <f>SUM(G61)</f>
        <v>2.3E-3</v>
      </c>
      <c r="H62" s="21"/>
      <c r="I62" s="35"/>
    </row>
    <row r="63" spans="1:9" ht="12.75" customHeight="1" x14ac:dyDescent="0.2">
      <c r="F63" s="13"/>
      <c r="G63" s="14"/>
      <c r="H63" s="15"/>
    </row>
    <row r="64" spans="1:9" ht="12.75" customHeight="1" x14ac:dyDescent="0.2">
      <c r="B64" s="16" t="s">
        <v>95</v>
      </c>
      <c r="C64" s="16"/>
      <c r="F64" s="13"/>
      <c r="G64" s="14"/>
      <c r="H64" s="15"/>
    </row>
    <row r="65" spans="2:9" ht="12.75" customHeight="1" x14ac:dyDescent="0.2">
      <c r="B65" s="16" t="s">
        <v>96</v>
      </c>
      <c r="C65" s="16"/>
      <c r="F65" s="13">
        <v>-4.9561697999999978</v>
      </c>
      <c r="G65" s="14">
        <f>+ROUND(F65/VLOOKUP("Grand Total",$B$4:$F$283,5,0),4)+0.02%</f>
        <v>-2.5000000000000001E-3</v>
      </c>
      <c r="H65" s="15"/>
    </row>
    <row r="66" spans="2:9" ht="12.75" customHeight="1" x14ac:dyDescent="0.2">
      <c r="B66" s="18" t="s">
        <v>86</v>
      </c>
      <c r="C66" s="18"/>
      <c r="D66" s="18"/>
      <c r="E66" s="29"/>
      <c r="F66" s="19">
        <f>SUM(F65)</f>
        <v>-4.9561697999999978</v>
      </c>
      <c r="G66" s="51">
        <f>SUM(G65)</f>
        <v>-2.5000000000000001E-3</v>
      </c>
      <c r="H66" s="21"/>
      <c r="I66" s="35"/>
    </row>
    <row r="67" spans="2:9" ht="12.75" customHeight="1" x14ac:dyDescent="0.2">
      <c r="B67" s="22" t="s">
        <v>97</v>
      </c>
      <c r="C67" s="22"/>
      <c r="D67" s="22"/>
      <c r="E67" s="30"/>
      <c r="F67" s="23">
        <f>+SUMIF($B$5:B66,"Total",$F$5:F66)</f>
        <v>1856.2960621999998</v>
      </c>
      <c r="G67" s="24">
        <f>+SUMIF($B$5:B66,"Total",$G$5:G66)</f>
        <v>1.0000000000000002</v>
      </c>
      <c r="H67" s="25"/>
      <c r="I67" s="35"/>
    </row>
    <row r="68" spans="2:9" ht="12.75" customHeight="1" x14ac:dyDescent="0.2"/>
    <row r="69" spans="2:9" ht="12.75" customHeight="1" x14ac:dyDescent="0.2">
      <c r="B69" s="16"/>
      <c r="C69" s="16"/>
    </row>
    <row r="70" spans="2:9" ht="12.75" customHeight="1" x14ac:dyDescent="0.2">
      <c r="B70" s="16"/>
      <c r="C70" s="16"/>
    </row>
    <row r="71" spans="2:9" ht="12.75" customHeight="1" x14ac:dyDescent="0.2">
      <c r="B71" s="16"/>
      <c r="C71" s="16"/>
    </row>
    <row r="72" spans="2:9" ht="12.75" customHeight="1" x14ac:dyDescent="0.2">
      <c r="B72" s="16"/>
      <c r="C72" s="16"/>
    </row>
    <row r="73" spans="2:9" ht="12.75" customHeight="1" x14ac:dyDescent="0.2">
      <c r="B73" s="16"/>
      <c r="C73" s="16"/>
    </row>
    <row r="74" spans="2:9" ht="12.75" customHeight="1" x14ac:dyDescent="0.2"/>
    <row r="75" spans="2:9" ht="12.75" customHeight="1" x14ac:dyDescent="0.2"/>
    <row r="76" spans="2:9" ht="12.75" customHeight="1" x14ac:dyDescent="0.2"/>
    <row r="77" spans="2:9" ht="12.75" customHeight="1" x14ac:dyDescent="0.2"/>
    <row r="78" spans="2:9" ht="12.75" customHeight="1" x14ac:dyDescent="0.2"/>
    <row r="79" spans="2:9" ht="12.75" customHeight="1" x14ac:dyDescent="0.2"/>
    <row r="80" spans="2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</sheetData>
  <sheetProtection password="EDB3" sheet="1" objects="1" scenarios="1"/>
  <sortState ref="J9:K28">
    <sortCondition descending="1" ref="K9:K28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400</v>
      </c>
      <c r="B1" s="123" t="s">
        <v>513</v>
      </c>
      <c r="C1" s="124"/>
      <c r="D1" s="124"/>
      <c r="E1" s="124"/>
      <c r="F1" s="124"/>
      <c r="G1" s="124"/>
      <c r="H1" s="125"/>
    </row>
    <row r="2" spans="1:12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93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471</v>
      </c>
      <c r="C8" t="s">
        <v>305</v>
      </c>
      <c r="D8" t="s">
        <v>325</v>
      </c>
      <c r="E8" s="28">
        <v>561418.50529999996</v>
      </c>
      <c r="F8" s="13">
        <v>174.57701420000001</v>
      </c>
      <c r="G8" s="14">
        <f>+ROUND(F8/VLOOKUP("Grand Total",$B$4:$F$294,5,0),4)</f>
        <v>0.57850000000000001</v>
      </c>
      <c r="H8" s="15" t="s">
        <v>381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342</v>
      </c>
      <c r="C9" t="s">
        <v>307</v>
      </c>
      <c r="D9" t="s">
        <v>325</v>
      </c>
      <c r="E9" s="28">
        <v>2611.7629999999999</v>
      </c>
      <c r="F9" s="13">
        <v>73.243370099999993</v>
      </c>
      <c r="G9" s="14">
        <f>+ROUND(F9/VLOOKUP("Grand Total",$B$4:$F$294,5,0),4)</f>
        <v>0.2427</v>
      </c>
      <c r="H9" s="15" t="s">
        <v>381</v>
      </c>
      <c r="J9" s="14" t="s">
        <v>325</v>
      </c>
      <c r="K9" s="48">
        <f>SUMIFS($G$5:$G$321,$D$5:$D$321,J9)</f>
        <v>0.98320000000000007</v>
      </c>
    </row>
    <row r="10" spans="1:12" ht="12.75" customHeight="1" x14ac:dyDescent="0.2">
      <c r="A10">
        <f>+MAX($A$7:A9)+1</f>
        <v>3</v>
      </c>
      <c r="B10" t="s">
        <v>472</v>
      </c>
      <c r="C10" t="s">
        <v>306</v>
      </c>
      <c r="D10" t="s">
        <v>325</v>
      </c>
      <c r="E10" s="28">
        <v>75838.378899999996</v>
      </c>
      <c r="F10" s="13">
        <v>48.893002899999999</v>
      </c>
      <c r="G10" s="14">
        <f>+ROUND(F10/VLOOKUP("Grand Total",$B$4:$F$294,5,0),4)</f>
        <v>0.16200000000000001</v>
      </c>
      <c r="H10" s="15" t="s">
        <v>381</v>
      </c>
      <c r="J10" s="14" t="s">
        <v>64</v>
      </c>
      <c r="K10" s="48">
        <f>+SUMIFS($G$5:$G$1000,$B$5:$B$1000,"CBLO / Reverse Repo Investments")+SUMIFS($G$5:$G$1000,$B$5:$B$1000,"Net Receivable/Payable")</f>
        <v>1.6799999999999999E-2</v>
      </c>
    </row>
    <row r="11" spans="1:12" ht="12.75" customHeight="1" x14ac:dyDescent="0.2">
      <c r="B11" s="18" t="s">
        <v>86</v>
      </c>
      <c r="C11" s="18"/>
      <c r="D11" s="18"/>
      <c r="E11" s="29"/>
      <c r="F11" s="19">
        <f>SUM(F8:F10)</f>
        <v>296.7133872</v>
      </c>
      <c r="G11" s="20">
        <f>SUM(G8:G10)</f>
        <v>0.98320000000000007</v>
      </c>
      <c r="H11" s="21"/>
      <c r="I11" s="35"/>
    </row>
    <row r="12" spans="1:12" ht="12.75" customHeight="1" x14ac:dyDescent="0.2">
      <c r="F12" s="13"/>
      <c r="G12" s="14"/>
      <c r="H12" s="15"/>
      <c r="L12" s="54">
        <f>+SUM($K$9:K10)</f>
        <v>1</v>
      </c>
    </row>
    <row r="13" spans="1:12" ht="12.75" customHeight="1" x14ac:dyDescent="0.2">
      <c r="B13" s="16" t="s">
        <v>94</v>
      </c>
      <c r="C13" s="16"/>
      <c r="F13" s="13">
        <v>5.1862225000000004</v>
      </c>
      <c r="G13" s="14">
        <f>+ROUND(F13/VLOOKUP("Grand Total",$B$4:$F$294,5,0),4)</f>
        <v>1.72E-2</v>
      </c>
      <c r="H13" s="15">
        <v>43101</v>
      </c>
    </row>
    <row r="14" spans="1:12" ht="12.75" customHeight="1" x14ac:dyDescent="0.2">
      <c r="B14" s="18" t="s">
        <v>86</v>
      </c>
      <c r="C14" s="18"/>
      <c r="D14" s="18"/>
      <c r="E14" s="29"/>
      <c r="F14" s="19">
        <f>SUM(F13)</f>
        <v>5.1862225000000004</v>
      </c>
      <c r="G14" s="20">
        <f>SUM(G13)</f>
        <v>1.72E-2</v>
      </c>
      <c r="H14" s="21"/>
      <c r="I14" s="35"/>
      <c r="J14" s="14"/>
    </row>
    <row r="15" spans="1:12" ht="12.75" customHeight="1" x14ac:dyDescent="0.2">
      <c r="F15" s="13"/>
      <c r="G15" s="14"/>
      <c r="H15" s="15"/>
      <c r="J15" s="14"/>
      <c r="L15" s="54"/>
    </row>
    <row r="16" spans="1:12" ht="12.75" customHeight="1" x14ac:dyDescent="0.2">
      <c r="B16" s="16" t="s">
        <v>95</v>
      </c>
      <c r="C16" s="16"/>
      <c r="F16" s="13"/>
      <c r="G16" s="14"/>
      <c r="H16" s="15"/>
    </row>
    <row r="17" spans="2:12" ht="12.75" customHeight="1" x14ac:dyDescent="0.2">
      <c r="B17" s="16" t="s">
        <v>96</v>
      </c>
      <c r="C17" s="16"/>
      <c r="F17" s="43">
        <v>-0.12133879999998953</v>
      </c>
      <c r="G17" s="14">
        <f>+ROUND(F17/VLOOKUP("Grand Total",$B$4:$F$294,5,0),4)</f>
        <v>-4.0000000000000002E-4</v>
      </c>
      <c r="H17" s="15"/>
      <c r="J17" s="14"/>
      <c r="L17" s="54"/>
    </row>
    <row r="18" spans="2:12" ht="12.75" customHeight="1" x14ac:dyDescent="0.2">
      <c r="B18" s="18" t="s">
        <v>86</v>
      </c>
      <c r="C18" s="18"/>
      <c r="D18" s="18"/>
      <c r="E18" s="29"/>
      <c r="F18" s="50">
        <f>SUM(F17:F17)</f>
        <v>-0.12133879999998953</v>
      </c>
      <c r="G18" s="20">
        <f>SUM(G17:G17)</f>
        <v>-4.0000000000000002E-4</v>
      </c>
      <c r="H18" s="21"/>
    </row>
    <row r="19" spans="2:12" ht="12.75" customHeight="1" x14ac:dyDescent="0.2">
      <c r="B19" s="22" t="s">
        <v>97</v>
      </c>
      <c r="C19" s="22"/>
      <c r="D19" s="22"/>
      <c r="E19" s="30"/>
      <c r="F19" s="23">
        <f>+SUMIF($B$5:B18,"Total",$F$5:F18)</f>
        <v>301.7782709</v>
      </c>
      <c r="G19" s="24">
        <f>+SUMIF($B$5:B18,"Total",$G$5:G18)</f>
        <v>1.0000000000000002</v>
      </c>
      <c r="H19" s="25"/>
    </row>
    <row r="20" spans="2:12" ht="12.75" customHeight="1" x14ac:dyDescent="0.2">
      <c r="I20" s="35"/>
    </row>
    <row r="21" spans="2:12" ht="12.75" customHeight="1" x14ac:dyDescent="0.2">
      <c r="I21" s="35"/>
    </row>
    <row r="22" spans="2:12" ht="12.75" customHeight="1" x14ac:dyDescent="0.2"/>
    <row r="23" spans="2:12" ht="12.75" customHeight="1" x14ac:dyDescent="0.2">
      <c r="B23" s="16"/>
      <c r="C23" s="16"/>
    </row>
    <row r="24" spans="2:12" ht="12.75" customHeight="1" x14ac:dyDescent="0.2">
      <c r="B24" s="16"/>
      <c r="C24" s="16"/>
    </row>
    <row r="25" spans="2:12" ht="12.75" customHeight="1" x14ac:dyDescent="0.2">
      <c r="B25" s="16"/>
      <c r="C25" s="16"/>
    </row>
    <row r="26" spans="2:12" ht="12.75" customHeight="1" x14ac:dyDescent="0.2">
      <c r="B26" s="16"/>
      <c r="C26" s="16"/>
    </row>
    <row r="27" spans="2:12" ht="12.75" customHeight="1" x14ac:dyDescent="0.2">
      <c r="B27" s="16"/>
      <c r="C27" s="16"/>
    </row>
    <row r="28" spans="2:12" ht="12.75" customHeight="1" x14ac:dyDescent="0.2"/>
    <row r="29" spans="2:12" ht="12.75" customHeight="1" x14ac:dyDescent="0.2"/>
    <row r="30" spans="2:12" ht="12.75" customHeight="1" x14ac:dyDescent="0.2"/>
    <row r="31" spans="2:12" ht="12.75" customHeight="1" x14ac:dyDescent="0.2"/>
    <row r="32" spans="2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401</v>
      </c>
      <c r="B1" s="123" t="s">
        <v>514</v>
      </c>
      <c r="C1" s="124"/>
      <c r="D1" s="124"/>
      <c r="E1" s="124"/>
      <c r="F1" s="124"/>
      <c r="G1" s="124"/>
      <c r="H1" s="125"/>
    </row>
    <row r="2" spans="1:12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93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472</v>
      </c>
      <c r="C8" t="s">
        <v>306</v>
      </c>
      <c r="D8" t="s">
        <v>325</v>
      </c>
      <c r="E8" s="28">
        <v>142319.2978</v>
      </c>
      <c r="F8" s="13">
        <v>91.753251300000002</v>
      </c>
      <c r="G8" s="14">
        <f>+ROUND(F8/VLOOKUP("Grand Total",$B$4:$F$295,5,0),4)</f>
        <v>0.55079999999999996</v>
      </c>
      <c r="H8" s="15" t="s">
        <v>381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309</v>
      </c>
      <c r="C9" t="s">
        <v>308</v>
      </c>
      <c r="D9" t="s">
        <v>325</v>
      </c>
      <c r="E9" s="28">
        <v>31820.3</v>
      </c>
      <c r="F9" s="13">
        <v>37.7197836</v>
      </c>
      <c r="G9" s="14">
        <f>+ROUND(F9/VLOOKUP("Grand Total",$B$4:$F$295,5,0),4)</f>
        <v>0.22639999999999999</v>
      </c>
      <c r="H9" s="15" t="s">
        <v>381</v>
      </c>
      <c r="J9" s="14" t="s">
        <v>325</v>
      </c>
      <c r="K9" s="48">
        <f>SUMIFS($G$5:$G$321,$D$5:$D$321,J9)</f>
        <v>0.9998999999999999</v>
      </c>
    </row>
    <row r="10" spans="1:12" ht="12.75" customHeight="1" x14ac:dyDescent="0.2">
      <c r="A10">
        <f>+MAX($A$7:A9)+1</f>
        <v>3</v>
      </c>
      <c r="B10" t="s">
        <v>471</v>
      </c>
      <c r="C10" t="s">
        <v>305</v>
      </c>
      <c r="D10" t="s">
        <v>325</v>
      </c>
      <c r="E10" s="28">
        <v>80977.752200000003</v>
      </c>
      <c r="F10" s="13">
        <v>25.1805989</v>
      </c>
      <c r="G10" s="14">
        <f>+ROUND(F10/VLOOKUP("Grand Total",$B$4:$F$295,5,0),4)</f>
        <v>0.15110000000000001</v>
      </c>
      <c r="H10" s="15" t="s">
        <v>381</v>
      </c>
      <c r="J10" s="14" t="s">
        <v>64</v>
      </c>
      <c r="K10" s="48">
        <f>+SUMIFS($G$5:$G$1000,$B$5:$B$1000,"CBLO / Reverse Repo Investments")+SUMIFS($G$5:$G$1000,$B$5:$B$1000,"Net Receivable/Payable")</f>
        <v>9.9999999999999829E-5</v>
      </c>
    </row>
    <row r="11" spans="1:12" ht="12.75" customHeight="1" x14ac:dyDescent="0.2">
      <c r="A11">
        <f>+MAX($A$7:A10)+1</f>
        <v>4</v>
      </c>
      <c r="B11" t="s">
        <v>342</v>
      </c>
      <c r="C11" t="s">
        <v>307</v>
      </c>
      <c r="D11" t="s">
        <v>325</v>
      </c>
      <c r="E11" s="28">
        <v>425.27300000000002</v>
      </c>
      <c r="F11" s="13">
        <v>11.9262076</v>
      </c>
      <c r="G11" s="14">
        <f>+ROUND(F11/VLOOKUP("Grand Total",$B$4:$F$295,5,0),4)</f>
        <v>7.1599999999999997E-2</v>
      </c>
      <c r="H11" s="15" t="s">
        <v>381</v>
      </c>
      <c r="J11" s="14"/>
    </row>
    <row r="12" spans="1:12" ht="12.75" customHeight="1" x14ac:dyDescent="0.2">
      <c r="B12" s="18" t="s">
        <v>86</v>
      </c>
      <c r="C12" s="18"/>
      <c r="D12" s="18"/>
      <c r="E12" s="29"/>
      <c r="F12" s="19">
        <f>SUM(F8:F11)</f>
        <v>166.57984140000002</v>
      </c>
      <c r="G12" s="20">
        <f>SUM(G8:G11)</f>
        <v>0.9998999999999999</v>
      </c>
      <c r="H12" s="21"/>
      <c r="I12" s="35"/>
    </row>
    <row r="13" spans="1:12" ht="11.25" customHeight="1" x14ac:dyDescent="0.2">
      <c r="F13" s="13"/>
      <c r="G13" s="14"/>
      <c r="H13" s="15"/>
      <c r="L13" s="54">
        <f>+SUM($K$10:K10)</f>
        <v>9.9999999999999829E-5</v>
      </c>
    </row>
    <row r="14" spans="1:12" ht="12.75" customHeight="1" x14ac:dyDescent="0.2">
      <c r="A14" s="95" t="s">
        <v>380</v>
      </c>
      <c r="B14" s="16" t="s">
        <v>94</v>
      </c>
      <c r="C14" s="16"/>
      <c r="F14" s="13">
        <v>0.39894019999999997</v>
      </c>
      <c r="G14" s="14">
        <f>+ROUND(F14/VLOOKUP("Grand Total",$B$4:$F$288,5,0),4)</f>
        <v>2.3999999999999998E-3</v>
      </c>
      <c r="H14" s="15">
        <v>43101</v>
      </c>
    </row>
    <row r="15" spans="1:12" ht="12.75" customHeight="1" x14ac:dyDescent="0.2">
      <c r="B15" s="18" t="s">
        <v>86</v>
      </c>
      <c r="C15" s="18"/>
      <c r="D15" s="18"/>
      <c r="E15" s="29"/>
      <c r="F15" s="19">
        <f>SUM(F14:F14)</f>
        <v>0.39894019999999997</v>
      </c>
      <c r="G15" s="20">
        <f>SUM(G14:G14)</f>
        <v>2.3999999999999998E-3</v>
      </c>
      <c r="H15" s="21"/>
      <c r="I15" s="35"/>
    </row>
    <row r="16" spans="1:12" ht="12.75" customHeight="1" x14ac:dyDescent="0.2"/>
    <row r="17" spans="2:9" ht="12.75" customHeight="1" x14ac:dyDescent="0.2">
      <c r="B17" s="16" t="s">
        <v>95</v>
      </c>
      <c r="C17" s="16"/>
      <c r="F17" s="13"/>
      <c r="G17" s="14"/>
      <c r="H17" s="15"/>
    </row>
    <row r="18" spans="2:9" ht="12.75" customHeight="1" x14ac:dyDescent="0.2">
      <c r="B18" s="16" t="s">
        <v>96</v>
      </c>
      <c r="C18" s="16"/>
      <c r="F18" s="13">
        <v>-0.38358610000000226</v>
      </c>
      <c r="G18" s="14">
        <f>+ROUND(F18/VLOOKUP("Grand Total",$B$4:$F$295,5,0),4)</f>
        <v>-2.3E-3</v>
      </c>
      <c r="H18" s="15"/>
    </row>
    <row r="19" spans="2:9" ht="12.75" customHeight="1" x14ac:dyDescent="0.2">
      <c r="B19" s="18" t="s">
        <v>86</v>
      </c>
      <c r="C19" s="18"/>
      <c r="D19" s="18"/>
      <c r="E19" s="29"/>
      <c r="F19" s="19">
        <f>SUM(F18:F18)</f>
        <v>-0.38358610000000226</v>
      </c>
      <c r="G19" s="20">
        <f>SUM(G18:G18)</f>
        <v>-2.3E-3</v>
      </c>
      <c r="H19" s="21"/>
      <c r="I19" s="35"/>
    </row>
    <row r="20" spans="2:9" ht="12.75" customHeight="1" x14ac:dyDescent="0.2">
      <c r="B20" s="22" t="s">
        <v>97</v>
      </c>
      <c r="C20" s="22"/>
      <c r="D20" s="22"/>
      <c r="E20" s="30"/>
      <c r="F20" s="23">
        <f>+SUMIF($B$5:B19,"Total",$F$5:F19)</f>
        <v>166.59519550000002</v>
      </c>
      <c r="G20" s="24">
        <f>+SUMIF($B$5:B19,"Total",$G$5:G19)</f>
        <v>1</v>
      </c>
      <c r="H20" s="25"/>
      <c r="I20" s="35"/>
    </row>
    <row r="21" spans="2:9" ht="12.75" customHeight="1" x14ac:dyDescent="0.2"/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>
      <c r="B25" s="16"/>
      <c r="C25" s="16"/>
    </row>
    <row r="26" spans="2:9" ht="12.75" customHeight="1" x14ac:dyDescent="0.2">
      <c r="B26" s="16"/>
      <c r="C26" s="16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26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8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  <col min="10" max="10" width="15" style="33" customWidth="1"/>
    <col min="11" max="11" width="21.5703125" bestFit="1" customWidth="1"/>
    <col min="12" max="12" width="8.28515625" style="36" bestFit="1" customWidth="1"/>
    <col min="13" max="13" width="13.42578125" bestFit="1" customWidth="1"/>
    <col min="14" max="14" width="10.140625" bestFit="1" customWidth="1"/>
    <col min="18" max="18" width="10.140625" bestFit="1" customWidth="1"/>
  </cols>
  <sheetData>
    <row r="1" spans="1:13" ht="18.75" x14ac:dyDescent="0.2">
      <c r="A1" s="94" t="s">
        <v>402</v>
      </c>
      <c r="B1" s="123" t="s">
        <v>336</v>
      </c>
      <c r="C1" s="124"/>
      <c r="D1" s="124"/>
      <c r="E1" s="124"/>
      <c r="F1" s="124"/>
      <c r="G1" s="124"/>
      <c r="H1" s="66"/>
      <c r="I1" s="66"/>
    </row>
    <row r="2" spans="1:13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  <c r="I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3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122" t="s">
        <v>797</v>
      </c>
      <c r="I4" s="32" t="s">
        <v>7</v>
      </c>
      <c r="J4" s="34"/>
    </row>
    <row r="5" spans="1:13" ht="12.75" customHeight="1" x14ac:dyDescent="0.2">
      <c r="B5" s="16"/>
      <c r="F5" s="13"/>
      <c r="G5" s="14"/>
      <c r="H5" s="14"/>
      <c r="I5" s="15"/>
    </row>
    <row r="6" spans="1:13" ht="12.75" customHeight="1" x14ac:dyDescent="0.2">
      <c r="B6" s="16"/>
      <c r="F6" s="13"/>
      <c r="G6" s="14"/>
      <c r="H6" s="14"/>
      <c r="I6" s="15"/>
    </row>
    <row r="7" spans="1:13" ht="12.75" customHeight="1" x14ac:dyDescent="0.2">
      <c r="B7" s="16" t="s">
        <v>9</v>
      </c>
      <c r="C7" s="16"/>
      <c r="F7" s="13"/>
      <c r="G7" s="14"/>
      <c r="H7" s="14"/>
      <c r="I7" s="15"/>
      <c r="K7" s="17" t="s">
        <v>4</v>
      </c>
      <c r="L7" s="37" t="s">
        <v>12</v>
      </c>
    </row>
    <row r="8" spans="1:13" ht="12.75" customHeight="1" x14ac:dyDescent="0.2">
      <c r="B8" s="16" t="s">
        <v>800</v>
      </c>
      <c r="C8" s="16"/>
      <c r="F8" s="13"/>
      <c r="G8" s="14"/>
      <c r="H8" s="14"/>
      <c r="I8" s="15"/>
      <c r="K8" s="106" t="s">
        <v>24</v>
      </c>
      <c r="L8" s="48">
        <f t="shared" ref="L8:L21" si="0">SUMIFS($G$5:$G$328,$D$5:$D$328,K8)</f>
        <v>0.22850000000000001</v>
      </c>
    </row>
    <row r="9" spans="1:13" s="77" customFormat="1" ht="12.75" customHeight="1" x14ac:dyDescent="0.2">
      <c r="A9" s="77">
        <f>+MAX($A$7:A8)+1</f>
        <v>1</v>
      </c>
      <c r="B9" s="77" t="s">
        <v>343</v>
      </c>
      <c r="C9" s="77" t="s">
        <v>344</v>
      </c>
      <c r="D9" s="77" t="s">
        <v>24</v>
      </c>
      <c r="E9" s="74">
        <v>118800</v>
      </c>
      <c r="F9" s="75">
        <v>74.725200000000001</v>
      </c>
      <c r="G9" s="76">
        <f>+ROUND(F9/VLOOKUP("Grand Total",$B$4:$F$228,5,0),4)</f>
        <v>8.5199999999999998E-2</v>
      </c>
      <c r="H9" s="76"/>
      <c r="I9" s="104"/>
      <c r="J9" s="105"/>
      <c r="K9" s="106" t="s">
        <v>325</v>
      </c>
      <c r="L9" s="48">
        <f t="shared" si="0"/>
        <v>0.1363</v>
      </c>
      <c r="M9" s="75"/>
    </row>
    <row r="10" spans="1:13" s="77" customFormat="1" ht="12.75" customHeight="1" x14ac:dyDescent="0.2">
      <c r="A10" s="77">
        <f>+A9+1</f>
        <v>2</v>
      </c>
      <c r="B10" s="77" t="s">
        <v>343</v>
      </c>
      <c r="C10" s="121" t="s">
        <v>570</v>
      </c>
      <c r="D10" s="77" t="s">
        <v>328</v>
      </c>
      <c r="E10" s="74">
        <v>-118800</v>
      </c>
      <c r="F10" s="75">
        <v>-75.022199999999998</v>
      </c>
      <c r="G10" s="76"/>
      <c r="H10" s="76">
        <f>+ROUND(F10/VLOOKUP("Grand Total",$B$4:$F$228,5,0),4)</f>
        <v>-8.5599999999999996E-2</v>
      </c>
      <c r="I10" s="104">
        <v>43125</v>
      </c>
      <c r="J10" s="105"/>
      <c r="K10" s="106" t="s">
        <v>100</v>
      </c>
      <c r="L10" s="48">
        <f t="shared" si="0"/>
        <v>8.3500000000000005E-2</v>
      </c>
      <c r="M10" s="75"/>
    </row>
    <row r="11" spans="1:13" s="77" customFormat="1" ht="12.75" customHeight="1" x14ac:dyDescent="0.2">
      <c r="A11" s="77">
        <f t="shared" ref="A11:A30" si="1">+A10+1</f>
        <v>3</v>
      </c>
      <c r="B11" s="77" t="s">
        <v>246</v>
      </c>
      <c r="C11" s="77" t="s">
        <v>108</v>
      </c>
      <c r="D11" s="77" t="s">
        <v>100</v>
      </c>
      <c r="E11" s="74">
        <v>37500</v>
      </c>
      <c r="F11" s="75">
        <v>73.2</v>
      </c>
      <c r="G11" s="76">
        <f>+ROUND(F11/VLOOKUP("Grand Total",$B$4:$F$228,5,0),4)</f>
        <v>8.3500000000000005E-2</v>
      </c>
      <c r="H11" s="76"/>
      <c r="I11" s="104"/>
      <c r="J11" s="105"/>
      <c r="K11" s="106" t="s">
        <v>22</v>
      </c>
      <c r="L11" s="48">
        <f t="shared" si="0"/>
        <v>8.1600000000000006E-2</v>
      </c>
      <c r="M11" s="75"/>
    </row>
    <row r="12" spans="1:13" s="77" customFormat="1" ht="12.75" customHeight="1" x14ac:dyDescent="0.2">
      <c r="A12" s="77">
        <f t="shared" si="1"/>
        <v>4</v>
      </c>
      <c r="B12" s="77" t="s">
        <v>246</v>
      </c>
      <c r="C12" s="121" t="s">
        <v>570</v>
      </c>
      <c r="D12" s="77" t="s">
        <v>328</v>
      </c>
      <c r="E12" s="74">
        <v>-37500</v>
      </c>
      <c r="F12" s="75">
        <v>-73.462500000000006</v>
      </c>
      <c r="G12" s="76"/>
      <c r="H12" s="76">
        <f>+ROUND(F12/VLOOKUP("Grand Total",$B$4:$F$228,5,0),4)</f>
        <v>-8.3799999999999999E-2</v>
      </c>
      <c r="I12" s="104">
        <v>43125</v>
      </c>
      <c r="J12" s="105"/>
      <c r="K12" s="106" t="s">
        <v>18</v>
      </c>
      <c r="L12" s="48">
        <f t="shared" si="0"/>
        <v>8.0600000000000005E-2</v>
      </c>
      <c r="M12" s="75"/>
    </row>
    <row r="13" spans="1:13" s="77" customFormat="1" ht="12.75" customHeight="1" x14ac:dyDescent="0.2">
      <c r="A13" s="77">
        <f t="shared" si="1"/>
        <v>5</v>
      </c>
      <c r="B13" s="77" t="s">
        <v>218</v>
      </c>
      <c r="C13" s="77" t="s">
        <v>61</v>
      </c>
      <c r="D13" s="77" t="s">
        <v>22</v>
      </c>
      <c r="E13" s="74">
        <v>10400</v>
      </c>
      <c r="F13" s="75">
        <v>71.546800000000005</v>
      </c>
      <c r="G13" s="76">
        <f>+ROUND(F13/VLOOKUP("Grand Total",$B$4:$F$228,5,0),4)</f>
        <v>8.1600000000000006E-2</v>
      </c>
      <c r="H13" s="76"/>
      <c r="I13" s="104"/>
      <c r="J13" s="105"/>
      <c r="K13" s="106" t="s">
        <v>595</v>
      </c>
      <c r="L13" s="48">
        <f t="shared" si="0"/>
        <v>7.9200000000000007E-2</v>
      </c>
      <c r="M13" s="75"/>
    </row>
    <row r="14" spans="1:13" s="77" customFormat="1" ht="12.75" customHeight="1" x14ac:dyDescent="0.2">
      <c r="A14" s="77">
        <f t="shared" si="1"/>
        <v>6</v>
      </c>
      <c r="B14" s="77" t="s">
        <v>218</v>
      </c>
      <c r="C14" s="121" t="s">
        <v>570</v>
      </c>
      <c r="D14" s="77" t="s">
        <v>328</v>
      </c>
      <c r="E14" s="74">
        <v>-10400</v>
      </c>
      <c r="F14" s="75">
        <v>-72.009600000000006</v>
      </c>
      <c r="G14" s="76"/>
      <c r="H14" s="76">
        <f>+ROUND(F14/VLOOKUP("Grand Total",$B$4:$F$228,5,0),4)</f>
        <v>-8.2100000000000006E-2</v>
      </c>
      <c r="I14" s="104">
        <v>43125</v>
      </c>
      <c r="J14" s="105"/>
      <c r="K14" s="106" t="s">
        <v>32</v>
      </c>
      <c r="L14" s="48">
        <f t="shared" si="0"/>
        <v>7.4700000000000003E-2</v>
      </c>
      <c r="M14" s="75"/>
    </row>
    <row r="15" spans="1:13" s="77" customFormat="1" ht="12.75" customHeight="1" x14ac:dyDescent="0.2">
      <c r="A15" s="77">
        <f t="shared" si="1"/>
        <v>7</v>
      </c>
      <c r="B15" s="77" t="s">
        <v>316</v>
      </c>
      <c r="C15" s="77" t="s">
        <v>67</v>
      </c>
      <c r="D15" s="77" t="s">
        <v>18</v>
      </c>
      <c r="E15" s="74">
        <v>38500</v>
      </c>
      <c r="F15" s="75">
        <v>70.628249999999994</v>
      </c>
      <c r="G15" s="76">
        <f>+ROUND(F15/VLOOKUP("Grand Total",$B$4:$F$228,5,0),4)</f>
        <v>8.0600000000000005E-2</v>
      </c>
      <c r="H15" s="76"/>
      <c r="I15" s="104"/>
      <c r="J15" s="105"/>
      <c r="K15" s="106" t="s">
        <v>30</v>
      </c>
      <c r="L15" s="48">
        <f t="shared" si="0"/>
        <v>6.3E-2</v>
      </c>
      <c r="M15" s="75"/>
    </row>
    <row r="16" spans="1:13" s="77" customFormat="1" ht="12.75" customHeight="1" x14ac:dyDescent="0.2">
      <c r="A16" s="77">
        <f t="shared" si="1"/>
        <v>8</v>
      </c>
      <c r="B16" s="77" t="s">
        <v>316</v>
      </c>
      <c r="C16" s="121" t="s">
        <v>570</v>
      </c>
      <c r="D16" s="77" t="s">
        <v>328</v>
      </c>
      <c r="E16" s="74">
        <v>-38500</v>
      </c>
      <c r="F16" s="75">
        <v>-70.686000000000007</v>
      </c>
      <c r="G16" s="76"/>
      <c r="H16" s="76">
        <f>+ROUND(F16/VLOOKUP("Grand Total",$B$4:$F$228,5,0),4)</f>
        <v>-8.0600000000000005E-2</v>
      </c>
      <c r="I16" s="104">
        <v>43125</v>
      </c>
      <c r="J16" s="105"/>
      <c r="K16" s="106" t="s">
        <v>37</v>
      </c>
      <c r="L16" s="48">
        <f t="shared" si="0"/>
        <v>4.5600000000000002E-2</v>
      </c>
      <c r="M16" s="75"/>
    </row>
    <row r="17" spans="1:13" s="77" customFormat="1" ht="12.75" customHeight="1" x14ac:dyDescent="0.2">
      <c r="A17" s="77">
        <f t="shared" si="1"/>
        <v>9</v>
      </c>
      <c r="B17" s="77" t="s">
        <v>221</v>
      </c>
      <c r="C17" s="77" t="s">
        <v>74</v>
      </c>
      <c r="D17" s="77" t="s">
        <v>32</v>
      </c>
      <c r="E17" s="74">
        <v>27500</v>
      </c>
      <c r="F17" s="75">
        <v>65.45</v>
      </c>
      <c r="G17" s="76">
        <f>+ROUND(F17/VLOOKUP("Grand Total",$B$4:$F$228,5,0),4)</f>
        <v>7.4700000000000003E-2</v>
      </c>
      <c r="H17" s="76"/>
      <c r="I17" s="104"/>
      <c r="J17" s="105"/>
      <c r="K17" s="106" t="s">
        <v>163</v>
      </c>
      <c r="L17" s="48">
        <f t="shared" si="0"/>
        <v>4.53E-2</v>
      </c>
      <c r="M17" s="75"/>
    </row>
    <row r="18" spans="1:13" s="77" customFormat="1" ht="12.75" customHeight="1" x14ac:dyDescent="0.2">
      <c r="A18" s="77">
        <f t="shared" si="1"/>
        <v>10</v>
      </c>
      <c r="B18" s="77" t="s">
        <v>221</v>
      </c>
      <c r="C18" s="121" t="s">
        <v>570</v>
      </c>
      <c r="D18" s="77" t="s">
        <v>328</v>
      </c>
      <c r="E18" s="74">
        <v>-27500</v>
      </c>
      <c r="F18" s="75">
        <v>-65.903750000000002</v>
      </c>
      <c r="G18" s="76"/>
      <c r="H18" s="76">
        <f>+ROUND(F18/VLOOKUP("Grand Total",$B$4:$F$228,5,0),4)</f>
        <v>-7.5200000000000003E-2</v>
      </c>
      <c r="I18" s="104">
        <v>43125</v>
      </c>
      <c r="J18" s="105"/>
      <c r="K18" s="106" t="s">
        <v>178</v>
      </c>
      <c r="L18" s="48">
        <f t="shared" si="0"/>
        <v>4.48E-2</v>
      </c>
      <c r="M18" s="75"/>
    </row>
    <row r="19" spans="1:13" s="77" customFormat="1" ht="12.75" customHeight="1" x14ac:dyDescent="0.2">
      <c r="A19" s="77">
        <f t="shared" si="1"/>
        <v>11</v>
      </c>
      <c r="B19" s="77" t="s">
        <v>205</v>
      </c>
      <c r="C19" s="77" t="s">
        <v>44</v>
      </c>
      <c r="D19" s="77" t="s">
        <v>24</v>
      </c>
      <c r="E19" s="74">
        <v>10500</v>
      </c>
      <c r="F19" s="75">
        <v>61.183500000000002</v>
      </c>
      <c r="G19" s="76">
        <f>+ROUND(F19/VLOOKUP("Grand Total",$B$4:$F$228,5,0),4)</f>
        <v>6.9800000000000001E-2</v>
      </c>
      <c r="H19" s="76"/>
      <c r="I19" s="104"/>
      <c r="J19" s="105"/>
      <c r="K19" s="106" t="s">
        <v>369</v>
      </c>
      <c r="L19" s="48">
        <f t="shared" si="0"/>
        <v>1.14E-2</v>
      </c>
      <c r="M19" s="75"/>
    </row>
    <row r="20" spans="1:13" s="77" customFormat="1" ht="12.75" customHeight="1" x14ac:dyDescent="0.2">
      <c r="A20" s="77">
        <f t="shared" si="1"/>
        <v>12</v>
      </c>
      <c r="B20" s="77" t="s">
        <v>205</v>
      </c>
      <c r="C20" s="121" t="s">
        <v>570</v>
      </c>
      <c r="D20" s="77" t="s">
        <v>328</v>
      </c>
      <c r="E20" s="74">
        <v>-10500</v>
      </c>
      <c r="F20" s="75">
        <v>-61.566749999999999</v>
      </c>
      <c r="G20" s="76"/>
      <c r="H20" s="76">
        <f>+ROUND(F20/VLOOKUP("Grand Total",$B$4:$F$228,5,0),4)</f>
        <v>-7.0199999999999999E-2</v>
      </c>
      <c r="I20" s="104">
        <v>43125</v>
      </c>
      <c r="J20" s="105"/>
      <c r="K20" s="106" t="s">
        <v>610</v>
      </c>
      <c r="L20" s="48">
        <f t="shared" si="0"/>
        <v>1.0800000000000001E-2</v>
      </c>
      <c r="M20" s="75"/>
    </row>
    <row r="21" spans="1:13" s="77" customFormat="1" ht="12.75" customHeight="1" x14ac:dyDescent="0.2">
      <c r="A21" s="77">
        <f t="shared" si="1"/>
        <v>13</v>
      </c>
      <c r="B21" s="77" t="s">
        <v>730</v>
      </c>
      <c r="C21" s="77" t="s">
        <v>731</v>
      </c>
      <c r="D21" s="77" t="s">
        <v>24</v>
      </c>
      <c r="E21" s="74">
        <v>9900</v>
      </c>
      <c r="F21" s="75">
        <v>55.786499999999997</v>
      </c>
      <c r="G21" s="76">
        <f>+ROUND(F21/VLOOKUP("Grand Total",$B$4:$F$228,5,0),4)</f>
        <v>6.3600000000000004E-2</v>
      </c>
      <c r="H21" s="76"/>
      <c r="I21" s="104"/>
      <c r="J21" s="105"/>
      <c r="K21" s="106" t="s">
        <v>328</v>
      </c>
      <c r="L21" s="48">
        <f t="shared" si="0"/>
        <v>0</v>
      </c>
      <c r="M21" s="75"/>
    </row>
    <row r="22" spans="1:13" s="77" customFormat="1" ht="12.75" customHeight="1" x14ac:dyDescent="0.2">
      <c r="A22" s="77">
        <f t="shared" si="1"/>
        <v>14</v>
      </c>
      <c r="B22" s="77" t="s">
        <v>730</v>
      </c>
      <c r="C22" s="121" t="s">
        <v>570</v>
      </c>
      <c r="D22" s="77" t="s">
        <v>328</v>
      </c>
      <c r="E22" s="74">
        <v>-9900</v>
      </c>
      <c r="F22" s="75">
        <v>-56.15775</v>
      </c>
      <c r="G22" s="76"/>
      <c r="H22" s="76">
        <f>+ROUND(F22/VLOOKUP("Grand Total",$B$4:$F$228,5,0),4)</f>
        <v>-6.4100000000000004E-2</v>
      </c>
      <c r="I22" s="104">
        <v>43125</v>
      </c>
      <c r="J22" s="105"/>
      <c r="K22" s="14" t="s">
        <v>64</v>
      </c>
      <c r="L22" s="48">
        <f>+SUMIFS($G$5:$G$1000,$B$5:$B$1000,"CBLO / Reverse Repo Investments")+SUMIFS($G$5:$G$1000,$B$5:$B$1000,"Net Receivable/Payable")</f>
        <v>1.4699999999999998E-2</v>
      </c>
      <c r="M22" s="75"/>
    </row>
    <row r="23" spans="1:13" s="77" customFormat="1" ht="12.75" customHeight="1" x14ac:dyDescent="0.2">
      <c r="A23" s="77">
        <f t="shared" si="1"/>
        <v>15</v>
      </c>
      <c r="B23" s="77" t="s">
        <v>196</v>
      </c>
      <c r="C23" s="77" t="s">
        <v>31</v>
      </c>
      <c r="D23" s="77" t="s">
        <v>30</v>
      </c>
      <c r="E23" s="74">
        <v>6000</v>
      </c>
      <c r="F23" s="75">
        <v>55.262999999999998</v>
      </c>
      <c r="G23" s="76">
        <f>+ROUND(F23/VLOOKUP("Grand Total",$B$4:$F$228,5,0),4)</f>
        <v>6.3E-2</v>
      </c>
      <c r="H23" s="76"/>
      <c r="I23" s="104"/>
      <c r="J23" s="105"/>
      <c r="K23" s="106"/>
      <c r="L23" s="48"/>
      <c r="M23" s="75"/>
    </row>
    <row r="24" spans="1:13" s="77" customFormat="1" ht="12.75" customHeight="1" x14ac:dyDescent="0.2">
      <c r="A24" s="77">
        <f t="shared" si="1"/>
        <v>16</v>
      </c>
      <c r="B24" s="77" t="s">
        <v>196</v>
      </c>
      <c r="C24" s="121" t="s">
        <v>570</v>
      </c>
      <c r="D24" s="77" t="s">
        <v>328</v>
      </c>
      <c r="E24" s="74">
        <v>-6000</v>
      </c>
      <c r="F24" s="75">
        <v>-55.518000000000001</v>
      </c>
      <c r="G24" s="76"/>
      <c r="H24" s="76">
        <f>+ROUND(F24/VLOOKUP("Grand Total",$B$4:$F$228,5,0),4)</f>
        <v>-6.3299999999999995E-2</v>
      </c>
      <c r="I24" s="104">
        <v>43125</v>
      </c>
      <c r="J24" s="105"/>
      <c r="K24" s="106"/>
      <c r="L24" s="48"/>
      <c r="M24" s="75"/>
    </row>
    <row r="25" spans="1:13" s="77" customFormat="1" ht="12.75" customHeight="1" x14ac:dyDescent="0.2">
      <c r="A25" s="77">
        <f t="shared" si="1"/>
        <v>17</v>
      </c>
      <c r="B25" s="77" t="s">
        <v>224</v>
      </c>
      <c r="C25" s="77" t="s">
        <v>225</v>
      </c>
      <c r="D25" s="77" t="s">
        <v>37</v>
      </c>
      <c r="E25" s="74">
        <v>4800</v>
      </c>
      <c r="F25" s="75">
        <v>39.933599999999998</v>
      </c>
      <c r="G25" s="76">
        <f>+ROUND(F25/VLOOKUP("Grand Total",$B$4:$F$228,5,0),4)</f>
        <v>4.5600000000000002E-2</v>
      </c>
      <c r="H25" s="76"/>
      <c r="I25" s="104"/>
      <c r="J25" s="105"/>
      <c r="K25" s="106"/>
      <c r="L25" s="48"/>
      <c r="M25" s="75"/>
    </row>
    <row r="26" spans="1:13" s="77" customFormat="1" ht="12.75" customHeight="1" x14ac:dyDescent="0.2">
      <c r="A26" s="77">
        <f t="shared" si="1"/>
        <v>18</v>
      </c>
      <c r="B26" s="77" t="s">
        <v>224</v>
      </c>
      <c r="C26" s="121" t="s">
        <v>570</v>
      </c>
      <c r="D26" s="77" t="s">
        <v>328</v>
      </c>
      <c r="E26" s="74">
        <v>-4800</v>
      </c>
      <c r="F26" s="75">
        <v>-40.192799999999998</v>
      </c>
      <c r="G26" s="76"/>
      <c r="H26" s="76">
        <f>+ROUND(F26/VLOOKUP("Grand Total",$B$4:$F$228,5,0),4)</f>
        <v>-4.58E-2</v>
      </c>
      <c r="I26" s="104">
        <v>43125</v>
      </c>
      <c r="J26" s="105"/>
      <c r="K26" s="106"/>
      <c r="L26" s="48"/>
      <c r="M26" s="75"/>
    </row>
    <row r="27" spans="1:13" s="77" customFormat="1" ht="12.75" customHeight="1" x14ac:dyDescent="0.2">
      <c r="A27" s="77">
        <f t="shared" si="1"/>
        <v>19</v>
      </c>
      <c r="B27" s="77" t="s">
        <v>502</v>
      </c>
      <c r="C27" s="77" t="s">
        <v>503</v>
      </c>
      <c r="D27" s="77" t="s">
        <v>178</v>
      </c>
      <c r="E27" s="74">
        <v>24500</v>
      </c>
      <c r="F27" s="75">
        <v>39.310250000000003</v>
      </c>
      <c r="G27" s="76">
        <f>+ROUND(F27/VLOOKUP("Grand Total",$B$4:$F$228,5,0),4)</f>
        <v>4.48E-2</v>
      </c>
      <c r="H27" s="76"/>
      <c r="I27" s="104"/>
      <c r="J27" s="105"/>
      <c r="K27" s="106"/>
      <c r="L27" s="48"/>
      <c r="M27" s="75"/>
    </row>
    <row r="28" spans="1:13" s="77" customFormat="1" ht="12.75" customHeight="1" x14ac:dyDescent="0.2">
      <c r="A28" s="77">
        <f t="shared" si="1"/>
        <v>20</v>
      </c>
      <c r="B28" s="77" t="s">
        <v>502</v>
      </c>
      <c r="C28" s="121" t="s">
        <v>570</v>
      </c>
      <c r="D28" s="77" t="s">
        <v>328</v>
      </c>
      <c r="E28" s="74">
        <v>-24500</v>
      </c>
      <c r="F28" s="75">
        <v>-39.567500000000003</v>
      </c>
      <c r="G28" s="76"/>
      <c r="H28" s="76">
        <f>+ROUND(F28/VLOOKUP("Grand Total",$B$4:$F$228,5,0),4)</f>
        <v>-4.5100000000000001E-2</v>
      </c>
      <c r="I28" s="104">
        <v>43125</v>
      </c>
      <c r="J28" s="105"/>
      <c r="K28" s="106"/>
      <c r="L28" s="48"/>
      <c r="M28" s="75"/>
    </row>
    <row r="29" spans="1:13" s="77" customFormat="1" ht="12.75" customHeight="1" x14ac:dyDescent="0.2">
      <c r="A29" s="77">
        <f t="shared" si="1"/>
        <v>21</v>
      </c>
      <c r="B29" s="77" t="s">
        <v>704</v>
      </c>
      <c r="C29" s="77" t="s">
        <v>705</v>
      </c>
      <c r="D29" s="77" t="s">
        <v>24</v>
      </c>
      <c r="E29" s="74">
        <v>1500</v>
      </c>
      <c r="F29" s="75">
        <v>8.6872500000000006</v>
      </c>
      <c r="G29" s="76">
        <f>+ROUND(F29/VLOOKUP("Grand Total",$B$4:$F$228,5,0),4)</f>
        <v>9.9000000000000008E-3</v>
      </c>
      <c r="H29" s="76"/>
      <c r="I29" s="104"/>
      <c r="J29" s="105"/>
      <c r="K29" s="106"/>
      <c r="L29" s="48"/>
      <c r="M29" s="75"/>
    </row>
    <row r="30" spans="1:13" s="77" customFormat="1" ht="12.75" customHeight="1" x14ac:dyDescent="0.2">
      <c r="A30" s="77">
        <f t="shared" si="1"/>
        <v>22</v>
      </c>
      <c r="B30" s="77" t="s">
        <v>704</v>
      </c>
      <c r="C30" s="121" t="s">
        <v>570</v>
      </c>
      <c r="D30" s="77" t="s">
        <v>328</v>
      </c>
      <c r="E30" s="74">
        <v>-1500</v>
      </c>
      <c r="F30" s="75">
        <v>-8.7397500000000008</v>
      </c>
      <c r="G30" s="76"/>
      <c r="H30" s="76">
        <f>+ROUND(F30/VLOOKUP("Grand Total",$B$4:$F$228,5,0),4)</f>
        <v>-0.01</v>
      </c>
      <c r="I30" s="104">
        <v>43125</v>
      </c>
      <c r="J30" s="105"/>
      <c r="K30" s="106"/>
      <c r="L30" s="48"/>
      <c r="M30" s="75"/>
    </row>
    <row r="31" spans="1:13" ht="12.75" customHeight="1" x14ac:dyDescent="0.2">
      <c r="B31" s="18" t="s">
        <v>86</v>
      </c>
      <c r="C31" s="18"/>
      <c r="D31" s="18"/>
      <c r="E31" s="19"/>
      <c r="F31" s="19">
        <f>+F9+F11+F13+F15+F17+F19+F21+F23+F25+F27+F29</f>
        <v>615.71434999999985</v>
      </c>
      <c r="G31" s="20">
        <f>+G9+G11+G13+G15+G17+G19+G21+G23+G25+G27+G29</f>
        <v>0.70230000000000004</v>
      </c>
      <c r="H31" s="20">
        <f>SUM(H9:H30)</f>
        <v>-0.70579999999999998</v>
      </c>
      <c r="I31" s="21"/>
      <c r="J31" s="55"/>
      <c r="K31" s="46"/>
      <c r="L31" s="48"/>
    </row>
    <row r="32" spans="1:13" s="46" customFormat="1" ht="12.75" customHeight="1" x14ac:dyDescent="0.2">
      <c r="B32" s="67"/>
      <c r="C32" s="67"/>
      <c r="D32" s="67"/>
      <c r="E32" s="68"/>
      <c r="F32" s="69"/>
      <c r="G32" s="70"/>
      <c r="H32" s="70"/>
      <c r="I32" s="33"/>
      <c r="K32" s="14"/>
      <c r="L32" s="48"/>
    </row>
    <row r="33" spans="1:12" ht="12.75" customHeight="1" x14ac:dyDescent="0.2">
      <c r="B33" s="16" t="s">
        <v>92</v>
      </c>
      <c r="C33" s="16"/>
      <c r="F33" s="13"/>
      <c r="G33" s="14"/>
      <c r="H33" s="14"/>
      <c r="I33" s="33"/>
      <c r="J33"/>
      <c r="K33" s="36"/>
      <c r="L33"/>
    </row>
    <row r="34" spans="1:12" ht="12.75" customHeight="1" x14ac:dyDescent="0.2">
      <c r="B34" s="16" t="s">
        <v>312</v>
      </c>
      <c r="C34" s="16"/>
      <c r="F34" s="13"/>
      <c r="G34" s="14"/>
      <c r="H34" s="14"/>
      <c r="I34" s="33"/>
      <c r="J34"/>
      <c r="K34" s="36"/>
      <c r="L34"/>
    </row>
    <row r="35" spans="1:12" ht="12.75" customHeight="1" x14ac:dyDescent="0.2">
      <c r="A35">
        <f>+MAX($A$7:A34)+1</f>
        <v>23</v>
      </c>
      <c r="B35" s="65" t="s">
        <v>594</v>
      </c>
      <c r="C35" t="s">
        <v>642</v>
      </c>
      <c r="D35" t="s">
        <v>595</v>
      </c>
      <c r="E35" s="28">
        <v>14</v>
      </c>
      <c r="F35" s="13">
        <v>69.406120000000001</v>
      </c>
      <c r="G35" s="14">
        <f>+ROUND(F35/VLOOKUP("Grand Total",$B$4:$F$254,5,0),4)</f>
        <v>7.9200000000000007E-2</v>
      </c>
      <c r="H35" s="14"/>
      <c r="I35" s="15">
        <v>43129</v>
      </c>
      <c r="J35"/>
      <c r="K35" s="36"/>
      <c r="L35"/>
    </row>
    <row r="36" spans="1:12" ht="12.75" customHeight="1" x14ac:dyDescent="0.2">
      <c r="A36">
        <f>+MAX($A$7:A35)+1</f>
        <v>24</v>
      </c>
      <c r="B36" s="65" t="s">
        <v>467</v>
      </c>
      <c r="C36" t="s">
        <v>727</v>
      </c>
      <c r="D36" t="s">
        <v>163</v>
      </c>
      <c r="E36" s="28">
        <v>8</v>
      </c>
      <c r="F36" s="13">
        <v>39.724800000000002</v>
      </c>
      <c r="G36" s="14">
        <f>+ROUND(F36/VLOOKUP("Grand Total",$B$4:$F$254,5,0),4)</f>
        <v>4.53E-2</v>
      </c>
      <c r="H36" s="14"/>
      <c r="I36" s="15">
        <v>43132</v>
      </c>
      <c r="J36"/>
      <c r="K36" s="36"/>
      <c r="L36"/>
    </row>
    <row r="37" spans="1:12" ht="12.75" customHeight="1" x14ac:dyDescent="0.2">
      <c r="A37">
        <f>+MAX($A$7:A36)+1</f>
        <v>25</v>
      </c>
      <c r="B37" s="65" t="s">
        <v>296</v>
      </c>
      <c r="C37" t="s">
        <v>590</v>
      </c>
      <c r="D37" t="s">
        <v>610</v>
      </c>
      <c r="E37" s="28">
        <v>2</v>
      </c>
      <c r="F37" s="13">
        <v>9.4431600000000007</v>
      </c>
      <c r="G37" s="14">
        <f>+ROUND(F37/VLOOKUP("Grand Total",$B$4:$F$254,5,0),4)</f>
        <v>1.0800000000000001E-2</v>
      </c>
      <c r="H37" s="14"/>
      <c r="I37" s="15">
        <v>43350</v>
      </c>
      <c r="J37"/>
      <c r="K37" s="36"/>
      <c r="L37"/>
    </row>
    <row r="38" spans="1:12" ht="12.75" customHeight="1" x14ac:dyDescent="0.2">
      <c r="B38" s="18" t="s">
        <v>86</v>
      </c>
      <c r="C38" s="18"/>
      <c r="D38" s="18"/>
      <c r="E38" s="29"/>
      <c r="F38" s="19">
        <f>SUM(F35:F37)</f>
        <v>118.57408000000001</v>
      </c>
      <c r="G38" s="20">
        <f>SUM(G35:G37)</f>
        <v>0.1353</v>
      </c>
      <c r="H38" s="20"/>
      <c r="I38" s="21"/>
      <c r="J38"/>
      <c r="K38" s="36"/>
      <c r="L38"/>
    </row>
    <row r="39" spans="1:12" s="46" customFormat="1" ht="12.75" customHeight="1" x14ac:dyDescent="0.2">
      <c r="B39" s="67"/>
      <c r="C39" s="67"/>
      <c r="D39" s="67"/>
      <c r="E39" s="68"/>
      <c r="F39" s="69"/>
      <c r="G39" s="70"/>
      <c r="H39" s="70"/>
      <c r="I39" s="33"/>
      <c r="K39" s="48"/>
    </row>
    <row r="40" spans="1:12" ht="12.75" customHeight="1" x14ac:dyDescent="0.2">
      <c r="B40" s="16" t="s">
        <v>126</v>
      </c>
      <c r="C40" s="16"/>
      <c r="F40" s="13"/>
      <c r="G40" s="14"/>
      <c r="H40" s="14"/>
      <c r="I40" s="33"/>
      <c r="J40"/>
      <c r="K40" s="36"/>
      <c r="L40"/>
    </row>
    <row r="41" spans="1:12" ht="12.75" customHeight="1" x14ac:dyDescent="0.2">
      <c r="B41" s="31" t="s">
        <v>311</v>
      </c>
      <c r="C41" s="16"/>
      <c r="F41" s="13"/>
      <c r="G41" s="14"/>
      <c r="H41" s="14"/>
      <c r="I41" s="33"/>
      <c r="J41"/>
      <c r="K41" s="36"/>
      <c r="L41"/>
    </row>
    <row r="42" spans="1:12" ht="12.75" customHeight="1" x14ac:dyDescent="0.2">
      <c r="A42">
        <f>+MAX($A$7:A41)+1</f>
        <v>26</v>
      </c>
      <c r="B42" s="65" t="s">
        <v>367</v>
      </c>
      <c r="C42" t="s">
        <v>370</v>
      </c>
      <c r="D42" t="s">
        <v>369</v>
      </c>
      <c r="E42" s="28">
        <v>1</v>
      </c>
      <c r="F42" s="13">
        <v>10.033149999999999</v>
      </c>
      <c r="G42" s="14">
        <f>+ROUND(F42/VLOOKUP("Grand Total",$B$4:$F$254,5,0),4)</f>
        <v>1.14E-2</v>
      </c>
      <c r="H42" s="14"/>
      <c r="I42" s="15">
        <v>43175</v>
      </c>
      <c r="J42"/>
      <c r="K42" s="36"/>
      <c r="L42"/>
    </row>
    <row r="43" spans="1:12" ht="12.75" customHeight="1" x14ac:dyDescent="0.2">
      <c r="B43" s="18" t="s">
        <v>86</v>
      </c>
      <c r="C43" s="18"/>
      <c r="D43" s="18"/>
      <c r="E43" s="29"/>
      <c r="F43" s="19">
        <f>SUM(F42:F42)</f>
        <v>10.033149999999999</v>
      </c>
      <c r="G43" s="20">
        <f>SUM(G42:G42)</f>
        <v>1.14E-2</v>
      </c>
      <c r="H43" s="20"/>
      <c r="I43" s="21"/>
      <c r="J43"/>
      <c r="K43" s="36"/>
      <c r="L43"/>
    </row>
    <row r="44" spans="1:12" s="46" customFormat="1" ht="12.75" customHeight="1" x14ac:dyDescent="0.2">
      <c r="B44" s="67"/>
      <c r="C44" s="67"/>
      <c r="D44" s="67"/>
      <c r="E44" s="68"/>
      <c r="F44" s="69"/>
      <c r="G44" s="70"/>
      <c r="H44" s="70"/>
      <c r="I44" s="33"/>
      <c r="K44" s="48"/>
    </row>
    <row r="45" spans="1:12" ht="12.75" customHeight="1" x14ac:dyDescent="0.2">
      <c r="B45" s="16" t="s">
        <v>93</v>
      </c>
      <c r="C45" s="16"/>
      <c r="F45" s="13"/>
      <c r="G45" s="14"/>
      <c r="H45" s="14"/>
      <c r="I45" s="33"/>
      <c r="J45"/>
      <c r="K45" s="36"/>
      <c r="L45"/>
    </row>
    <row r="46" spans="1:12" ht="12.75" customHeight="1" x14ac:dyDescent="0.2">
      <c r="A46">
        <f>+MAX($A$7:A45)+1</f>
        <v>27</v>
      </c>
      <c r="B46" t="s">
        <v>461</v>
      </c>
      <c r="C46" t="s">
        <v>360</v>
      </c>
      <c r="D46" t="s">
        <v>325</v>
      </c>
      <c r="E46" s="28">
        <v>7213.5565999999999</v>
      </c>
      <c r="F46" s="13">
        <v>119.5133834</v>
      </c>
      <c r="G46" s="14">
        <f>+ROUND(F46/VLOOKUP("Grand Total",$B$4:$F$263,5,0),4)</f>
        <v>0.1363</v>
      </c>
      <c r="H46" s="14"/>
      <c r="I46" s="33" t="s">
        <v>381</v>
      </c>
      <c r="J46"/>
      <c r="K46" s="36"/>
      <c r="L46"/>
    </row>
    <row r="47" spans="1:12" ht="12.75" customHeight="1" x14ac:dyDescent="0.2">
      <c r="B47" s="18" t="s">
        <v>86</v>
      </c>
      <c r="C47" s="18"/>
      <c r="D47" s="18"/>
      <c r="E47" s="29"/>
      <c r="F47" s="19">
        <f>SUM(F46)</f>
        <v>119.5133834</v>
      </c>
      <c r="G47" s="20">
        <f>SUM(G46)</f>
        <v>0.1363</v>
      </c>
      <c r="H47" s="20"/>
      <c r="I47" s="21"/>
      <c r="J47"/>
      <c r="K47" s="36"/>
      <c r="L47"/>
    </row>
    <row r="48" spans="1:12" s="46" customFormat="1" ht="12.75" customHeight="1" x14ac:dyDescent="0.2">
      <c r="B48" s="67"/>
      <c r="C48" s="67"/>
      <c r="D48" s="67"/>
      <c r="E48" s="68"/>
      <c r="F48" s="69"/>
      <c r="G48" s="70"/>
      <c r="H48" s="70"/>
      <c r="I48" s="33"/>
      <c r="K48" s="48"/>
    </row>
    <row r="49" spans="1:12" ht="12.75" customHeight="1" x14ac:dyDescent="0.2">
      <c r="A49" s="95" t="s">
        <v>380</v>
      </c>
      <c r="B49" s="16" t="s">
        <v>94</v>
      </c>
      <c r="C49" s="16"/>
      <c r="F49" s="13">
        <v>16.855225600000001</v>
      </c>
      <c r="G49" s="14">
        <f>+ROUND(F49/VLOOKUP("Grand Total",$B$4:$F$228,5,0),4)</f>
        <v>1.9199999999999998E-2</v>
      </c>
      <c r="H49" s="14"/>
      <c r="I49" s="15">
        <v>43101</v>
      </c>
      <c r="J49" s="56"/>
      <c r="K49" s="46"/>
      <c r="L49" s="74"/>
    </row>
    <row r="50" spans="1:12" ht="12.75" customHeight="1" x14ac:dyDescent="0.2">
      <c r="B50" s="18" t="s">
        <v>86</v>
      </c>
      <c r="C50" s="18"/>
      <c r="D50" s="18"/>
      <c r="E50" s="29"/>
      <c r="F50" s="19">
        <f>SUM(F49)</f>
        <v>16.855225600000001</v>
      </c>
      <c r="G50" s="20">
        <f>SUM(G49)</f>
        <v>1.9199999999999998E-2</v>
      </c>
      <c r="H50" s="20"/>
      <c r="I50" s="21"/>
      <c r="J50" s="55"/>
      <c r="K50" s="46"/>
      <c r="L50" s="74"/>
    </row>
    <row r="51" spans="1:12" ht="12.75" customHeight="1" x14ac:dyDescent="0.2">
      <c r="F51" s="13"/>
      <c r="G51" s="14"/>
      <c r="H51" s="14"/>
      <c r="I51" s="15"/>
      <c r="J51" s="56"/>
      <c r="K51" s="46"/>
      <c r="L51" s="74"/>
    </row>
    <row r="52" spans="1:12" ht="12.75" customHeight="1" x14ac:dyDescent="0.2">
      <c r="B52" s="16" t="s">
        <v>95</v>
      </c>
      <c r="C52" s="16"/>
      <c r="F52" s="13"/>
      <c r="G52" s="14"/>
      <c r="H52" s="14"/>
      <c r="I52" s="15"/>
      <c r="J52" s="56"/>
      <c r="K52" s="46"/>
      <c r="L52" s="74"/>
    </row>
    <row r="53" spans="1:12" ht="12.75" customHeight="1" x14ac:dyDescent="0.2">
      <c r="B53" s="16" t="s">
        <v>96</v>
      </c>
      <c r="C53" s="16"/>
      <c r="F53" s="44">
        <f>+F55-SUMIF($B$5:B52,"Total",$F$5:F52)</f>
        <v>-4.0160013999997091</v>
      </c>
      <c r="G53" s="45">
        <f>+ROUND(F53/VLOOKUP("Grand Total",$B$4:$F$228,5,0),4)+0.01%</f>
        <v>-4.4999999999999997E-3</v>
      </c>
      <c r="H53" s="45"/>
      <c r="I53" s="15"/>
      <c r="J53" s="56"/>
      <c r="K53" s="46"/>
      <c r="L53" s="74"/>
    </row>
    <row r="54" spans="1:12" ht="12.75" customHeight="1" x14ac:dyDescent="0.2">
      <c r="B54" s="18" t="s">
        <v>86</v>
      </c>
      <c r="C54" s="18"/>
      <c r="D54" s="18"/>
      <c r="E54" s="29"/>
      <c r="F54" s="19">
        <f>SUM(F53:F53)</f>
        <v>-4.0160013999997091</v>
      </c>
      <c r="G54" s="20">
        <f>SUM(G53:G53)</f>
        <v>-4.4999999999999997E-3</v>
      </c>
      <c r="H54" s="20"/>
      <c r="I54" s="21"/>
      <c r="J54" s="55"/>
      <c r="K54" s="46"/>
      <c r="L54" s="74"/>
    </row>
    <row r="55" spans="1:12" ht="12.75" customHeight="1" x14ac:dyDescent="0.2">
      <c r="B55" s="22" t="s">
        <v>97</v>
      </c>
      <c r="C55" s="22"/>
      <c r="D55" s="22"/>
      <c r="E55" s="30"/>
      <c r="F55" s="23">
        <v>876.6741876000001</v>
      </c>
      <c r="G55" s="24">
        <f>+SUMIF($B$5:B54,"Total",$G$5:G54)</f>
        <v>1</v>
      </c>
      <c r="H55" s="24"/>
      <c r="I55" s="25"/>
      <c r="J55" s="39"/>
      <c r="K55" s="46"/>
      <c r="L55" s="74"/>
    </row>
    <row r="56" spans="1:12" ht="12.75" customHeight="1" x14ac:dyDescent="0.2">
      <c r="F56" s="40"/>
      <c r="K56" s="46"/>
      <c r="L56" s="74"/>
    </row>
    <row r="57" spans="1:12" ht="12.75" customHeight="1" x14ac:dyDescent="0.2">
      <c r="B57" s="16" t="s">
        <v>799</v>
      </c>
      <c r="C57" s="16"/>
      <c r="K57" s="46"/>
      <c r="L57" s="74"/>
    </row>
    <row r="58" spans="1:12" ht="12.75" customHeight="1" x14ac:dyDescent="0.2">
      <c r="B58" s="16" t="s">
        <v>189</v>
      </c>
      <c r="C58" s="16"/>
      <c r="G58" s="14"/>
      <c r="H58" s="14"/>
    </row>
    <row r="59" spans="1:12" ht="12.75" customHeight="1" x14ac:dyDescent="0.2">
      <c r="B59" s="16"/>
      <c r="C59" s="16"/>
    </row>
    <row r="60" spans="1:12" ht="12.75" customHeight="1" x14ac:dyDescent="0.2">
      <c r="B60" s="16"/>
      <c r="C60" s="16"/>
      <c r="K60" s="46"/>
      <c r="L60" s="48"/>
    </row>
    <row r="61" spans="1:12" x14ac:dyDescent="0.2">
      <c r="E61"/>
      <c r="F61" s="100"/>
      <c r="J61"/>
      <c r="K61" s="46"/>
      <c r="L61" s="48"/>
    </row>
    <row r="62" spans="1:12" x14ac:dyDescent="0.2">
      <c r="E62"/>
      <c r="J62"/>
    </row>
    <row r="63" spans="1:12" x14ac:dyDescent="0.2">
      <c r="E63"/>
      <c r="J63"/>
    </row>
    <row r="64" spans="1:12" x14ac:dyDescent="0.2">
      <c r="E64"/>
      <c r="J64"/>
    </row>
    <row r="65" spans="5:12" x14ac:dyDescent="0.2">
      <c r="E65"/>
      <c r="J65"/>
      <c r="K65" s="36"/>
      <c r="L65"/>
    </row>
    <row r="66" spans="5:12" x14ac:dyDescent="0.2">
      <c r="E66"/>
      <c r="J66"/>
      <c r="K66" s="36"/>
      <c r="L66"/>
    </row>
    <row r="67" spans="5:12" x14ac:dyDescent="0.2">
      <c r="E67"/>
      <c r="J67"/>
      <c r="K67" s="36"/>
      <c r="L67"/>
    </row>
    <row r="68" spans="5:12" x14ac:dyDescent="0.2">
      <c r="E68"/>
      <c r="J68"/>
      <c r="K68" s="36"/>
      <c r="L68"/>
    </row>
    <row r="69" spans="5:12" x14ac:dyDescent="0.2">
      <c r="E69"/>
      <c r="J69"/>
      <c r="K69" s="36"/>
      <c r="L69"/>
    </row>
    <row r="70" spans="5:12" x14ac:dyDescent="0.2">
      <c r="E70"/>
      <c r="J70"/>
      <c r="K70" s="36"/>
      <c r="L70"/>
    </row>
    <row r="71" spans="5:12" x14ac:dyDescent="0.2">
      <c r="E71"/>
      <c r="J71"/>
      <c r="K71" s="36"/>
      <c r="L71"/>
    </row>
    <row r="72" spans="5:12" x14ac:dyDescent="0.2">
      <c r="E72"/>
      <c r="J72"/>
      <c r="K72" s="36"/>
      <c r="L72"/>
    </row>
    <row r="73" spans="5:12" x14ac:dyDescent="0.2">
      <c r="E73"/>
      <c r="J73"/>
      <c r="K73" s="36"/>
      <c r="L73"/>
    </row>
    <row r="74" spans="5:12" x14ac:dyDescent="0.2">
      <c r="E74"/>
      <c r="J74"/>
      <c r="K74" s="36"/>
      <c r="L74"/>
    </row>
    <row r="75" spans="5:12" x14ac:dyDescent="0.2">
      <c r="E75"/>
      <c r="J75"/>
      <c r="K75" s="36"/>
      <c r="L75"/>
    </row>
    <row r="76" spans="5:12" x14ac:dyDescent="0.2">
      <c r="E76"/>
      <c r="J76"/>
      <c r="K76" s="36"/>
      <c r="L76"/>
    </row>
    <row r="77" spans="5:12" x14ac:dyDescent="0.2">
      <c r="E77"/>
      <c r="J77"/>
      <c r="K77" s="36"/>
      <c r="L77"/>
    </row>
    <row r="78" spans="5:12" x14ac:dyDescent="0.2">
      <c r="E78"/>
      <c r="J78"/>
    </row>
    <row r="79" spans="5:12" x14ac:dyDescent="0.2">
      <c r="E79"/>
      <c r="J79"/>
    </row>
    <row r="80" spans="5:12" x14ac:dyDescent="0.2">
      <c r="E80"/>
      <c r="J80"/>
    </row>
    <row r="81" spans="5:12" x14ac:dyDescent="0.2">
      <c r="E81"/>
      <c r="J81"/>
    </row>
    <row r="82" spans="5:12" x14ac:dyDescent="0.2">
      <c r="E82"/>
      <c r="J82"/>
    </row>
    <row r="83" spans="5:12" x14ac:dyDescent="0.2">
      <c r="E83"/>
      <c r="J83"/>
    </row>
    <row r="84" spans="5:12" x14ac:dyDescent="0.2">
      <c r="E84"/>
      <c r="J84"/>
    </row>
    <row r="85" spans="5:12" x14ac:dyDescent="0.2">
      <c r="E85"/>
      <c r="J85"/>
    </row>
    <row r="86" spans="5:12" x14ac:dyDescent="0.2">
      <c r="E86"/>
      <c r="J86"/>
    </row>
    <row r="87" spans="5:12" x14ac:dyDescent="0.2">
      <c r="E87"/>
      <c r="J87"/>
    </row>
    <row r="88" spans="5:12" x14ac:dyDescent="0.2">
      <c r="E88"/>
      <c r="J88"/>
    </row>
    <row r="89" spans="5:12" x14ac:dyDescent="0.2">
      <c r="E89"/>
      <c r="J89"/>
      <c r="L89"/>
    </row>
    <row r="90" spans="5:12" x14ac:dyDescent="0.2">
      <c r="E90"/>
      <c r="J90"/>
      <c r="L90"/>
    </row>
    <row r="91" spans="5:12" x14ac:dyDescent="0.2">
      <c r="E91"/>
      <c r="J91"/>
      <c r="L91"/>
    </row>
    <row r="92" spans="5:12" x14ac:dyDescent="0.2">
      <c r="E92"/>
      <c r="J92"/>
      <c r="L92"/>
    </row>
    <row r="93" spans="5:12" x14ac:dyDescent="0.2">
      <c r="E93"/>
      <c r="J93"/>
      <c r="L93"/>
    </row>
    <row r="94" spans="5:12" x14ac:dyDescent="0.2">
      <c r="E94"/>
      <c r="J94"/>
      <c r="L94"/>
    </row>
    <row r="95" spans="5:12" x14ac:dyDescent="0.2">
      <c r="E95"/>
      <c r="J95"/>
      <c r="L95"/>
    </row>
    <row r="96" spans="5:12" x14ac:dyDescent="0.2">
      <c r="E96"/>
      <c r="J96"/>
      <c r="L96"/>
    </row>
    <row r="97" spans="5:12" x14ac:dyDescent="0.2">
      <c r="E97"/>
      <c r="J97"/>
      <c r="L97"/>
    </row>
    <row r="98" spans="5:12" x14ac:dyDescent="0.2">
      <c r="E98"/>
      <c r="J98"/>
      <c r="L98"/>
    </row>
    <row r="99" spans="5:12" x14ac:dyDescent="0.2">
      <c r="L99"/>
    </row>
    <row r="100" spans="5:12" x14ac:dyDescent="0.2">
      <c r="L100"/>
    </row>
    <row r="101" spans="5:12" x14ac:dyDescent="0.2">
      <c r="L101"/>
    </row>
    <row r="102" spans="5:12" x14ac:dyDescent="0.2">
      <c r="L102"/>
    </row>
    <row r="103" spans="5:12" x14ac:dyDescent="0.2">
      <c r="L103"/>
    </row>
    <row r="104" spans="5:12" x14ac:dyDescent="0.2">
      <c r="L104"/>
    </row>
    <row r="105" spans="5:12" x14ac:dyDescent="0.2">
      <c r="L105"/>
    </row>
    <row r="106" spans="5:12" x14ac:dyDescent="0.2">
      <c r="E106"/>
      <c r="J106"/>
      <c r="L106"/>
    </row>
    <row r="107" spans="5:12" x14ac:dyDescent="0.2">
      <c r="E107"/>
      <c r="J107"/>
      <c r="L107"/>
    </row>
    <row r="108" spans="5:12" x14ac:dyDescent="0.2">
      <c r="E108"/>
      <c r="J108"/>
      <c r="L108"/>
    </row>
    <row r="109" spans="5:12" x14ac:dyDescent="0.2">
      <c r="E109"/>
      <c r="J109"/>
      <c r="L109"/>
    </row>
    <row r="110" spans="5:12" x14ac:dyDescent="0.2">
      <c r="E110"/>
      <c r="J110"/>
      <c r="L110"/>
    </row>
    <row r="111" spans="5:12" x14ac:dyDescent="0.2">
      <c r="E111"/>
      <c r="J111"/>
      <c r="L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E122"/>
      <c r="J122"/>
      <c r="L122"/>
    </row>
    <row r="123" spans="5:12" x14ac:dyDescent="0.2">
      <c r="E123"/>
      <c r="J123"/>
      <c r="L123"/>
    </row>
    <row r="124" spans="5:12" x14ac:dyDescent="0.2">
      <c r="E124"/>
      <c r="J124"/>
      <c r="L124"/>
    </row>
    <row r="125" spans="5:12" x14ac:dyDescent="0.2">
      <c r="E125"/>
      <c r="J125"/>
      <c r="L125"/>
    </row>
    <row r="126" spans="5:12" x14ac:dyDescent="0.2">
      <c r="E126"/>
      <c r="J126"/>
      <c r="L126"/>
    </row>
  </sheetData>
  <sheetProtection password="EDB3" sheet="1" objects="1" scenarios="1"/>
  <sortState ref="K8:L21">
    <sortCondition descending="1" ref="L8:L21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1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383</v>
      </c>
      <c r="B1" s="123" t="s">
        <v>127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417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194</v>
      </c>
      <c r="C9" t="s">
        <v>13</v>
      </c>
      <c r="D9" t="s">
        <v>10</v>
      </c>
      <c r="E9" s="28">
        <v>97268</v>
      </c>
      <c r="F9" s="13">
        <v>1821.2460319999998</v>
      </c>
      <c r="G9" s="14">
        <f t="shared" ref="G9:G40" si="0">+ROUND(F9/VLOOKUP("Grand Total",$B$4:$F$292,5,0),4)</f>
        <v>5.6599999999999998E-2</v>
      </c>
      <c r="H9" s="15"/>
      <c r="J9" s="14" t="s">
        <v>10</v>
      </c>
      <c r="K9" s="48">
        <f t="shared" ref="K9:K30" si="1">SUMIFS($G$5:$G$325,$D$5:$D$325,J9)</f>
        <v>0.23880000000000001</v>
      </c>
    </row>
    <row r="10" spans="1:16" ht="12.75" customHeight="1" x14ac:dyDescent="0.2">
      <c r="A10">
        <f>+MAX($A$8:A9)+1</f>
        <v>2</v>
      </c>
      <c r="B10" t="s">
        <v>197</v>
      </c>
      <c r="C10" t="s">
        <v>11</v>
      </c>
      <c r="D10" t="s">
        <v>10</v>
      </c>
      <c r="E10" s="28">
        <v>511908</v>
      </c>
      <c r="F10" s="13">
        <v>1607.39112</v>
      </c>
      <c r="G10" s="14">
        <f t="shared" si="0"/>
        <v>4.99E-2</v>
      </c>
      <c r="H10" s="15"/>
      <c r="J10" s="14" t="s">
        <v>26</v>
      </c>
      <c r="K10" s="48">
        <f t="shared" si="1"/>
        <v>0.12609999999999999</v>
      </c>
    </row>
    <row r="11" spans="1:16" ht="12.75" customHeight="1" x14ac:dyDescent="0.2">
      <c r="A11">
        <f>+MAX($A$8:A10)+1</f>
        <v>3</v>
      </c>
      <c r="B11" t="s">
        <v>212</v>
      </c>
      <c r="C11" t="s">
        <v>49</v>
      </c>
      <c r="D11" t="s">
        <v>20</v>
      </c>
      <c r="E11" s="28">
        <v>15964</v>
      </c>
      <c r="F11" s="13">
        <v>1553.2253619999999</v>
      </c>
      <c r="G11" s="14">
        <f t="shared" si="0"/>
        <v>4.82E-2</v>
      </c>
      <c r="H11" s="15"/>
      <c r="J11" s="14" t="s">
        <v>20</v>
      </c>
      <c r="K11" s="48">
        <f t="shared" si="1"/>
        <v>9.9199999999999997E-2</v>
      </c>
      <c r="L11" s="36"/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196</v>
      </c>
      <c r="C12" t="s">
        <v>31</v>
      </c>
      <c r="D12" t="s">
        <v>30</v>
      </c>
      <c r="E12" s="28">
        <v>152446</v>
      </c>
      <c r="F12" s="13">
        <v>1404.1038830000002</v>
      </c>
      <c r="G12" s="14">
        <f t="shared" si="0"/>
        <v>4.36E-2</v>
      </c>
      <c r="H12" s="15"/>
      <c r="J12" s="14" t="s">
        <v>30</v>
      </c>
      <c r="K12" s="48">
        <f t="shared" si="1"/>
        <v>8.14E-2</v>
      </c>
      <c r="L12" s="36"/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200</v>
      </c>
      <c r="C13" t="s">
        <v>27</v>
      </c>
      <c r="D13" t="s">
        <v>24</v>
      </c>
      <c r="E13" s="28">
        <v>71227</v>
      </c>
      <c r="F13" s="13">
        <v>1218.2666079999999</v>
      </c>
      <c r="G13" s="14">
        <f t="shared" si="0"/>
        <v>3.78E-2</v>
      </c>
      <c r="H13" s="15"/>
      <c r="J13" s="14" t="s">
        <v>24</v>
      </c>
      <c r="K13" s="48">
        <f t="shared" si="1"/>
        <v>6.6599999999999993E-2</v>
      </c>
      <c r="L13" s="36"/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204</v>
      </c>
      <c r="C14" t="s">
        <v>46</v>
      </c>
      <c r="D14" t="s">
        <v>26</v>
      </c>
      <c r="E14" s="28">
        <v>438656</v>
      </c>
      <c r="F14" s="13">
        <v>1154.7619199999999</v>
      </c>
      <c r="G14" s="14">
        <f t="shared" si="0"/>
        <v>3.5900000000000001E-2</v>
      </c>
      <c r="H14" s="15"/>
      <c r="J14" s="14" t="s">
        <v>14</v>
      </c>
      <c r="K14" s="48">
        <f t="shared" si="1"/>
        <v>6.0700000000000004E-2</v>
      </c>
      <c r="L14" s="36"/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16</v>
      </c>
      <c r="C15" t="s">
        <v>17</v>
      </c>
      <c r="D15" t="s">
        <v>10</v>
      </c>
      <c r="E15" s="28">
        <v>369000</v>
      </c>
      <c r="F15" s="13">
        <v>1143.5309999999999</v>
      </c>
      <c r="G15" s="14">
        <f t="shared" si="0"/>
        <v>3.5499999999999997E-2</v>
      </c>
      <c r="H15" s="15"/>
      <c r="J15" s="14" t="s">
        <v>22</v>
      </c>
      <c r="K15" s="48">
        <f t="shared" si="1"/>
        <v>4.8000000000000001E-2</v>
      </c>
      <c r="L15" s="36"/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242</v>
      </c>
      <c r="C16" t="s">
        <v>102</v>
      </c>
      <c r="D16" t="s">
        <v>26</v>
      </c>
      <c r="E16" s="28">
        <v>81582</v>
      </c>
      <c r="F16" s="13">
        <v>1115.9193870000001</v>
      </c>
      <c r="G16" s="14">
        <f t="shared" si="0"/>
        <v>3.4700000000000002E-2</v>
      </c>
      <c r="H16" s="15"/>
      <c r="J16" s="14" t="s">
        <v>18</v>
      </c>
      <c r="K16" s="48">
        <f t="shared" si="1"/>
        <v>4.2900000000000001E-2</v>
      </c>
      <c r="L16" s="36"/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206</v>
      </c>
      <c r="C17" t="s">
        <v>48</v>
      </c>
      <c r="D17" t="s">
        <v>26</v>
      </c>
      <c r="E17" s="28">
        <v>21600</v>
      </c>
      <c r="F17" s="13">
        <v>1017.198</v>
      </c>
      <c r="G17" s="14">
        <f t="shared" si="0"/>
        <v>3.1600000000000003E-2</v>
      </c>
      <c r="H17" s="15"/>
      <c r="J17" s="14" t="s">
        <v>28</v>
      </c>
      <c r="K17" s="48">
        <f t="shared" si="1"/>
        <v>4.19E-2</v>
      </c>
      <c r="L17" s="36"/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228</v>
      </c>
      <c r="C18" t="s">
        <v>71</v>
      </c>
      <c r="D18" t="s">
        <v>28</v>
      </c>
      <c r="E18" s="28">
        <v>78900</v>
      </c>
      <c r="F18" s="13">
        <v>992.75924999999995</v>
      </c>
      <c r="G18" s="14">
        <f t="shared" si="0"/>
        <v>3.0800000000000001E-2</v>
      </c>
      <c r="H18" s="15"/>
      <c r="J18" s="14" t="s">
        <v>136</v>
      </c>
      <c r="K18" s="48">
        <f t="shared" si="1"/>
        <v>2.3199999999999998E-2</v>
      </c>
      <c r="L18" s="36"/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215</v>
      </c>
      <c r="C19" t="s">
        <v>99</v>
      </c>
      <c r="D19" t="s">
        <v>10</v>
      </c>
      <c r="E19" s="28">
        <v>93000</v>
      </c>
      <c r="F19" s="13">
        <v>939.48599999999999</v>
      </c>
      <c r="G19" s="14">
        <f t="shared" si="0"/>
        <v>2.92E-2</v>
      </c>
      <c r="H19" s="15"/>
      <c r="J19" s="14" t="s">
        <v>45</v>
      </c>
      <c r="K19" s="48">
        <f t="shared" si="1"/>
        <v>2.06E-2</v>
      </c>
      <c r="L19" s="36"/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195</v>
      </c>
      <c r="C20" t="s">
        <v>15</v>
      </c>
      <c r="D20" t="s">
        <v>14</v>
      </c>
      <c r="E20" s="28">
        <v>84887</v>
      </c>
      <c r="F20" s="13">
        <v>884.56498349999993</v>
      </c>
      <c r="G20" s="14">
        <f t="shared" si="0"/>
        <v>2.75E-2</v>
      </c>
      <c r="H20" s="15"/>
      <c r="J20" s="14" t="s">
        <v>107</v>
      </c>
      <c r="K20" s="48">
        <f t="shared" si="1"/>
        <v>2.0500000000000001E-2</v>
      </c>
      <c r="L20" s="36"/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244</v>
      </c>
      <c r="C21" t="s">
        <v>104</v>
      </c>
      <c r="D21" t="s">
        <v>10</v>
      </c>
      <c r="E21" s="28">
        <v>52617</v>
      </c>
      <c r="F21" s="13">
        <v>867.60171300000002</v>
      </c>
      <c r="G21" s="14">
        <f t="shared" si="0"/>
        <v>2.7E-2</v>
      </c>
      <c r="H21" s="15"/>
      <c r="J21" s="14" t="s">
        <v>103</v>
      </c>
      <c r="K21" s="48">
        <f t="shared" si="1"/>
        <v>2.0199999999999999E-2</v>
      </c>
      <c r="L21" s="36"/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251</v>
      </c>
      <c r="C22" t="s">
        <v>113</v>
      </c>
      <c r="D22" t="s">
        <v>20</v>
      </c>
      <c r="E22" s="28">
        <v>21660</v>
      </c>
      <c r="F22" s="13">
        <v>819.86348999999996</v>
      </c>
      <c r="G22" s="14">
        <f t="shared" si="0"/>
        <v>2.5499999999999998E-2</v>
      </c>
      <c r="H22" s="15"/>
      <c r="J22" s="14" t="s">
        <v>422</v>
      </c>
      <c r="K22" s="48">
        <f t="shared" si="1"/>
        <v>1.38E-2</v>
      </c>
      <c r="L22" s="36"/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265</v>
      </c>
      <c r="C23" t="s">
        <v>129</v>
      </c>
      <c r="D23" t="s">
        <v>18</v>
      </c>
      <c r="E23" s="28">
        <v>4196</v>
      </c>
      <c r="F23" s="13">
        <v>758.40602000000001</v>
      </c>
      <c r="G23" s="14">
        <f t="shared" si="0"/>
        <v>2.3599999999999999E-2</v>
      </c>
      <c r="H23" s="15"/>
      <c r="J23" s="14" t="s">
        <v>47</v>
      </c>
      <c r="K23" s="48">
        <f t="shared" si="1"/>
        <v>1.2800000000000001E-2</v>
      </c>
      <c r="L23" s="36"/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232</v>
      </c>
      <c r="C24" t="s">
        <v>81</v>
      </c>
      <c r="D24" t="s">
        <v>30</v>
      </c>
      <c r="E24" s="28">
        <v>175900</v>
      </c>
      <c r="F24" s="13">
        <v>736.31740000000002</v>
      </c>
      <c r="G24" s="14">
        <f t="shared" si="0"/>
        <v>2.29E-2</v>
      </c>
      <c r="H24" s="15"/>
      <c r="J24" s="14" t="s">
        <v>32</v>
      </c>
      <c r="K24" s="48">
        <f t="shared" si="1"/>
        <v>1.2200000000000001E-2</v>
      </c>
      <c r="L24" s="36"/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198</v>
      </c>
      <c r="C25" t="s">
        <v>21</v>
      </c>
      <c r="D25" t="s">
        <v>20</v>
      </c>
      <c r="E25" s="28">
        <v>165000</v>
      </c>
      <c r="F25" s="13">
        <v>712.55250000000001</v>
      </c>
      <c r="G25" s="14">
        <f t="shared" si="0"/>
        <v>2.2100000000000002E-2</v>
      </c>
      <c r="H25" s="15"/>
      <c r="J25" s="14" t="s">
        <v>328</v>
      </c>
      <c r="K25" s="48">
        <f t="shared" si="1"/>
        <v>1.18E-2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263</v>
      </c>
      <c r="C26" t="s">
        <v>125</v>
      </c>
      <c r="D26" t="s">
        <v>45</v>
      </c>
      <c r="E26" s="28">
        <v>243000</v>
      </c>
      <c r="F26" s="13">
        <v>664.72649999999999</v>
      </c>
      <c r="G26" s="14">
        <f t="shared" si="0"/>
        <v>2.06E-2</v>
      </c>
      <c r="H26" s="15"/>
      <c r="J26" s="14" t="s">
        <v>43</v>
      </c>
      <c r="K26" s="48">
        <f t="shared" si="1"/>
        <v>1.18E-2</v>
      </c>
      <c r="L26" s="36"/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256</v>
      </c>
      <c r="C27" t="s">
        <v>119</v>
      </c>
      <c r="D27" t="s">
        <v>103</v>
      </c>
      <c r="E27" s="28">
        <v>111900</v>
      </c>
      <c r="F27" s="13">
        <v>651.03420000000006</v>
      </c>
      <c r="G27" s="14">
        <f t="shared" si="0"/>
        <v>2.0199999999999999E-2</v>
      </c>
      <c r="H27" s="15"/>
      <c r="J27" s="14" t="s">
        <v>38</v>
      </c>
      <c r="K27" s="48">
        <f t="shared" si="1"/>
        <v>1.12E-2</v>
      </c>
      <c r="L27" s="54"/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199</v>
      </c>
      <c r="C28" t="s">
        <v>25</v>
      </c>
      <c r="D28" t="s">
        <v>14</v>
      </c>
      <c r="E28" s="28">
        <v>69900</v>
      </c>
      <c r="F28" s="13">
        <v>622.45950000000005</v>
      </c>
      <c r="G28" s="14">
        <f t="shared" si="0"/>
        <v>1.9300000000000001E-2</v>
      </c>
      <c r="H28" s="15"/>
      <c r="J28" t="s">
        <v>34</v>
      </c>
      <c r="K28" s="48">
        <f t="shared" si="1"/>
        <v>1.0699999999999999E-2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207</v>
      </c>
      <c r="C29" t="s">
        <v>53</v>
      </c>
      <c r="D29" t="s">
        <v>18</v>
      </c>
      <c r="E29" s="28">
        <v>14400</v>
      </c>
      <c r="F29" s="13">
        <v>622.16639999999995</v>
      </c>
      <c r="G29" s="14">
        <f t="shared" si="0"/>
        <v>1.9300000000000001E-2</v>
      </c>
      <c r="H29" s="15"/>
      <c r="J29" s="14" t="s">
        <v>36</v>
      </c>
      <c r="K29" s="48">
        <f t="shared" si="1"/>
        <v>9.9000000000000008E-3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255</v>
      </c>
      <c r="C30" t="s">
        <v>118</v>
      </c>
      <c r="D30" t="s">
        <v>30</v>
      </c>
      <c r="E30" s="28">
        <v>92360</v>
      </c>
      <c r="F30" s="13">
        <v>478.14771999999999</v>
      </c>
      <c r="G30" s="14">
        <f t="shared" si="0"/>
        <v>1.49E-2</v>
      </c>
      <c r="H30" s="15"/>
      <c r="J30" s="14" t="s">
        <v>106</v>
      </c>
      <c r="K30" s="48">
        <f t="shared" si="1"/>
        <v>9.4999999999999998E-3</v>
      </c>
      <c r="N30" s="36"/>
      <c r="P30" s="14"/>
    </row>
    <row r="31" spans="1:16" ht="12.75" customHeight="1" x14ac:dyDescent="0.2">
      <c r="A31">
        <f>+MAX($A$8:A30)+1</f>
        <v>23</v>
      </c>
      <c r="B31" t="s">
        <v>520</v>
      </c>
      <c r="C31" t="s">
        <v>521</v>
      </c>
      <c r="D31" t="s">
        <v>14</v>
      </c>
      <c r="E31" s="28">
        <v>43500</v>
      </c>
      <c r="F31" s="13">
        <v>447.28874999999999</v>
      </c>
      <c r="G31" s="14">
        <f t="shared" si="0"/>
        <v>1.3899999999999999E-2</v>
      </c>
      <c r="H31" s="15"/>
      <c r="J31" s="14" t="s">
        <v>64</v>
      </c>
      <c r="K31" s="48">
        <f>+SUMIFS($G$5:$G$1000,$B$5:$B$1000,"CBLO / Reverse Repo Investments")+SUMIFS($G$5:$G$1000,$B$5:$B$1000,"Net Receivable/Payable")</f>
        <v>6.2000000000000006E-3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436</v>
      </c>
      <c r="C32" t="s">
        <v>437</v>
      </c>
      <c r="D32" t="s">
        <v>422</v>
      </c>
      <c r="E32" s="28">
        <v>76800</v>
      </c>
      <c r="F32" s="13">
        <v>444.86399999999998</v>
      </c>
      <c r="G32" s="14">
        <f t="shared" si="0"/>
        <v>1.38E-2</v>
      </c>
      <c r="H32" s="15"/>
      <c r="J32" s="14"/>
      <c r="K32" s="48"/>
    </row>
    <row r="33" spans="1:8" ht="12.75" customHeight="1" x14ac:dyDescent="0.2">
      <c r="A33">
        <f>+MAX($A$8:A32)+1</f>
        <v>25</v>
      </c>
      <c r="B33" t="s">
        <v>216</v>
      </c>
      <c r="C33" t="s">
        <v>59</v>
      </c>
      <c r="D33" t="s">
        <v>22</v>
      </c>
      <c r="E33" s="28">
        <v>45000</v>
      </c>
      <c r="F33" s="13">
        <v>432.76499999999999</v>
      </c>
      <c r="G33" s="14">
        <f t="shared" si="0"/>
        <v>1.34E-2</v>
      </c>
      <c r="H33" s="15"/>
    </row>
    <row r="34" spans="1:8" ht="12.75" customHeight="1" x14ac:dyDescent="0.2">
      <c r="A34">
        <f>+MAX($A$8:A33)+1</f>
        <v>26</v>
      </c>
      <c r="B34" t="s">
        <v>208</v>
      </c>
      <c r="C34" t="s">
        <v>50</v>
      </c>
      <c r="D34" t="s">
        <v>22</v>
      </c>
      <c r="E34" s="28">
        <v>7800</v>
      </c>
      <c r="F34" s="13">
        <v>430.9461</v>
      </c>
      <c r="G34" s="14">
        <f t="shared" si="0"/>
        <v>1.34E-2</v>
      </c>
      <c r="H34" s="15"/>
    </row>
    <row r="35" spans="1:8" ht="12.75" customHeight="1" x14ac:dyDescent="0.2">
      <c r="A35">
        <f>+MAX($A$8:A34)+1</f>
        <v>27</v>
      </c>
      <c r="B35" t="s">
        <v>248</v>
      </c>
      <c r="C35" t="s">
        <v>111</v>
      </c>
      <c r="D35" t="s">
        <v>26</v>
      </c>
      <c r="E35" s="28">
        <v>36907</v>
      </c>
      <c r="F35" s="13">
        <v>427.56759499999998</v>
      </c>
      <c r="G35" s="14">
        <f t="shared" si="0"/>
        <v>1.3299999999999999E-2</v>
      </c>
      <c r="H35" s="15"/>
    </row>
    <row r="36" spans="1:8" ht="12.75" customHeight="1" x14ac:dyDescent="0.2">
      <c r="A36">
        <f>+MAX($A$8:A35)+1</f>
        <v>28</v>
      </c>
      <c r="B36" t="s">
        <v>478</v>
      </c>
      <c r="C36" t="s">
        <v>479</v>
      </c>
      <c r="D36" t="s">
        <v>24</v>
      </c>
      <c r="E36" s="28">
        <v>485901</v>
      </c>
      <c r="F36" s="13">
        <v>400.86832500000003</v>
      </c>
      <c r="G36" s="14">
        <f t="shared" si="0"/>
        <v>1.2500000000000001E-2</v>
      </c>
      <c r="H36" s="15"/>
    </row>
    <row r="37" spans="1:8" ht="12.75" customHeight="1" x14ac:dyDescent="0.2">
      <c r="A37">
        <f>+MAX($A$8:A36)+1</f>
        <v>29</v>
      </c>
      <c r="B37" t="s">
        <v>540</v>
      </c>
      <c r="C37" t="s">
        <v>541</v>
      </c>
      <c r="D37" t="s">
        <v>32</v>
      </c>
      <c r="E37" s="28">
        <v>180000</v>
      </c>
      <c r="F37" s="13">
        <v>392.31</v>
      </c>
      <c r="G37" s="14">
        <f t="shared" si="0"/>
        <v>1.2200000000000001E-2</v>
      </c>
      <c r="H37" s="15"/>
    </row>
    <row r="38" spans="1:8" ht="12.75" customHeight="1" x14ac:dyDescent="0.2">
      <c r="A38">
        <f>+MAX($A$8:A37)+1</f>
        <v>30</v>
      </c>
      <c r="B38" s="1" t="s">
        <v>254</v>
      </c>
      <c r="C38" t="s">
        <v>573</v>
      </c>
      <c r="D38" t="s">
        <v>10</v>
      </c>
      <c r="E38" s="28">
        <v>123000</v>
      </c>
      <c r="F38" s="13">
        <v>387.6345</v>
      </c>
      <c r="G38" s="14">
        <f t="shared" si="0"/>
        <v>1.2E-2</v>
      </c>
      <c r="H38" s="15"/>
    </row>
    <row r="39" spans="1:8" ht="12.75" customHeight="1" x14ac:dyDescent="0.2">
      <c r="A39">
        <f>+MAX($A$8:A38)+1</f>
        <v>31</v>
      </c>
      <c r="B39" t="s">
        <v>516</v>
      </c>
      <c r="C39" t="s">
        <v>517</v>
      </c>
      <c r="D39" t="s">
        <v>43</v>
      </c>
      <c r="E39" s="28">
        <v>36000</v>
      </c>
      <c r="F39" s="13">
        <v>380.68200000000002</v>
      </c>
      <c r="G39" s="14">
        <f t="shared" si="0"/>
        <v>1.18E-2</v>
      </c>
      <c r="H39" s="15"/>
    </row>
    <row r="40" spans="1:8" ht="12.75" customHeight="1" x14ac:dyDescent="0.2">
      <c r="A40">
        <f>+MAX($A$8:A39)+1</f>
        <v>32</v>
      </c>
      <c r="B40" t="s">
        <v>226</v>
      </c>
      <c r="C40" t="s">
        <v>70</v>
      </c>
      <c r="D40" t="s">
        <v>10</v>
      </c>
      <c r="E40" s="28">
        <v>345600</v>
      </c>
      <c r="F40" s="13">
        <v>374.976</v>
      </c>
      <c r="G40" s="14">
        <f t="shared" si="0"/>
        <v>1.1599999999999999E-2</v>
      </c>
      <c r="H40" s="15"/>
    </row>
    <row r="41" spans="1:8" ht="12.75" customHeight="1" x14ac:dyDescent="0.2">
      <c r="A41">
        <f>+MAX($A$8:A40)+1</f>
        <v>33</v>
      </c>
      <c r="B41" t="s">
        <v>318</v>
      </c>
      <c r="C41" t="s">
        <v>524</v>
      </c>
      <c r="D41" t="s">
        <v>136</v>
      </c>
      <c r="E41" s="28">
        <v>45000</v>
      </c>
      <c r="F41" s="13">
        <v>373.70249999999999</v>
      </c>
      <c r="G41" s="14">
        <f t="shared" ref="G41:G59" si="2">+ROUND(F41/VLOOKUP("Grand Total",$B$4:$F$292,5,0),4)</f>
        <v>1.1599999999999999E-2</v>
      </c>
      <c r="H41" s="15"/>
    </row>
    <row r="42" spans="1:8" ht="12.75" customHeight="1" x14ac:dyDescent="0.2">
      <c r="A42">
        <f>+MAX($A$8:A41)+1</f>
        <v>34</v>
      </c>
      <c r="B42" t="s">
        <v>575</v>
      </c>
      <c r="C42" t="s">
        <v>576</v>
      </c>
      <c r="D42" t="s">
        <v>136</v>
      </c>
      <c r="E42" s="28">
        <v>100800</v>
      </c>
      <c r="F42" s="13">
        <v>373.31279999999998</v>
      </c>
      <c r="G42" s="14">
        <f t="shared" si="2"/>
        <v>1.1599999999999999E-2</v>
      </c>
      <c r="H42" s="15"/>
    </row>
    <row r="43" spans="1:8" ht="12.75" customHeight="1" x14ac:dyDescent="0.2">
      <c r="A43">
        <f>+MAX($A$8:A42)+1</f>
        <v>35</v>
      </c>
      <c r="B43" t="s">
        <v>525</v>
      </c>
      <c r="C43" t="s">
        <v>526</v>
      </c>
      <c r="D43" t="s">
        <v>38</v>
      </c>
      <c r="E43" s="28">
        <v>135000</v>
      </c>
      <c r="F43" s="13">
        <v>362.13749999999999</v>
      </c>
      <c r="G43" s="14">
        <f t="shared" si="2"/>
        <v>1.12E-2</v>
      </c>
      <c r="H43" s="15"/>
    </row>
    <row r="44" spans="1:8" ht="12.75" customHeight="1" x14ac:dyDescent="0.2">
      <c r="A44">
        <f>+MAX($A$8:A43)+1</f>
        <v>36</v>
      </c>
      <c r="B44" t="s">
        <v>491</v>
      </c>
      <c r="C44" t="s">
        <v>492</v>
      </c>
      <c r="D44" t="s">
        <v>28</v>
      </c>
      <c r="E44" s="28">
        <v>180000</v>
      </c>
      <c r="F44" s="13">
        <v>358.74</v>
      </c>
      <c r="G44" s="14">
        <f t="shared" si="2"/>
        <v>1.11E-2</v>
      </c>
      <c r="H44" s="15"/>
    </row>
    <row r="45" spans="1:8" ht="12.75" customHeight="1" x14ac:dyDescent="0.2">
      <c r="A45">
        <f>+MAX($A$8:A44)+1</f>
        <v>37</v>
      </c>
      <c r="B45" t="s">
        <v>218</v>
      </c>
      <c r="C45" t="s">
        <v>61</v>
      </c>
      <c r="D45" t="s">
        <v>22</v>
      </c>
      <c r="E45" s="28">
        <v>50998</v>
      </c>
      <c r="F45" s="13">
        <v>350.84074100000004</v>
      </c>
      <c r="G45" s="14">
        <f t="shared" si="2"/>
        <v>1.09E-2</v>
      </c>
      <c r="H45" s="15"/>
    </row>
    <row r="46" spans="1:8" ht="12.75" customHeight="1" x14ac:dyDescent="0.2">
      <c r="A46">
        <f>+MAX($A$8:A45)+1</f>
        <v>38</v>
      </c>
      <c r="B46" t="s">
        <v>217</v>
      </c>
      <c r="C46" t="s">
        <v>65</v>
      </c>
      <c r="D46" t="s">
        <v>34</v>
      </c>
      <c r="E46" s="28">
        <v>64800</v>
      </c>
      <c r="F46" s="13">
        <v>343.21319999999997</v>
      </c>
      <c r="G46" s="14">
        <f t="shared" si="2"/>
        <v>1.0699999999999999E-2</v>
      </c>
      <c r="H46" s="15"/>
    </row>
    <row r="47" spans="1:8" ht="12.75" customHeight="1" x14ac:dyDescent="0.2">
      <c r="A47">
        <f>+MAX($A$8:A46)+1</f>
        <v>39</v>
      </c>
      <c r="B47" t="s">
        <v>476</v>
      </c>
      <c r="C47" t="s">
        <v>477</v>
      </c>
      <c r="D47" t="s">
        <v>26</v>
      </c>
      <c r="E47" s="28">
        <v>77760</v>
      </c>
      <c r="F47" s="13">
        <v>340.54991999999999</v>
      </c>
      <c r="G47" s="14">
        <f t="shared" si="2"/>
        <v>1.06E-2</v>
      </c>
      <c r="H47" s="15"/>
    </row>
    <row r="48" spans="1:8" ht="12.75" customHeight="1" x14ac:dyDescent="0.2">
      <c r="A48">
        <f>+MAX($A$8:A47)+1</f>
        <v>40</v>
      </c>
      <c r="B48" t="s">
        <v>493</v>
      </c>
      <c r="C48" t="s">
        <v>494</v>
      </c>
      <c r="D48" t="s">
        <v>22</v>
      </c>
      <c r="E48" s="28">
        <v>61437</v>
      </c>
      <c r="F48" s="13">
        <v>332.58919950000001</v>
      </c>
      <c r="G48" s="14">
        <f t="shared" si="2"/>
        <v>1.03E-2</v>
      </c>
      <c r="H48" s="15"/>
    </row>
    <row r="49" spans="1:11" ht="12.75" customHeight="1" x14ac:dyDescent="0.2">
      <c r="A49">
        <f>+MAX($A$8:A48)+1</f>
        <v>41</v>
      </c>
      <c r="B49" t="s">
        <v>667</v>
      </c>
      <c r="C49" t="s">
        <v>668</v>
      </c>
      <c r="D49" t="s">
        <v>107</v>
      </c>
      <c r="E49" s="28">
        <v>294657</v>
      </c>
      <c r="F49" s="13">
        <v>332.52042449999999</v>
      </c>
      <c r="G49" s="14">
        <f t="shared" si="2"/>
        <v>1.03E-2</v>
      </c>
      <c r="H49" s="15"/>
    </row>
    <row r="50" spans="1:11" ht="12.75" customHeight="1" x14ac:dyDescent="0.2">
      <c r="A50">
        <f>+MAX($A$8:A49)+1</f>
        <v>42</v>
      </c>
      <c r="B50" t="s">
        <v>220</v>
      </c>
      <c r="C50" t="s">
        <v>29</v>
      </c>
      <c r="D50" t="s">
        <v>10</v>
      </c>
      <c r="E50" s="28">
        <v>58800</v>
      </c>
      <c r="F50" s="13">
        <v>331.6026</v>
      </c>
      <c r="G50" s="14">
        <f t="shared" si="2"/>
        <v>1.03E-2</v>
      </c>
      <c r="H50" s="15"/>
    </row>
    <row r="51" spans="1:11" ht="12.75" customHeight="1" x14ac:dyDescent="0.2">
      <c r="A51">
        <f>+MAX($A$8:A50)+1</f>
        <v>43</v>
      </c>
      <c r="B51" t="s">
        <v>448</v>
      </c>
      <c r="C51" t="s">
        <v>449</v>
      </c>
      <c r="D51" t="s">
        <v>107</v>
      </c>
      <c r="E51" s="28">
        <v>121500</v>
      </c>
      <c r="F51" s="13">
        <v>327.80700000000002</v>
      </c>
      <c r="G51" s="14">
        <f t="shared" si="2"/>
        <v>1.0200000000000001E-2</v>
      </c>
      <c r="H51" s="15"/>
    </row>
    <row r="52" spans="1:11" ht="12.75" customHeight="1" x14ac:dyDescent="0.2">
      <c r="A52">
        <f>+MAX($A$8:A51)+1</f>
        <v>44</v>
      </c>
      <c r="B52" t="s">
        <v>250</v>
      </c>
      <c r="C52" t="s">
        <v>115</v>
      </c>
      <c r="D52" t="s">
        <v>36</v>
      </c>
      <c r="E52" s="28">
        <v>159000</v>
      </c>
      <c r="F52" s="13">
        <v>318.55650000000003</v>
      </c>
      <c r="G52" s="14">
        <f t="shared" si="2"/>
        <v>9.9000000000000008E-3</v>
      </c>
      <c r="H52" s="15"/>
    </row>
    <row r="53" spans="1:11" ht="12.75" customHeight="1" x14ac:dyDescent="0.2">
      <c r="A53">
        <f>+MAX($A$8:A52)+1</f>
        <v>45</v>
      </c>
      <c r="B53" t="s">
        <v>495</v>
      </c>
      <c r="C53" t="s">
        <v>496</v>
      </c>
      <c r="D53" t="s">
        <v>106</v>
      </c>
      <c r="E53" s="28">
        <v>18900</v>
      </c>
      <c r="F53" s="13">
        <v>305.84924999999998</v>
      </c>
      <c r="G53" s="14">
        <f t="shared" si="2"/>
        <v>9.4999999999999998E-3</v>
      </c>
      <c r="H53" s="15"/>
    </row>
    <row r="54" spans="1:11" ht="12.75" customHeight="1" x14ac:dyDescent="0.2">
      <c r="A54">
        <f>+MAX($A$8:A53)+1</f>
        <v>46</v>
      </c>
      <c r="B54" t="s">
        <v>542</v>
      </c>
      <c r="C54" t="s">
        <v>543</v>
      </c>
      <c r="D54" t="s">
        <v>24</v>
      </c>
      <c r="E54" s="28">
        <v>5400</v>
      </c>
      <c r="F54" s="13">
        <v>282.44159999999999</v>
      </c>
      <c r="G54" s="14">
        <f t="shared" si="2"/>
        <v>8.8000000000000005E-3</v>
      </c>
      <c r="H54" s="15"/>
    </row>
    <row r="55" spans="1:11" ht="12.75" customHeight="1" x14ac:dyDescent="0.2">
      <c r="A55">
        <f>+MAX($A$8:A54)+1</f>
        <v>47</v>
      </c>
      <c r="B55" t="s">
        <v>290</v>
      </c>
      <c r="C55" t="s">
        <v>180</v>
      </c>
      <c r="D55" t="s">
        <v>47</v>
      </c>
      <c r="E55" s="28">
        <v>108000</v>
      </c>
      <c r="F55" s="13">
        <v>275.13</v>
      </c>
      <c r="G55" s="14">
        <f t="shared" si="2"/>
        <v>8.5000000000000006E-3</v>
      </c>
      <c r="H55" s="15"/>
    </row>
    <row r="56" spans="1:11" ht="12.75" customHeight="1" x14ac:dyDescent="0.2">
      <c r="A56">
        <f>+MAX($A$8:A55)+1</f>
        <v>48</v>
      </c>
      <c r="B56" t="s">
        <v>467</v>
      </c>
      <c r="C56" t="s">
        <v>468</v>
      </c>
      <c r="D56" t="s">
        <v>24</v>
      </c>
      <c r="E56" s="28">
        <v>150000</v>
      </c>
      <c r="F56" s="13">
        <v>240.82499999999999</v>
      </c>
      <c r="G56" s="14">
        <f t="shared" si="2"/>
        <v>7.4999999999999997E-3</v>
      </c>
      <c r="H56" s="15"/>
    </row>
    <row r="57" spans="1:11" ht="12.75" customHeight="1" x14ac:dyDescent="0.2">
      <c r="A57">
        <f>+MAX($A$8:A56)+1</f>
        <v>49</v>
      </c>
      <c r="B57" t="s">
        <v>40</v>
      </c>
      <c r="C57" t="s">
        <v>42</v>
      </c>
      <c r="D57" t="s">
        <v>10</v>
      </c>
      <c r="E57" s="28">
        <v>135000</v>
      </c>
      <c r="F57" s="13">
        <v>216.8775</v>
      </c>
      <c r="G57" s="14">
        <f t="shared" si="2"/>
        <v>6.7000000000000002E-3</v>
      </c>
      <c r="H57" s="15"/>
    </row>
    <row r="58" spans="1:11" ht="12.75" customHeight="1" x14ac:dyDescent="0.2">
      <c r="A58">
        <f>+MAX($A$8:A57)+1</f>
        <v>50</v>
      </c>
      <c r="B58" s="65" t="s">
        <v>258</v>
      </c>
      <c r="C58" s="65" t="s">
        <v>120</v>
      </c>
      <c r="D58" t="s">
        <v>47</v>
      </c>
      <c r="E58" s="28">
        <v>28000</v>
      </c>
      <c r="F58" s="13">
        <v>139.90199999999999</v>
      </c>
      <c r="G58" s="14">
        <f t="shared" si="2"/>
        <v>4.3E-3</v>
      </c>
      <c r="H58" s="15"/>
    </row>
    <row r="59" spans="1:11" ht="12.75" customHeight="1" x14ac:dyDescent="0.2">
      <c r="A59">
        <f>+MAX($A$8:A58)+1</f>
        <v>51</v>
      </c>
      <c r="B59" s="65" t="s">
        <v>406</v>
      </c>
      <c r="C59" s="65" t="s">
        <v>131</v>
      </c>
      <c r="D59" t="s">
        <v>20</v>
      </c>
      <c r="E59" s="28">
        <v>45000</v>
      </c>
      <c r="F59" s="13">
        <v>109.845</v>
      </c>
      <c r="G59" s="14">
        <f t="shared" si="2"/>
        <v>3.3999999999999998E-3</v>
      </c>
      <c r="H59" s="15"/>
    </row>
    <row r="60" spans="1:11" ht="12.75" customHeight="1" x14ac:dyDescent="0.2">
      <c r="B60" s="18" t="s">
        <v>86</v>
      </c>
      <c r="C60" s="18"/>
      <c r="D60" s="18"/>
      <c r="E60" s="29"/>
      <c r="F60" s="19">
        <f>SUM(F9:F59)</f>
        <v>31622.073993499995</v>
      </c>
      <c r="G60" s="20">
        <f>SUM(G9:G59)</f>
        <v>0.98199999999999998</v>
      </c>
      <c r="H60" s="21"/>
      <c r="I60" s="35"/>
    </row>
    <row r="61" spans="1:11" s="46" customFormat="1" ht="12.75" customHeight="1" x14ac:dyDescent="0.2">
      <c r="B61" s="67"/>
      <c r="C61" s="67"/>
      <c r="D61" s="67"/>
      <c r="E61" s="68"/>
      <c r="F61" s="69"/>
      <c r="G61" s="70"/>
      <c r="H61" s="71"/>
      <c r="I61" s="35"/>
      <c r="K61" s="48"/>
    </row>
    <row r="62" spans="1:11" ht="12.75" customHeight="1" x14ac:dyDescent="0.2">
      <c r="B62" s="16" t="s">
        <v>143</v>
      </c>
      <c r="C62" s="16"/>
      <c r="F62" s="13"/>
      <c r="G62" s="14"/>
      <c r="H62" s="15"/>
      <c r="J62" s="17"/>
      <c r="K62" s="37"/>
    </row>
    <row r="63" spans="1:11" ht="12.75" customHeight="1" x14ac:dyDescent="0.2">
      <c r="A63">
        <f>+MAX($A$8:A62)+1</f>
        <v>52</v>
      </c>
      <c r="B63" t="s">
        <v>258</v>
      </c>
      <c r="C63" s="121" t="s">
        <v>570</v>
      </c>
      <c r="D63" t="s">
        <v>328</v>
      </c>
      <c r="E63" s="28">
        <v>42000</v>
      </c>
      <c r="F63" s="13">
        <v>209.66399999999999</v>
      </c>
      <c r="G63" s="14">
        <f>+ROUND(F63/VLOOKUP("Grand Total",$B$4:$F$292,5,0),4)</f>
        <v>6.4999999999999997E-3</v>
      </c>
      <c r="H63" s="15">
        <v>43125</v>
      </c>
      <c r="J63" s="14"/>
      <c r="K63" s="48"/>
    </row>
    <row r="64" spans="1:11" ht="12.75" customHeight="1" x14ac:dyDescent="0.2">
      <c r="A64">
        <f>+MAX($A$8:A63)+1</f>
        <v>53</v>
      </c>
      <c r="B64" t="s">
        <v>444</v>
      </c>
      <c r="C64" s="121" t="s">
        <v>570</v>
      </c>
      <c r="D64" t="s">
        <v>328</v>
      </c>
      <c r="E64" s="28">
        <v>29700</v>
      </c>
      <c r="F64" s="13">
        <v>170.61165</v>
      </c>
      <c r="G64" s="14">
        <f t="shared" ref="G64" si="3">+ROUND(F64/VLOOKUP("Grand Total",$B$4:$F$292,5,0),4)</f>
        <v>5.3E-3</v>
      </c>
      <c r="H64" s="15">
        <v>43125</v>
      </c>
      <c r="J64" s="14"/>
      <c r="K64" s="48"/>
    </row>
    <row r="65" spans="1:11" ht="12.75" customHeight="1" x14ac:dyDescent="0.2">
      <c r="B65" s="18" t="s">
        <v>86</v>
      </c>
      <c r="C65" s="18"/>
      <c r="D65" s="18"/>
      <c r="E65" s="29"/>
      <c r="F65" s="19">
        <f>SUM(F63:F64)</f>
        <v>380.27564999999998</v>
      </c>
      <c r="G65" s="20">
        <f>SUM(G63:G64)</f>
        <v>1.18E-2</v>
      </c>
      <c r="H65" s="21"/>
      <c r="I65" s="35"/>
    </row>
    <row r="66" spans="1:11" s="46" customFormat="1" ht="12.75" customHeight="1" x14ac:dyDescent="0.2">
      <c r="B66" s="67"/>
      <c r="C66" s="67"/>
      <c r="D66" s="67"/>
      <c r="E66" s="68"/>
      <c r="F66" s="69"/>
      <c r="G66" s="70"/>
      <c r="H66" s="71"/>
      <c r="I66" s="35"/>
      <c r="K66" s="48"/>
    </row>
    <row r="67" spans="1:11" ht="12.75" customHeight="1" x14ac:dyDescent="0.2">
      <c r="A67" s="95" t="s">
        <v>380</v>
      </c>
      <c r="B67" s="16" t="s">
        <v>94</v>
      </c>
      <c r="C67" s="16"/>
      <c r="F67" s="13">
        <v>458.08326619999997</v>
      </c>
      <c r="G67" s="14">
        <f>+ROUND(F67/VLOOKUP("Grand Total",$B$4:$F$292,5,0),4)</f>
        <v>1.4200000000000001E-2</v>
      </c>
      <c r="H67" s="15">
        <v>43101</v>
      </c>
    </row>
    <row r="68" spans="1:11" ht="12.75" customHeight="1" x14ac:dyDescent="0.2">
      <c r="B68" s="18" t="s">
        <v>86</v>
      </c>
      <c r="C68" s="18"/>
      <c r="D68" s="18"/>
      <c r="E68" s="29"/>
      <c r="F68" s="19">
        <f>SUM(F67)</f>
        <v>458.08326619999997</v>
      </c>
      <c r="G68" s="20">
        <f>SUM(G67)</f>
        <v>1.4200000000000001E-2</v>
      </c>
      <c r="H68" s="21"/>
    </row>
    <row r="69" spans="1:11" ht="12.75" customHeight="1" x14ac:dyDescent="0.2">
      <c r="F69" s="13"/>
      <c r="G69" s="14"/>
      <c r="H69" s="15"/>
      <c r="I69" s="35"/>
    </row>
    <row r="70" spans="1:11" ht="12.75" customHeight="1" x14ac:dyDescent="0.2">
      <c r="B70" s="16" t="s">
        <v>95</v>
      </c>
      <c r="C70" s="16"/>
      <c r="F70" s="13"/>
      <c r="G70" s="14"/>
      <c r="H70" s="15"/>
      <c r="I70" s="35"/>
    </row>
    <row r="71" spans="1:11" ht="12.75" customHeight="1" x14ac:dyDescent="0.2">
      <c r="B71" s="16" t="s">
        <v>96</v>
      </c>
      <c r="C71" s="16"/>
      <c r="F71" s="13">
        <v>-268.56888390001041</v>
      </c>
      <c r="G71" s="14">
        <f>+ROUND(F71/VLOOKUP("Grand Total",$B$4:$F$292,5,0),4)+0.03%</f>
        <v>-8.0000000000000002E-3</v>
      </c>
      <c r="H71" s="15"/>
    </row>
    <row r="72" spans="1:11" ht="12.75" customHeight="1" x14ac:dyDescent="0.2">
      <c r="B72" s="18" t="s">
        <v>86</v>
      </c>
      <c r="C72" s="18"/>
      <c r="D72" s="18"/>
      <c r="E72" s="29"/>
      <c r="F72" s="19">
        <f>SUM(F71)</f>
        <v>-268.56888390001041</v>
      </c>
      <c r="G72" s="20">
        <f>SUM(G71)</f>
        <v>-8.0000000000000002E-3</v>
      </c>
      <c r="H72" s="21"/>
    </row>
    <row r="73" spans="1:11" ht="12.75" customHeight="1" x14ac:dyDescent="0.2">
      <c r="B73" s="22" t="s">
        <v>97</v>
      </c>
      <c r="C73" s="22"/>
      <c r="D73" s="22"/>
      <c r="E73" s="30"/>
      <c r="F73" s="23">
        <f>+SUMIF($B$5:B72,"Total",$F$5:F72)</f>
        <v>32191.864025799983</v>
      </c>
      <c r="G73" s="24">
        <f>+SUMIF($B$5:B72,"Total",$G$5:G72)</f>
        <v>1</v>
      </c>
      <c r="H73" s="25"/>
    </row>
    <row r="74" spans="1:11" ht="12.75" customHeight="1" x14ac:dyDescent="0.2">
      <c r="I74"/>
      <c r="K74"/>
    </row>
    <row r="75" spans="1:11" ht="12.75" customHeight="1" x14ac:dyDescent="0.2">
      <c r="B75" s="16" t="s">
        <v>792</v>
      </c>
      <c r="C75" s="16"/>
      <c r="F75" s="13"/>
      <c r="G75" s="14"/>
      <c r="I75"/>
      <c r="K75"/>
    </row>
    <row r="76" spans="1:11" ht="12.75" customHeight="1" x14ac:dyDescent="0.2">
      <c r="B76" s="16"/>
      <c r="C76" s="16"/>
      <c r="F76" s="13"/>
      <c r="G76" s="14"/>
      <c r="I76"/>
      <c r="K76"/>
    </row>
    <row r="77" spans="1:11" ht="12.75" customHeight="1" x14ac:dyDescent="0.2">
      <c r="B77" s="16"/>
      <c r="C77" s="16"/>
      <c r="F77" s="13"/>
      <c r="G77" s="14"/>
      <c r="I77"/>
      <c r="K77"/>
    </row>
    <row r="78" spans="1:11" ht="12.75" customHeight="1" x14ac:dyDescent="0.2">
      <c r="I78"/>
      <c r="K78"/>
    </row>
    <row r="79" spans="1:11" ht="12.75" customHeight="1" x14ac:dyDescent="0.2">
      <c r="F79" s="13"/>
      <c r="I79"/>
      <c r="K79"/>
    </row>
    <row r="80" spans="1:11" ht="12.75" customHeight="1" x14ac:dyDescent="0.2">
      <c r="I80"/>
      <c r="K80"/>
    </row>
    <row r="81" spans="5:11" ht="12.75" customHeight="1" x14ac:dyDescent="0.2">
      <c r="I81"/>
      <c r="K81"/>
    </row>
    <row r="82" spans="5:11" ht="12.75" customHeight="1" x14ac:dyDescent="0.2">
      <c r="I82"/>
      <c r="K82"/>
    </row>
    <row r="83" spans="5:11" ht="12.75" customHeight="1" x14ac:dyDescent="0.2">
      <c r="I83"/>
      <c r="K83"/>
    </row>
    <row r="84" spans="5:11" ht="12.75" customHeight="1" x14ac:dyDescent="0.2">
      <c r="I84"/>
      <c r="K84"/>
    </row>
    <row r="85" spans="5:11" ht="12.75" customHeight="1" x14ac:dyDescent="0.2">
      <c r="I85"/>
      <c r="K85"/>
    </row>
    <row r="86" spans="5:11" ht="12.75" customHeight="1" x14ac:dyDescent="0.2">
      <c r="I86"/>
      <c r="K86"/>
    </row>
    <row r="87" spans="5:11" ht="12.75" customHeight="1" x14ac:dyDescent="0.2"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  <row r="104" spans="5:11" ht="12.75" customHeight="1" x14ac:dyDescent="0.2">
      <c r="E104"/>
      <c r="I104"/>
      <c r="K104"/>
    </row>
    <row r="105" spans="5:11" ht="12.75" customHeight="1" x14ac:dyDescent="0.2">
      <c r="E105"/>
      <c r="I105"/>
      <c r="K105"/>
    </row>
    <row r="106" spans="5:11" ht="12.75" customHeight="1" x14ac:dyDescent="0.2">
      <c r="E106"/>
      <c r="I106"/>
      <c r="K106"/>
    </row>
    <row r="107" spans="5:11" ht="12.75" customHeight="1" x14ac:dyDescent="0.2">
      <c r="E107"/>
      <c r="I107"/>
      <c r="K107"/>
    </row>
    <row r="108" spans="5:11" ht="12.75" customHeight="1" x14ac:dyDescent="0.2">
      <c r="E108"/>
      <c r="I108"/>
      <c r="K108"/>
    </row>
    <row r="109" spans="5:11" ht="12.75" customHeight="1" x14ac:dyDescent="0.2">
      <c r="E109"/>
      <c r="I109"/>
      <c r="K109"/>
    </row>
    <row r="110" spans="5:11" ht="12.75" customHeight="1" x14ac:dyDescent="0.2">
      <c r="E110"/>
      <c r="I110"/>
      <c r="K110"/>
    </row>
  </sheetData>
  <sheetProtection password="EDB3" sheet="1" objects="1" scenarios="1"/>
  <sortState ref="J9:K26">
    <sortCondition descending="1" ref="K9:K2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31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21.5703125" bestFit="1" customWidth="1"/>
    <col min="11" max="11" width="8" style="36" customWidth="1"/>
  </cols>
  <sheetData>
    <row r="1" spans="1:16" ht="18.75" x14ac:dyDescent="0.2">
      <c r="A1" s="94" t="s">
        <v>384</v>
      </c>
      <c r="B1" s="123" t="s">
        <v>132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417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242</v>
      </c>
      <c r="C9" t="s">
        <v>102</v>
      </c>
      <c r="D9" t="s">
        <v>26</v>
      </c>
      <c r="E9" s="28">
        <v>84280</v>
      </c>
      <c r="F9" s="13">
        <v>1152.8239799999999</v>
      </c>
      <c r="G9" s="14">
        <f t="shared" ref="G9:G40" si="0">+ROUND(F9/VLOOKUP("Grand Total",$B$4:$F$298,5,0),4)</f>
        <v>8.2500000000000004E-2</v>
      </c>
      <c r="H9" s="15"/>
      <c r="J9" s="65" t="s">
        <v>26</v>
      </c>
      <c r="K9" s="103">
        <f t="shared" ref="K9:K31" si="1">SUMIFS($G$5:$G$322,$D$5:$D$322,J9)</f>
        <v>0.17079999999999998</v>
      </c>
    </row>
    <row r="10" spans="1:16" s="65" customFormat="1" ht="12.75" customHeight="1" x14ac:dyDescent="0.2">
      <c r="A10" s="65">
        <f>+MAX($A$7:A9)+1</f>
        <v>2</v>
      </c>
      <c r="B10" s="65" t="s">
        <v>212</v>
      </c>
      <c r="C10" s="65" t="s">
        <v>49</v>
      </c>
      <c r="D10" s="65" t="s">
        <v>20</v>
      </c>
      <c r="E10" s="85">
        <v>7350</v>
      </c>
      <c r="F10" s="86">
        <v>715.12192500000003</v>
      </c>
      <c r="G10" s="90">
        <f t="shared" si="0"/>
        <v>5.1200000000000002E-2</v>
      </c>
      <c r="H10" s="89"/>
      <c r="I10" s="73"/>
      <c r="J10" s="14" t="s">
        <v>10</v>
      </c>
      <c r="K10" s="48">
        <f t="shared" si="1"/>
        <v>0.15100000000000002</v>
      </c>
      <c r="L10" s="84"/>
      <c r="M10" s="90"/>
    </row>
    <row r="11" spans="1:16" ht="12.75" customHeight="1" x14ac:dyDescent="0.2">
      <c r="A11">
        <f>+MAX($A$7:A10)+1</f>
        <v>3</v>
      </c>
      <c r="B11" t="s">
        <v>204</v>
      </c>
      <c r="C11" t="s">
        <v>46</v>
      </c>
      <c r="D11" t="s">
        <v>26</v>
      </c>
      <c r="E11" s="28">
        <v>207108</v>
      </c>
      <c r="F11" s="13">
        <v>545.21181000000001</v>
      </c>
      <c r="G11" s="14">
        <f t="shared" si="0"/>
        <v>3.9E-2</v>
      </c>
      <c r="H11" s="15"/>
      <c r="J11" s="14" t="s">
        <v>20</v>
      </c>
      <c r="K11" s="48">
        <f t="shared" si="1"/>
        <v>0.11440000000000002</v>
      </c>
      <c r="L11" s="36"/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197</v>
      </c>
      <c r="C12" t="s">
        <v>11</v>
      </c>
      <c r="D12" t="s">
        <v>10</v>
      </c>
      <c r="E12" s="28">
        <v>166499</v>
      </c>
      <c r="F12" s="13">
        <v>522.80686000000003</v>
      </c>
      <c r="G12" s="14">
        <f t="shared" si="0"/>
        <v>3.7400000000000003E-2</v>
      </c>
      <c r="H12" s="15"/>
      <c r="J12" s="14" t="s">
        <v>30</v>
      </c>
      <c r="K12" s="48">
        <f t="shared" si="1"/>
        <v>8.7999999999999995E-2</v>
      </c>
      <c r="L12" s="36"/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194</v>
      </c>
      <c r="C13" t="s">
        <v>13</v>
      </c>
      <c r="D13" t="s">
        <v>10</v>
      </c>
      <c r="E13" s="28">
        <v>27800</v>
      </c>
      <c r="F13" s="13">
        <v>520.52719999999999</v>
      </c>
      <c r="G13" s="14">
        <f t="shared" si="0"/>
        <v>3.7199999999999997E-2</v>
      </c>
      <c r="H13" s="15"/>
      <c r="J13" s="14" t="s">
        <v>18</v>
      </c>
      <c r="K13" s="48">
        <f t="shared" si="1"/>
        <v>5.7099999999999998E-2</v>
      </c>
      <c r="L13" s="36"/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251</v>
      </c>
      <c r="C14" t="s">
        <v>113</v>
      </c>
      <c r="D14" t="s">
        <v>20</v>
      </c>
      <c r="E14" s="28">
        <v>13500</v>
      </c>
      <c r="F14" s="13">
        <v>510.99525</v>
      </c>
      <c r="G14" s="14">
        <f t="shared" si="0"/>
        <v>3.6600000000000001E-2</v>
      </c>
      <c r="H14" s="15"/>
      <c r="J14" s="14" t="s">
        <v>14</v>
      </c>
      <c r="K14" s="48">
        <f t="shared" si="1"/>
        <v>5.0900000000000001E-2</v>
      </c>
      <c r="L14" s="36"/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16</v>
      </c>
      <c r="C15" t="s">
        <v>17</v>
      </c>
      <c r="D15" t="s">
        <v>10</v>
      </c>
      <c r="E15" s="28">
        <v>144000</v>
      </c>
      <c r="F15" s="13">
        <v>446.25599999999997</v>
      </c>
      <c r="G15" s="14">
        <f t="shared" si="0"/>
        <v>3.1899999999999998E-2</v>
      </c>
      <c r="H15" s="15"/>
      <c r="J15" s="14" t="s">
        <v>136</v>
      </c>
      <c r="K15" s="48">
        <f t="shared" si="1"/>
        <v>4.3200000000000002E-2</v>
      </c>
      <c r="L15" s="36"/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196</v>
      </c>
      <c r="C16" t="s">
        <v>31</v>
      </c>
      <c r="D16" t="s">
        <v>30</v>
      </c>
      <c r="E16" s="28">
        <v>47490</v>
      </c>
      <c r="F16" s="13">
        <v>437.40664500000003</v>
      </c>
      <c r="G16" s="14">
        <f t="shared" si="0"/>
        <v>3.1300000000000001E-2</v>
      </c>
      <c r="H16" s="15"/>
      <c r="J16" s="14" t="s">
        <v>47</v>
      </c>
      <c r="K16" s="48">
        <f t="shared" si="1"/>
        <v>4.19E-2</v>
      </c>
      <c r="L16" s="36"/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269</v>
      </c>
      <c r="C17" t="s">
        <v>137</v>
      </c>
      <c r="D17" t="s">
        <v>18</v>
      </c>
      <c r="E17" s="28">
        <v>13569</v>
      </c>
      <c r="F17" s="13">
        <v>435.30030450000004</v>
      </c>
      <c r="G17" s="14">
        <f t="shared" si="0"/>
        <v>3.1099999999999999E-2</v>
      </c>
      <c r="H17" s="15"/>
      <c r="J17" s="14" t="s">
        <v>38</v>
      </c>
      <c r="K17" s="48">
        <f t="shared" si="1"/>
        <v>3.0600000000000002E-2</v>
      </c>
      <c r="L17" s="36"/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255</v>
      </c>
      <c r="C18" t="s">
        <v>118</v>
      </c>
      <c r="D18" t="s">
        <v>30</v>
      </c>
      <c r="E18" s="28">
        <v>78900</v>
      </c>
      <c r="F18" s="13">
        <v>408.46530000000001</v>
      </c>
      <c r="G18" s="14">
        <f t="shared" si="0"/>
        <v>2.92E-2</v>
      </c>
      <c r="H18" s="15"/>
      <c r="J18" s="14" t="s">
        <v>43</v>
      </c>
      <c r="K18" s="48">
        <f t="shared" si="1"/>
        <v>2.93E-2</v>
      </c>
      <c r="L18" s="36"/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232</v>
      </c>
      <c r="C19" t="s">
        <v>81</v>
      </c>
      <c r="D19" t="s">
        <v>30</v>
      </c>
      <c r="E19" s="28">
        <v>91800</v>
      </c>
      <c r="F19" s="13">
        <v>384.27480000000003</v>
      </c>
      <c r="G19" s="14">
        <f t="shared" si="0"/>
        <v>2.75E-2</v>
      </c>
      <c r="H19" s="15"/>
      <c r="J19" s="14" t="s">
        <v>41</v>
      </c>
      <c r="K19" s="48">
        <f t="shared" si="1"/>
        <v>2.6999999999999996E-2</v>
      </c>
      <c r="L19" s="36"/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195</v>
      </c>
      <c r="C20" t="s">
        <v>15</v>
      </c>
      <c r="D20" t="s">
        <v>14</v>
      </c>
      <c r="E20" s="28">
        <v>36064</v>
      </c>
      <c r="F20" s="13">
        <v>375.804912</v>
      </c>
      <c r="G20" s="14">
        <f t="shared" si="0"/>
        <v>2.69E-2</v>
      </c>
      <c r="H20" s="15"/>
      <c r="J20" s="14" t="s">
        <v>28</v>
      </c>
      <c r="K20" s="48">
        <f t="shared" si="1"/>
        <v>2.7E-2</v>
      </c>
      <c r="L20" s="36"/>
      <c r="M20" s="14"/>
      <c r="N20" s="36"/>
      <c r="P20" s="14"/>
    </row>
    <row r="21" spans="1:16" ht="12.75" customHeight="1" x14ac:dyDescent="0.2">
      <c r="A21">
        <f>+MAX($A$7:A20)+1</f>
        <v>13</v>
      </c>
      <c r="B21" t="s">
        <v>207</v>
      </c>
      <c r="C21" t="s">
        <v>53</v>
      </c>
      <c r="D21" t="s">
        <v>18</v>
      </c>
      <c r="E21" s="28">
        <v>8400</v>
      </c>
      <c r="F21" s="13">
        <v>362.93040000000002</v>
      </c>
      <c r="G21" s="14">
        <f t="shared" si="0"/>
        <v>2.5999999999999999E-2</v>
      </c>
      <c r="H21" s="15"/>
      <c r="J21" s="14" t="s">
        <v>100</v>
      </c>
      <c r="K21" s="48">
        <f t="shared" si="1"/>
        <v>2.47E-2</v>
      </c>
      <c r="L21" s="36"/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270</v>
      </c>
      <c r="C22" t="s">
        <v>138</v>
      </c>
      <c r="D22" t="s">
        <v>26</v>
      </c>
      <c r="E22" s="28">
        <v>10800</v>
      </c>
      <c r="F22" s="13">
        <v>346.3614</v>
      </c>
      <c r="G22" s="14">
        <f t="shared" si="0"/>
        <v>2.4799999999999999E-2</v>
      </c>
      <c r="H22" s="15"/>
      <c r="J22" s="14" t="s">
        <v>45</v>
      </c>
      <c r="K22" s="48">
        <f t="shared" si="1"/>
        <v>2.46E-2</v>
      </c>
      <c r="L22" s="36"/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201</v>
      </c>
      <c r="C23" t="s">
        <v>39</v>
      </c>
      <c r="D23" t="s">
        <v>20</v>
      </c>
      <c r="E23" s="28">
        <v>7860</v>
      </c>
      <c r="F23" s="13">
        <v>262.02096</v>
      </c>
      <c r="G23" s="14">
        <f t="shared" si="0"/>
        <v>1.8700000000000001E-2</v>
      </c>
      <c r="H23" s="15"/>
      <c r="J23" s="14" t="s">
        <v>22</v>
      </c>
      <c r="K23" s="48">
        <f t="shared" si="1"/>
        <v>2.01E-2</v>
      </c>
      <c r="L23" s="36"/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230</v>
      </c>
      <c r="C24" t="s">
        <v>627</v>
      </c>
      <c r="D24" t="s">
        <v>47</v>
      </c>
      <c r="E24" s="28">
        <v>75000</v>
      </c>
      <c r="F24" s="13">
        <v>251.85</v>
      </c>
      <c r="G24" s="14">
        <f t="shared" si="0"/>
        <v>1.7999999999999999E-2</v>
      </c>
      <c r="H24" s="15"/>
      <c r="J24" s="14" t="s">
        <v>107</v>
      </c>
      <c r="K24" s="48">
        <f t="shared" si="1"/>
        <v>1.6300000000000002E-2</v>
      </c>
      <c r="L24" s="36"/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497</v>
      </c>
      <c r="C25" t="s">
        <v>498</v>
      </c>
      <c r="D25" t="s">
        <v>41</v>
      </c>
      <c r="E25" s="28">
        <v>45000</v>
      </c>
      <c r="F25" s="13">
        <v>219.03749999999999</v>
      </c>
      <c r="G25" s="14">
        <f t="shared" si="0"/>
        <v>1.5699999999999999E-2</v>
      </c>
      <c r="H25" s="15"/>
      <c r="J25" s="14" t="s">
        <v>24</v>
      </c>
      <c r="K25" s="48">
        <f t="shared" si="1"/>
        <v>1.4200000000000001E-2</v>
      </c>
      <c r="L25" s="36"/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227</v>
      </c>
      <c r="C26" t="s">
        <v>66</v>
      </c>
      <c r="D26" t="s">
        <v>28</v>
      </c>
      <c r="E26" s="28">
        <v>56700</v>
      </c>
      <c r="F26" s="13">
        <v>217.3878</v>
      </c>
      <c r="G26" s="14">
        <f t="shared" si="0"/>
        <v>1.55E-2</v>
      </c>
      <c r="H26" s="15"/>
      <c r="J26" s="14" t="s">
        <v>135</v>
      </c>
      <c r="K26" s="48">
        <f t="shared" si="1"/>
        <v>1.3599999999999999E-2</v>
      </c>
      <c r="L26" s="36"/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244</v>
      </c>
      <c r="C27" t="s">
        <v>104</v>
      </c>
      <c r="D27" t="s">
        <v>10</v>
      </c>
      <c r="E27" s="28">
        <v>12900</v>
      </c>
      <c r="F27" s="13">
        <v>212.7081</v>
      </c>
      <c r="G27" s="14">
        <f t="shared" si="0"/>
        <v>1.52E-2</v>
      </c>
      <c r="H27" s="15"/>
      <c r="J27" s="14" t="s">
        <v>146</v>
      </c>
      <c r="K27" s="48">
        <f t="shared" si="1"/>
        <v>1.2699999999999999E-2</v>
      </c>
      <c r="L27" s="36"/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246</v>
      </c>
      <c r="C28" t="s">
        <v>108</v>
      </c>
      <c r="D28" t="s">
        <v>100</v>
      </c>
      <c r="E28" s="28">
        <v>106800</v>
      </c>
      <c r="F28" s="13">
        <v>208.4736</v>
      </c>
      <c r="G28" s="14">
        <f t="shared" si="0"/>
        <v>1.49E-2</v>
      </c>
      <c r="H28" s="15"/>
      <c r="J28" s="14" t="s">
        <v>529</v>
      </c>
      <c r="K28" s="48">
        <f t="shared" si="1"/>
        <v>1.2E-2</v>
      </c>
      <c r="L28" s="36"/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266</v>
      </c>
      <c r="C29" t="s">
        <v>130</v>
      </c>
      <c r="D29" t="s">
        <v>26</v>
      </c>
      <c r="E29" s="28">
        <v>18900</v>
      </c>
      <c r="F29" s="13">
        <v>207.9</v>
      </c>
      <c r="G29" s="14">
        <f t="shared" si="0"/>
        <v>1.49E-2</v>
      </c>
      <c r="H29" s="15"/>
      <c r="J29" t="s">
        <v>34</v>
      </c>
      <c r="K29" s="48">
        <f t="shared" si="1"/>
        <v>1.0200000000000001E-2</v>
      </c>
      <c r="L29" s="36"/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317</v>
      </c>
      <c r="C30" t="s">
        <v>133</v>
      </c>
      <c r="D30" t="s">
        <v>24</v>
      </c>
      <c r="E30" s="28">
        <v>6900</v>
      </c>
      <c r="F30" s="13">
        <v>197.84715</v>
      </c>
      <c r="G30" s="14">
        <f t="shared" si="0"/>
        <v>1.4200000000000001E-2</v>
      </c>
      <c r="H30" s="15"/>
      <c r="J30" s="14" t="s">
        <v>32</v>
      </c>
      <c r="K30" s="48">
        <f t="shared" si="1"/>
        <v>1.01E-2</v>
      </c>
      <c r="L30" s="36"/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272</v>
      </c>
      <c r="C31" t="s">
        <v>140</v>
      </c>
      <c r="D31" t="s">
        <v>135</v>
      </c>
      <c r="E31" s="28">
        <v>19800</v>
      </c>
      <c r="F31" s="13">
        <v>190.57499999999999</v>
      </c>
      <c r="G31" s="14">
        <f t="shared" si="0"/>
        <v>1.3599999999999999E-2</v>
      </c>
      <c r="H31" s="15"/>
      <c r="J31" s="14" t="s">
        <v>325</v>
      </c>
      <c r="K31" s="48">
        <f t="shared" si="1"/>
        <v>1.6000000000000001E-3</v>
      </c>
      <c r="L31" s="36"/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290</v>
      </c>
      <c r="C32" t="s">
        <v>180</v>
      </c>
      <c r="D32" t="s">
        <v>47</v>
      </c>
      <c r="E32" s="28">
        <v>73800</v>
      </c>
      <c r="F32" s="13">
        <v>188.00550000000001</v>
      </c>
      <c r="G32" s="14">
        <f t="shared" si="0"/>
        <v>1.34E-2</v>
      </c>
      <c r="H32" s="15"/>
      <c r="J32" s="14" t="s">
        <v>64</v>
      </c>
      <c r="K32" s="48">
        <f>+SUMIFS($G$5:$G$1000,$B$5:$B$1000,"CBLO / Reverse Repo Investments")+SUMIFS($G$5:$G$1000,$B$5:$B$1000,"Net Receivable/Payable")</f>
        <v>8.6999999999999994E-3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353</v>
      </c>
      <c r="C33" t="s">
        <v>423</v>
      </c>
      <c r="D33" t="s">
        <v>136</v>
      </c>
      <c r="E33" s="28">
        <v>18900</v>
      </c>
      <c r="F33" s="13">
        <v>184.33170000000001</v>
      </c>
      <c r="G33" s="14">
        <f t="shared" si="0"/>
        <v>1.32E-2</v>
      </c>
      <c r="H33" s="15"/>
      <c r="L33" s="54"/>
      <c r="N33" s="36"/>
      <c r="P33" s="14"/>
    </row>
    <row r="34" spans="1:16" ht="12.75" customHeight="1" x14ac:dyDescent="0.2">
      <c r="A34">
        <f>+MAX($A$7:A33)+1</f>
        <v>26</v>
      </c>
      <c r="B34" t="s">
        <v>263</v>
      </c>
      <c r="C34" t="s">
        <v>125</v>
      </c>
      <c r="D34" t="s">
        <v>45</v>
      </c>
      <c r="E34" s="28">
        <v>66900</v>
      </c>
      <c r="F34" s="13">
        <v>183.00495000000001</v>
      </c>
      <c r="G34" s="14">
        <f t="shared" si="0"/>
        <v>1.3100000000000001E-2</v>
      </c>
      <c r="H34" s="15"/>
    </row>
    <row r="35" spans="1:16" ht="12.75" customHeight="1" x14ac:dyDescent="0.2">
      <c r="A35">
        <f>+MAX($A$7:A34)+1</f>
        <v>27</v>
      </c>
      <c r="B35" t="s">
        <v>362</v>
      </c>
      <c r="C35" t="s">
        <v>363</v>
      </c>
      <c r="D35" t="s">
        <v>146</v>
      </c>
      <c r="E35" s="28">
        <v>125280</v>
      </c>
      <c r="F35" s="13">
        <v>177.27119999999999</v>
      </c>
      <c r="G35" s="14">
        <f t="shared" si="0"/>
        <v>1.2699999999999999E-2</v>
      </c>
      <c r="H35" s="15"/>
    </row>
    <row r="36" spans="1:16" ht="12.75" customHeight="1" x14ac:dyDescent="0.2">
      <c r="A36">
        <f>+MAX($A$7:A35)+1</f>
        <v>28</v>
      </c>
      <c r="B36" t="s">
        <v>274</v>
      </c>
      <c r="C36" t="s">
        <v>83</v>
      </c>
      <c r="D36" t="s">
        <v>14</v>
      </c>
      <c r="E36" s="28">
        <v>30000</v>
      </c>
      <c r="F36" s="13">
        <v>174.97499999999999</v>
      </c>
      <c r="G36" s="14">
        <f t="shared" si="0"/>
        <v>1.2500000000000001E-2</v>
      </c>
      <c r="H36" s="15"/>
    </row>
    <row r="37" spans="1:16" ht="12.75" customHeight="1" x14ac:dyDescent="0.2">
      <c r="A37">
        <f>+MAX($A$7:A36)+1</f>
        <v>29</v>
      </c>
      <c r="B37" t="s">
        <v>527</v>
      </c>
      <c r="C37" t="s">
        <v>528</v>
      </c>
      <c r="D37" t="s">
        <v>529</v>
      </c>
      <c r="E37" s="28">
        <v>37500</v>
      </c>
      <c r="F37" s="13">
        <v>167.73750000000001</v>
      </c>
      <c r="G37" s="14">
        <f t="shared" si="0"/>
        <v>1.2E-2</v>
      </c>
      <c r="H37" s="15"/>
    </row>
    <row r="38" spans="1:16" ht="12.75" customHeight="1" x14ac:dyDescent="0.2">
      <c r="A38">
        <f>+MAX($A$7:A37)+1</f>
        <v>30</v>
      </c>
      <c r="B38" t="s">
        <v>669</v>
      </c>
      <c r="C38" t="s">
        <v>670</v>
      </c>
      <c r="D38" t="s">
        <v>14</v>
      </c>
      <c r="E38" s="28">
        <v>21900</v>
      </c>
      <c r="F38" s="13">
        <v>160.57079999999999</v>
      </c>
      <c r="G38" s="14">
        <f t="shared" si="0"/>
        <v>1.15E-2</v>
      </c>
      <c r="H38" s="15"/>
    </row>
    <row r="39" spans="1:16" ht="12.75" customHeight="1" x14ac:dyDescent="0.2">
      <c r="A39">
        <f>+MAX($A$7:A38)+1</f>
        <v>31</v>
      </c>
      <c r="B39" t="s">
        <v>228</v>
      </c>
      <c r="C39" t="s">
        <v>71</v>
      </c>
      <c r="D39" t="s">
        <v>28</v>
      </c>
      <c r="E39" s="28">
        <v>12750</v>
      </c>
      <c r="F39" s="13">
        <v>160.426875</v>
      </c>
      <c r="G39" s="14">
        <f t="shared" si="0"/>
        <v>1.15E-2</v>
      </c>
      <c r="H39" s="15"/>
    </row>
    <row r="40" spans="1:16" ht="12.75" customHeight="1" x14ac:dyDescent="0.2">
      <c r="A40">
        <f>+MAX($A$7:A39)+1</f>
        <v>32</v>
      </c>
      <c r="B40" t="s">
        <v>233</v>
      </c>
      <c r="C40" t="s">
        <v>82</v>
      </c>
      <c r="D40" t="s">
        <v>45</v>
      </c>
      <c r="E40" s="28">
        <v>51900</v>
      </c>
      <c r="F40" s="13">
        <v>160.29315</v>
      </c>
      <c r="G40" s="14">
        <f t="shared" si="0"/>
        <v>1.15E-2</v>
      </c>
      <c r="H40" s="15"/>
    </row>
    <row r="41" spans="1:16" ht="12.75" customHeight="1" x14ac:dyDescent="0.2">
      <c r="A41">
        <f>+MAX($A$7:A40)+1</f>
        <v>33</v>
      </c>
      <c r="B41" t="s">
        <v>548</v>
      </c>
      <c r="C41" t="s">
        <v>549</v>
      </c>
      <c r="D41" t="s">
        <v>41</v>
      </c>
      <c r="E41" s="28">
        <v>6780</v>
      </c>
      <c r="F41" s="13">
        <v>158.40452999999999</v>
      </c>
      <c r="G41" s="14">
        <f t="shared" ref="G41:G61" si="2">+ROUND(F41/VLOOKUP("Grand Total",$B$4:$F$298,5,0),4)</f>
        <v>1.1299999999999999E-2</v>
      </c>
      <c r="H41" s="15"/>
    </row>
    <row r="42" spans="1:16" ht="12.75" customHeight="1" x14ac:dyDescent="0.2">
      <c r="A42">
        <f>+MAX($A$7:A41)+1</f>
        <v>34</v>
      </c>
      <c r="B42" t="s">
        <v>574</v>
      </c>
      <c r="C42" t="s">
        <v>490</v>
      </c>
      <c r="D42" t="s">
        <v>22</v>
      </c>
      <c r="E42" s="28">
        <v>48000</v>
      </c>
      <c r="F42" s="13">
        <v>156.024</v>
      </c>
      <c r="G42" s="14">
        <f t="shared" si="2"/>
        <v>1.12E-2</v>
      </c>
      <c r="H42" s="15"/>
    </row>
    <row r="43" spans="1:16" ht="12.75" customHeight="1" x14ac:dyDescent="0.2">
      <c r="A43">
        <f>+MAX($A$7:A42)+1</f>
        <v>35</v>
      </c>
      <c r="B43" t="s">
        <v>607</v>
      </c>
      <c r="C43" t="s">
        <v>608</v>
      </c>
      <c r="D43" t="s">
        <v>107</v>
      </c>
      <c r="E43" s="28">
        <v>75900</v>
      </c>
      <c r="F43" s="13">
        <v>155.63294999999999</v>
      </c>
      <c r="G43" s="14">
        <f t="shared" si="2"/>
        <v>1.11E-2</v>
      </c>
      <c r="H43" s="15"/>
    </row>
    <row r="44" spans="1:16" ht="12.75" customHeight="1" x14ac:dyDescent="0.2">
      <c r="A44">
        <f>+MAX($A$7:A43)+1</f>
        <v>36</v>
      </c>
      <c r="B44" t="s">
        <v>407</v>
      </c>
      <c r="C44" t="s">
        <v>408</v>
      </c>
      <c r="D44" t="s">
        <v>136</v>
      </c>
      <c r="E44" s="28">
        <v>13608</v>
      </c>
      <c r="F44" s="13">
        <v>154.30111199999999</v>
      </c>
      <c r="G44" s="14">
        <f t="shared" si="2"/>
        <v>1.0999999999999999E-2</v>
      </c>
      <c r="H44" s="15"/>
    </row>
    <row r="45" spans="1:16" ht="12.75" customHeight="1" x14ac:dyDescent="0.2">
      <c r="A45">
        <f>+MAX($A$7:A44)+1</f>
        <v>37</v>
      </c>
      <c r="B45" t="s">
        <v>213</v>
      </c>
      <c r="C45" t="s">
        <v>55</v>
      </c>
      <c r="D45" t="s">
        <v>43</v>
      </c>
      <c r="E45" s="28">
        <v>7680</v>
      </c>
      <c r="F45" s="13">
        <v>152.15616</v>
      </c>
      <c r="G45" s="14">
        <f t="shared" si="2"/>
        <v>1.09E-2</v>
      </c>
      <c r="H45" s="15"/>
    </row>
    <row r="46" spans="1:16" ht="12.75" customHeight="1" x14ac:dyDescent="0.2">
      <c r="A46">
        <f>+MAX($A$7:A45)+1</f>
        <v>38</v>
      </c>
      <c r="B46" t="s">
        <v>271</v>
      </c>
      <c r="C46" t="s">
        <v>139</v>
      </c>
      <c r="D46" t="s">
        <v>47</v>
      </c>
      <c r="E46" s="28">
        <v>64800</v>
      </c>
      <c r="F46" s="13">
        <v>147.41999999999999</v>
      </c>
      <c r="G46" s="14">
        <f t="shared" si="2"/>
        <v>1.0500000000000001E-2</v>
      </c>
      <c r="H46" s="15"/>
    </row>
    <row r="47" spans="1:16" ht="12.75" customHeight="1" x14ac:dyDescent="0.2">
      <c r="A47">
        <f>+MAX($A$7:A46)+1</f>
        <v>39</v>
      </c>
      <c r="B47" t="s">
        <v>302</v>
      </c>
      <c r="C47" t="s">
        <v>181</v>
      </c>
      <c r="D47" t="s">
        <v>38</v>
      </c>
      <c r="E47" s="28">
        <v>64800</v>
      </c>
      <c r="F47" s="13">
        <v>144.73079999999999</v>
      </c>
      <c r="G47" s="14">
        <f t="shared" si="2"/>
        <v>1.04E-2</v>
      </c>
      <c r="H47" s="15"/>
    </row>
    <row r="48" spans="1:16" ht="12.75" customHeight="1" x14ac:dyDescent="0.2">
      <c r="A48">
        <f>+MAX($A$7:A47)+1</f>
        <v>40</v>
      </c>
      <c r="B48" t="s">
        <v>546</v>
      </c>
      <c r="C48" t="s">
        <v>547</v>
      </c>
      <c r="D48" t="s">
        <v>136</v>
      </c>
      <c r="E48" s="28">
        <v>33900</v>
      </c>
      <c r="F48" s="13">
        <v>144.63435000000001</v>
      </c>
      <c r="G48" s="14">
        <f t="shared" si="2"/>
        <v>1.03E-2</v>
      </c>
      <c r="H48" s="15"/>
    </row>
    <row r="49" spans="1:8" ht="12.75" customHeight="1" x14ac:dyDescent="0.2">
      <c r="A49">
        <f>+MAX($A$7:A48)+1</f>
        <v>41</v>
      </c>
      <c r="B49" t="s">
        <v>334</v>
      </c>
      <c r="C49" t="s">
        <v>335</v>
      </c>
      <c r="D49" t="s">
        <v>38</v>
      </c>
      <c r="E49" s="28">
        <v>7380</v>
      </c>
      <c r="F49" s="13">
        <v>143.97273000000001</v>
      </c>
      <c r="G49" s="14">
        <f t="shared" si="2"/>
        <v>1.03E-2</v>
      </c>
      <c r="H49" s="15"/>
    </row>
    <row r="50" spans="1:8" ht="12.75" customHeight="1" x14ac:dyDescent="0.2">
      <c r="A50">
        <f>+MAX($A$7:A49)+1</f>
        <v>42</v>
      </c>
      <c r="B50" t="s">
        <v>326</v>
      </c>
      <c r="C50" t="s">
        <v>327</v>
      </c>
      <c r="D50" t="s">
        <v>10</v>
      </c>
      <c r="E50" s="28">
        <v>79590</v>
      </c>
      <c r="F50" s="13">
        <v>143.10282000000001</v>
      </c>
      <c r="G50" s="14">
        <f t="shared" si="2"/>
        <v>1.0200000000000001E-2</v>
      </c>
      <c r="H50" s="15"/>
    </row>
    <row r="51" spans="1:8" ht="12.75" customHeight="1" x14ac:dyDescent="0.2">
      <c r="A51">
        <f>+MAX($A$7:A50)+1</f>
        <v>43</v>
      </c>
      <c r="B51" t="s">
        <v>217</v>
      </c>
      <c r="C51" t="s">
        <v>65</v>
      </c>
      <c r="D51" t="s">
        <v>34</v>
      </c>
      <c r="E51" s="28">
        <v>27000</v>
      </c>
      <c r="F51" s="13">
        <v>143.00550000000001</v>
      </c>
      <c r="G51" s="14">
        <f t="shared" si="2"/>
        <v>1.0200000000000001E-2</v>
      </c>
      <c r="H51" s="15"/>
    </row>
    <row r="52" spans="1:8" ht="12.75" customHeight="1" x14ac:dyDescent="0.2">
      <c r="A52">
        <f>+MAX($A$7:A51)+1</f>
        <v>44</v>
      </c>
      <c r="B52" t="s">
        <v>347</v>
      </c>
      <c r="C52" t="s">
        <v>348</v>
      </c>
      <c r="D52" t="s">
        <v>32</v>
      </c>
      <c r="E52" s="28">
        <v>57000</v>
      </c>
      <c r="F52" s="13">
        <v>140.733</v>
      </c>
      <c r="G52" s="14">
        <f t="shared" si="2"/>
        <v>1.01E-2</v>
      </c>
      <c r="H52" s="15"/>
    </row>
    <row r="53" spans="1:8" ht="12.75" customHeight="1" x14ac:dyDescent="0.2">
      <c r="A53">
        <f>+MAX($A$7:A52)+1</f>
        <v>45</v>
      </c>
      <c r="B53" t="s">
        <v>220</v>
      </c>
      <c r="C53" t="s">
        <v>29</v>
      </c>
      <c r="D53" t="s">
        <v>10</v>
      </c>
      <c r="E53" s="28">
        <v>24900</v>
      </c>
      <c r="F53" s="13">
        <v>140.42355000000001</v>
      </c>
      <c r="G53" s="14">
        <f t="shared" si="2"/>
        <v>0.01</v>
      </c>
      <c r="H53" s="15"/>
    </row>
    <row r="54" spans="1:8" ht="12.75" customHeight="1" x14ac:dyDescent="0.2">
      <c r="A54">
        <f>+MAX($A$7:A53)+1</f>
        <v>46</v>
      </c>
      <c r="B54" t="s">
        <v>315</v>
      </c>
      <c r="C54" t="s">
        <v>77</v>
      </c>
      <c r="D54" t="s">
        <v>38</v>
      </c>
      <c r="E54" s="28">
        <v>37608</v>
      </c>
      <c r="F54" s="13">
        <v>138.60428400000001</v>
      </c>
      <c r="G54" s="14">
        <f t="shared" si="2"/>
        <v>9.9000000000000008E-3</v>
      </c>
      <c r="H54" s="15"/>
    </row>
    <row r="55" spans="1:8" ht="12.75" customHeight="1" x14ac:dyDescent="0.2">
      <c r="A55">
        <f>+MAX($A$7:A54)+1</f>
        <v>47</v>
      </c>
      <c r="B55" t="s">
        <v>544</v>
      </c>
      <c r="C55" t="s">
        <v>545</v>
      </c>
      <c r="D55" t="s">
        <v>100</v>
      </c>
      <c r="E55" s="28">
        <v>36900</v>
      </c>
      <c r="F55" s="13">
        <v>137.08349999999999</v>
      </c>
      <c r="G55" s="14">
        <f t="shared" si="2"/>
        <v>9.7999999999999997E-3</v>
      </c>
      <c r="H55" s="15"/>
    </row>
    <row r="56" spans="1:8" ht="12.75" customHeight="1" x14ac:dyDescent="0.2">
      <c r="A56">
        <f>+MAX($A$7:A55)+1</f>
        <v>48</v>
      </c>
      <c r="B56" t="s">
        <v>516</v>
      </c>
      <c r="C56" t="s">
        <v>517</v>
      </c>
      <c r="D56" t="s">
        <v>43</v>
      </c>
      <c r="E56" s="28">
        <v>12900</v>
      </c>
      <c r="F56" s="13">
        <v>136.41104999999999</v>
      </c>
      <c r="G56" s="14">
        <f t="shared" si="2"/>
        <v>9.7999999999999997E-3</v>
      </c>
      <c r="H56" s="15"/>
    </row>
    <row r="57" spans="1:8" ht="12.75" customHeight="1" x14ac:dyDescent="0.2">
      <c r="A57">
        <f>+MAX($A$7:A56)+1</f>
        <v>49</v>
      </c>
      <c r="B57" t="s">
        <v>441</v>
      </c>
      <c r="C57" t="s">
        <v>442</v>
      </c>
      <c r="D57" t="s">
        <v>26</v>
      </c>
      <c r="E57" s="28">
        <v>24000</v>
      </c>
      <c r="F57" s="13">
        <v>133.75200000000001</v>
      </c>
      <c r="G57" s="14">
        <f t="shared" si="2"/>
        <v>9.5999999999999992E-3</v>
      </c>
      <c r="H57" s="15"/>
    </row>
    <row r="58" spans="1:8" ht="12.75" customHeight="1" x14ac:dyDescent="0.2">
      <c r="A58">
        <f>+MAX($A$7:A57)+1</f>
        <v>50</v>
      </c>
      <c r="B58" t="s">
        <v>215</v>
      </c>
      <c r="C58" t="s">
        <v>99</v>
      </c>
      <c r="D58" t="s">
        <v>10</v>
      </c>
      <c r="E58" s="28">
        <v>12600</v>
      </c>
      <c r="F58" s="13">
        <v>127.2852</v>
      </c>
      <c r="G58" s="14">
        <f t="shared" si="2"/>
        <v>9.1000000000000004E-3</v>
      </c>
      <c r="H58" s="15"/>
    </row>
    <row r="59" spans="1:8" ht="12.75" customHeight="1" x14ac:dyDescent="0.2">
      <c r="A59">
        <f>+MAX($A$7:A58)+1</f>
        <v>51</v>
      </c>
      <c r="B59" t="s">
        <v>218</v>
      </c>
      <c r="C59" t="s">
        <v>61</v>
      </c>
      <c r="D59" t="s">
        <v>22</v>
      </c>
      <c r="E59" s="28">
        <v>18000</v>
      </c>
      <c r="F59" s="13">
        <v>123.831</v>
      </c>
      <c r="G59" s="14">
        <f t="shared" si="2"/>
        <v>8.8999999999999999E-3</v>
      </c>
      <c r="H59" s="15"/>
    </row>
    <row r="60" spans="1:8" ht="12.75" customHeight="1" x14ac:dyDescent="0.2">
      <c r="A60">
        <f>+MAX($A$7:A59)+1</f>
        <v>52</v>
      </c>
      <c r="B60" t="s">
        <v>459</v>
      </c>
      <c r="C60" t="s">
        <v>460</v>
      </c>
      <c r="D60" t="s">
        <v>136</v>
      </c>
      <c r="E60" s="28">
        <v>78900</v>
      </c>
      <c r="F60" s="13">
        <v>121.30875</v>
      </c>
      <c r="G60" s="14">
        <f t="shared" si="2"/>
        <v>8.6999999999999994E-3</v>
      </c>
      <c r="H60" s="15"/>
    </row>
    <row r="61" spans="1:8" ht="12.75" customHeight="1" x14ac:dyDescent="0.2">
      <c r="A61">
        <f>+MAX($A$7:A60)+1</f>
        <v>53</v>
      </c>
      <c r="B61" t="s">
        <v>409</v>
      </c>
      <c r="C61" t="s">
        <v>410</v>
      </c>
      <c r="D61" t="s">
        <v>43</v>
      </c>
      <c r="E61" s="28">
        <v>30000</v>
      </c>
      <c r="F61" s="13">
        <v>119.80500000000001</v>
      </c>
      <c r="G61" s="14">
        <f t="shared" si="2"/>
        <v>8.6E-3</v>
      </c>
      <c r="H61" s="15"/>
    </row>
    <row r="62" spans="1:8" ht="12.75" customHeight="1" x14ac:dyDescent="0.2">
      <c r="A62">
        <f>+MAX($A$7:A61)+1</f>
        <v>54</v>
      </c>
      <c r="B62" t="s">
        <v>406</v>
      </c>
      <c r="C62" t="s">
        <v>131</v>
      </c>
      <c r="D62" t="s">
        <v>20</v>
      </c>
      <c r="E62" s="28">
        <v>45000</v>
      </c>
      <c r="F62" s="13">
        <v>109.845</v>
      </c>
      <c r="G62" s="14">
        <f t="shared" ref="G62:G63" si="3">+ROUND(F62/VLOOKUP("Grand Total",$B$4:$F$298,5,0),4)</f>
        <v>7.9000000000000008E-3</v>
      </c>
      <c r="H62" s="15"/>
    </row>
    <row r="63" spans="1:8" ht="12.75" customHeight="1" x14ac:dyDescent="0.2">
      <c r="A63">
        <f>+MAX($A$7:A62)+1</f>
        <v>55</v>
      </c>
      <c r="B63" t="s">
        <v>667</v>
      </c>
      <c r="C63" t="s">
        <v>668</v>
      </c>
      <c r="D63" t="s">
        <v>107</v>
      </c>
      <c r="E63" s="28">
        <v>64800</v>
      </c>
      <c r="F63" s="13">
        <v>73.126800000000003</v>
      </c>
      <c r="G63" s="14">
        <f t="shared" si="3"/>
        <v>5.1999999999999998E-3</v>
      </c>
      <c r="H63" s="15"/>
    </row>
    <row r="64" spans="1:8" ht="12.75" customHeight="1" x14ac:dyDescent="0.2">
      <c r="A64">
        <f>+MAX($A$7:A63)+1</f>
        <v>56</v>
      </c>
      <c r="B64" t="s">
        <v>474</v>
      </c>
      <c r="C64" s="121" t="s">
        <v>570</v>
      </c>
      <c r="D64" t="s">
        <v>38</v>
      </c>
      <c r="E64" s="28">
        <v>16500</v>
      </c>
      <c r="F64" s="13">
        <v>0</v>
      </c>
      <c r="G64" s="108" t="s">
        <v>571</v>
      </c>
      <c r="H64" s="15"/>
    </row>
    <row r="65" spans="1:12" ht="12.75" customHeight="1" x14ac:dyDescent="0.2">
      <c r="B65" s="18" t="s">
        <v>86</v>
      </c>
      <c r="C65" s="18"/>
      <c r="D65" s="18"/>
      <c r="E65" s="29"/>
      <c r="F65" s="19">
        <f>SUM(F9:F64)</f>
        <v>13834.297657499998</v>
      </c>
      <c r="G65" s="20">
        <f>SUM(G9:G64)</f>
        <v>0.98970000000000002</v>
      </c>
      <c r="H65" s="21"/>
      <c r="I65" s="49"/>
    </row>
    <row r="66" spans="1:12" ht="12.75" customHeight="1" x14ac:dyDescent="0.2">
      <c r="F66" s="13"/>
      <c r="G66" s="14"/>
      <c r="H66" s="15"/>
    </row>
    <row r="67" spans="1:12" ht="12.75" customHeight="1" x14ac:dyDescent="0.2">
      <c r="B67" s="16" t="s">
        <v>310</v>
      </c>
      <c r="C67" s="16"/>
      <c r="F67" s="13"/>
      <c r="G67" s="14"/>
      <c r="H67" s="15"/>
      <c r="J67" s="65"/>
    </row>
    <row r="68" spans="1:12" ht="12.75" customHeight="1" x14ac:dyDescent="0.2">
      <c r="A68">
        <f>+MAX($A$8:A67)+1</f>
        <v>57</v>
      </c>
      <c r="B68" s="1" t="s">
        <v>424</v>
      </c>
      <c r="C68" s="121" t="s">
        <v>570</v>
      </c>
      <c r="D68" t="s">
        <v>26</v>
      </c>
      <c r="E68" s="28">
        <v>50000</v>
      </c>
      <c r="F68" s="13">
        <v>0</v>
      </c>
      <c r="G68" s="108" t="s">
        <v>571</v>
      </c>
      <c r="H68" s="15"/>
    </row>
    <row r="69" spans="1:12" ht="12.75" customHeight="1" x14ac:dyDescent="0.2">
      <c r="A69">
        <f>+MAX($A$8:A68)+1</f>
        <v>58</v>
      </c>
      <c r="B69" s="65" t="s">
        <v>427</v>
      </c>
      <c r="C69" s="121" t="s">
        <v>570</v>
      </c>
      <c r="D69" t="s">
        <v>24</v>
      </c>
      <c r="E69" s="28">
        <v>20</v>
      </c>
      <c r="F69" s="13">
        <v>0</v>
      </c>
      <c r="G69" s="108" t="s">
        <v>571</v>
      </c>
      <c r="H69" s="15"/>
    </row>
    <row r="70" spans="1:12" ht="12.75" customHeight="1" x14ac:dyDescent="0.2">
      <c r="A70">
        <f>+MAX($A$8:A69)+1</f>
        <v>59</v>
      </c>
      <c r="B70" s="65" t="s">
        <v>425</v>
      </c>
      <c r="C70" s="121" t="s">
        <v>142</v>
      </c>
      <c r="D70" t="s">
        <v>34</v>
      </c>
      <c r="E70" s="28">
        <v>50000</v>
      </c>
      <c r="F70" s="13">
        <v>0</v>
      </c>
      <c r="G70" s="108" t="s">
        <v>571</v>
      </c>
      <c r="H70" s="15"/>
    </row>
    <row r="71" spans="1:12" ht="12.75" customHeight="1" x14ac:dyDescent="0.2">
      <c r="A71">
        <f>+MAX($A$8:A70)+1</f>
        <v>60</v>
      </c>
      <c r="B71" s="65" t="s">
        <v>426</v>
      </c>
      <c r="C71" s="121" t="s">
        <v>570</v>
      </c>
      <c r="D71" t="s">
        <v>32</v>
      </c>
      <c r="E71" s="28">
        <v>900</v>
      </c>
      <c r="F71" s="13">
        <v>0</v>
      </c>
      <c r="G71" s="108" t="s">
        <v>571</v>
      </c>
      <c r="H71" s="15"/>
    </row>
    <row r="72" spans="1:12" ht="12.75" customHeight="1" x14ac:dyDescent="0.2">
      <c r="A72">
        <f>+MAX($A$8:A71)+1</f>
        <v>61</v>
      </c>
      <c r="B72" s="65" t="s">
        <v>428</v>
      </c>
      <c r="C72" s="121" t="s">
        <v>570</v>
      </c>
      <c r="D72" t="s">
        <v>28</v>
      </c>
      <c r="E72" s="28">
        <v>200000</v>
      </c>
      <c r="F72" s="13">
        <v>0</v>
      </c>
      <c r="G72" s="108" t="s">
        <v>571</v>
      </c>
      <c r="H72" s="15"/>
    </row>
    <row r="73" spans="1:12" ht="12.75" customHeight="1" x14ac:dyDescent="0.2">
      <c r="B73" s="18" t="s">
        <v>86</v>
      </c>
      <c r="C73" s="18"/>
      <c r="D73" s="18"/>
      <c r="E73" s="29"/>
      <c r="F73" s="19">
        <f>SUM(F68:F72)</f>
        <v>0</v>
      </c>
      <c r="G73" s="51" t="s">
        <v>571</v>
      </c>
      <c r="H73" s="21"/>
      <c r="I73" s="49"/>
    </row>
    <row r="74" spans="1:12" ht="12.75" customHeight="1" x14ac:dyDescent="0.2">
      <c r="F74" s="13"/>
      <c r="G74" s="14"/>
      <c r="H74" s="15"/>
      <c r="J74" s="46"/>
      <c r="K74" s="48"/>
    </row>
    <row r="75" spans="1:12" ht="12.75" customHeight="1" x14ac:dyDescent="0.2">
      <c r="B75" s="16" t="s">
        <v>93</v>
      </c>
      <c r="C75" s="16"/>
      <c r="F75" s="13"/>
      <c r="G75" s="14"/>
      <c r="H75" s="15"/>
      <c r="I75" s="73"/>
    </row>
    <row r="76" spans="1:12" ht="12.75" customHeight="1" x14ac:dyDescent="0.2">
      <c r="A76">
        <f>+MAX($A$8:A75)+1</f>
        <v>62</v>
      </c>
      <c r="B76" t="s">
        <v>461</v>
      </c>
      <c r="C76" t="s">
        <v>360</v>
      </c>
      <c r="D76" t="s">
        <v>325</v>
      </c>
      <c r="E76" s="28">
        <v>1317.8731</v>
      </c>
      <c r="F76" s="13">
        <v>21.834371299999997</v>
      </c>
      <c r="G76" s="14">
        <f>+ROUND(F76/VLOOKUP("Grand Total",$B$4:$F$289,5,0),4)</f>
        <v>1.6000000000000001E-3</v>
      </c>
      <c r="H76" s="15" t="s">
        <v>381</v>
      </c>
      <c r="I76" s="73"/>
    </row>
    <row r="77" spans="1:12" ht="12.75" customHeight="1" x14ac:dyDescent="0.2">
      <c r="B77" s="18" t="s">
        <v>86</v>
      </c>
      <c r="C77" s="18"/>
      <c r="D77" s="18"/>
      <c r="E77" s="29"/>
      <c r="F77" s="19">
        <f>SUM(F76)</f>
        <v>21.834371299999997</v>
      </c>
      <c r="G77" s="20">
        <f>SUM(G76)</f>
        <v>1.6000000000000001E-3</v>
      </c>
      <c r="H77" s="21"/>
      <c r="I77" s="35"/>
    </row>
    <row r="78" spans="1:12" s="46" customFormat="1" ht="12.75" customHeight="1" x14ac:dyDescent="0.2">
      <c r="B78" s="67"/>
      <c r="C78" s="67"/>
      <c r="D78" s="67"/>
      <c r="E78" s="68"/>
      <c r="F78" s="69"/>
      <c r="G78" s="70"/>
      <c r="H78" s="35"/>
      <c r="I78" s="35"/>
      <c r="K78" s="48"/>
      <c r="L78"/>
    </row>
    <row r="79" spans="1:12" ht="12.75" customHeight="1" x14ac:dyDescent="0.2">
      <c r="A79" s="95" t="s">
        <v>380</v>
      </c>
      <c r="B79" s="16" t="s">
        <v>94</v>
      </c>
      <c r="C79" s="16"/>
      <c r="F79" s="13">
        <v>108.01310410000001</v>
      </c>
      <c r="G79" s="14">
        <f>+ROUND(F79/VLOOKUP("Grand Total",$B$4:$F$298,5,0),4)</f>
        <v>7.7000000000000002E-3</v>
      </c>
      <c r="H79" s="15">
        <v>43101</v>
      </c>
      <c r="L79" s="46"/>
    </row>
    <row r="80" spans="1:12" ht="12.75" customHeight="1" x14ac:dyDescent="0.2">
      <c r="B80" s="18" t="s">
        <v>86</v>
      </c>
      <c r="C80" s="18"/>
      <c r="D80" s="18"/>
      <c r="E80" s="29"/>
      <c r="F80" s="19">
        <f>SUM(F79)</f>
        <v>108.01310410000001</v>
      </c>
      <c r="G80" s="20">
        <f>SUM(G79)</f>
        <v>7.7000000000000002E-3</v>
      </c>
      <c r="H80" s="21"/>
      <c r="I80" s="49"/>
    </row>
    <row r="81" spans="2:9" ht="12.75" customHeight="1" x14ac:dyDescent="0.2">
      <c r="F81" s="13"/>
      <c r="G81" s="14"/>
      <c r="H81" s="15"/>
    </row>
    <row r="82" spans="2:9" ht="12.75" customHeight="1" x14ac:dyDescent="0.2">
      <c r="B82" s="16" t="s">
        <v>95</v>
      </c>
      <c r="C82" s="16"/>
      <c r="F82" s="13"/>
      <c r="G82" s="14"/>
      <c r="H82" s="15"/>
    </row>
    <row r="83" spans="2:9" ht="12.75" customHeight="1" x14ac:dyDescent="0.2">
      <c r="B83" s="16" t="s">
        <v>96</v>
      </c>
      <c r="C83" s="16"/>
      <c r="F83" s="13">
        <v>16.339879199997085</v>
      </c>
      <c r="G83" s="14">
        <f>+ROUND(F83/VLOOKUP("Grand Total",$B$4:$F$298,5,0),4)-0.02%</f>
        <v>9.999999999999998E-4</v>
      </c>
      <c r="H83" s="15"/>
    </row>
    <row r="84" spans="2:9" ht="12.75" customHeight="1" x14ac:dyDescent="0.2">
      <c r="B84" s="18" t="s">
        <v>86</v>
      </c>
      <c r="C84" s="18"/>
      <c r="D84" s="18"/>
      <c r="E84" s="29"/>
      <c r="F84" s="19">
        <f>SUM(F83)</f>
        <v>16.339879199997085</v>
      </c>
      <c r="G84" s="20">
        <f>SUM(G83)</f>
        <v>9.999999999999998E-4</v>
      </c>
      <c r="H84" s="21"/>
      <c r="I84" s="49"/>
    </row>
    <row r="85" spans="2:9" ht="12.75" customHeight="1" x14ac:dyDescent="0.2">
      <c r="B85" s="22" t="s">
        <v>97</v>
      </c>
      <c r="C85" s="22"/>
      <c r="D85" s="22"/>
      <c r="E85" s="30"/>
      <c r="F85" s="23">
        <f>+SUMIF($B$5:B84,"Total",$F$5:F84)</f>
        <v>13980.485012099994</v>
      </c>
      <c r="G85" s="24">
        <f>+SUMIF($B$5:B84,"Total",$G$5:G84)</f>
        <v>1</v>
      </c>
      <c r="H85" s="25"/>
      <c r="I85" s="49"/>
    </row>
    <row r="86" spans="2:9" ht="12.75" customHeight="1" x14ac:dyDescent="0.2">
      <c r="F86" s="13"/>
    </row>
    <row r="87" spans="2:9" ht="12.75" customHeight="1" x14ac:dyDescent="0.2">
      <c r="B87" s="16" t="s">
        <v>189</v>
      </c>
    </row>
    <row r="88" spans="2:9" ht="12.75" customHeight="1" x14ac:dyDescent="0.2">
      <c r="B88" s="16" t="s">
        <v>190</v>
      </c>
      <c r="C88" s="16"/>
    </row>
    <row r="89" spans="2:9" ht="12.75" customHeight="1" x14ac:dyDescent="0.2">
      <c r="B89" s="16" t="s">
        <v>191</v>
      </c>
      <c r="C89" s="16"/>
    </row>
    <row r="90" spans="2:9" ht="12.75" customHeight="1" x14ac:dyDescent="0.2">
      <c r="B90" s="16" t="s">
        <v>192</v>
      </c>
      <c r="C90" s="16"/>
    </row>
    <row r="91" spans="2:9" ht="12.75" customHeight="1" x14ac:dyDescent="0.2">
      <c r="B91" s="16"/>
    </row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</sheetData>
  <sheetProtection password="EDB3" sheet="1" objects="1" scenarios="1"/>
  <sortState ref="J9:K31">
    <sortCondition descending="1" ref="K10:K32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5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bestFit="1" customWidth="1"/>
    <col min="12" max="12" width="10.28515625" bestFit="1" customWidth="1"/>
  </cols>
  <sheetData>
    <row r="1" spans="1:16" ht="18.75" x14ac:dyDescent="0.2">
      <c r="A1" s="94" t="s">
        <v>385</v>
      </c>
      <c r="B1" s="123" t="s">
        <v>144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417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275</v>
      </c>
      <c r="C9" t="s">
        <v>145</v>
      </c>
      <c r="D9" t="s">
        <v>20</v>
      </c>
      <c r="E9" s="28">
        <v>13968</v>
      </c>
      <c r="F9" s="13">
        <v>4238.0099280000004</v>
      </c>
      <c r="G9" s="14">
        <f t="shared" ref="G9:G72" si="0">+ROUND(F9/VLOOKUP("Grand Total",$B$4:$F$299,5,0),4)</f>
        <v>2.6100000000000002E-2</v>
      </c>
      <c r="H9" s="15"/>
      <c r="J9" s="14" t="s">
        <v>10</v>
      </c>
      <c r="K9" s="48">
        <f t="shared" ref="K9:K35" si="1">SUMIFS($G$5:$G$331,$D$5:$D$331,J9)</f>
        <v>0.10550000000000001</v>
      </c>
    </row>
    <row r="10" spans="1:16" s="65" customFormat="1" ht="12.75" customHeight="1" x14ac:dyDescent="0.2">
      <c r="A10" s="65">
        <f>+MAX($A$8:A9)+1</f>
        <v>2</v>
      </c>
      <c r="B10" s="65" t="s">
        <v>206</v>
      </c>
      <c r="C10" s="65" t="s">
        <v>48</v>
      </c>
      <c r="D10" s="65" t="s">
        <v>26</v>
      </c>
      <c r="E10" s="85">
        <v>75900</v>
      </c>
      <c r="F10" s="86">
        <v>3574.3207499999999</v>
      </c>
      <c r="G10" s="14">
        <f t="shared" si="0"/>
        <v>2.1999999999999999E-2</v>
      </c>
      <c r="H10" s="91"/>
      <c r="I10" s="73"/>
      <c r="J10" s="14" t="s">
        <v>41</v>
      </c>
      <c r="K10" s="48">
        <f t="shared" si="1"/>
        <v>9.4E-2</v>
      </c>
    </row>
    <row r="11" spans="1:16" ht="12.75" customHeight="1" x14ac:dyDescent="0.2">
      <c r="A11">
        <f>+MAX($A$8:A10)+1</f>
        <v>3</v>
      </c>
      <c r="B11" t="s">
        <v>244</v>
      </c>
      <c r="C11" t="s">
        <v>104</v>
      </c>
      <c r="D11" t="s">
        <v>10</v>
      </c>
      <c r="E11" s="28">
        <v>180900</v>
      </c>
      <c r="F11" s="13">
        <v>2982.8600999999999</v>
      </c>
      <c r="G11" s="14">
        <f t="shared" si="0"/>
        <v>1.84E-2</v>
      </c>
      <c r="H11" s="15"/>
      <c r="J11" s="14" t="s">
        <v>24</v>
      </c>
      <c r="K11" s="48">
        <f t="shared" si="1"/>
        <v>7.0799999999999988E-2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286</v>
      </c>
      <c r="C12" t="s">
        <v>158</v>
      </c>
      <c r="D12" t="s">
        <v>41</v>
      </c>
      <c r="E12" s="28">
        <v>181726</v>
      </c>
      <c r="F12" s="13">
        <v>2817.3890410000004</v>
      </c>
      <c r="G12" s="14">
        <f t="shared" si="0"/>
        <v>1.7299999999999999E-2</v>
      </c>
      <c r="H12" s="15"/>
      <c r="J12" s="14" t="s">
        <v>146</v>
      </c>
      <c r="K12" s="48">
        <f t="shared" si="1"/>
        <v>5.8800000000000005E-2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230</v>
      </c>
      <c r="C13" t="s">
        <v>627</v>
      </c>
      <c r="D13" t="s">
        <v>47</v>
      </c>
      <c r="E13" s="28">
        <v>834000</v>
      </c>
      <c r="F13" s="13">
        <v>2800.5720000000001</v>
      </c>
      <c r="G13" s="14">
        <f t="shared" si="0"/>
        <v>1.72E-2</v>
      </c>
      <c r="H13" s="15"/>
      <c r="J13" s="14" t="s">
        <v>136</v>
      </c>
      <c r="K13" s="48">
        <f t="shared" si="1"/>
        <v>5.7100000000000005E-2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197</v>
      </c>
      <c r="C14" t="s">
        <v>11</v>
      </c>
      <c r="D14" t="s">
        <v>10</v>
      </c>
      <c r="E14" s="28">
        <v>837048</v>
      </c>
      <c r="F14" s="13">
        <v>2628.3307199999999</v>
      </c>
      <c r="G14" s="14">
        <f t="shared" si="0"/>
        <v>1.6199999999999999E-2</v>
      </c>
      <c r="H14" s="15"/>
      <c r="J14" s="14" t="s">
        <v>38</v>
      </c>
      <c r="K14" s="48">
        <f t="shared" si="1"/>
        <v>5.6599999999999998E-2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290</v>
      </c>
      <c r="C15" t="s">
        <v>180</v>
      </c>
      <c r="D15" t="s">
        <v>47</v>
      </c>
      <c r="E15" s="28">
        <v>1027890</v>
      </c>
      <c r="F15" s="13">
        <v>2618.549775</v>
      </c>
      <c r="G15" s="14">
        <f t="shared" si="0"/>
        <v>1.61E-2</v>
      </c>
      <c r="H15" s="15"/>
      <c r="J15" s="14" t="s">
        <v>18</v>
      </c>
      <c r="K15" s="48">
        <f t="shared" si="1"/>
        <v>5.45E-2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318</v>
      </c>
      <c r="C16" t="s">
        <v>524</v>
      </c>
      <c r="D16" t="s">
        <v>136</v>
      </c>
      <c r="E16" s="28">
        <v>311400</v>
      </c>
      <c r="F16" s="13">
        <v>2586.0212999999999</v>
      </c>
      <c r="G16" s="14">
        <f t="shared" si="0"/>
        <v>1.5900000000000001E-2</v>
      </c>
      <c r="H16" s="15"/>
      <c r="J16" s="14" t="s">
        <v>26</v>
      </c>
      <c r="K16" s="48">
        <f t="shared" si="1"/>
        <v>4.8199999999999993E-2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278</v>
      </c>
      <c r="C17" t="s">
        <v>148</v>
      </c>
      <c r="D17" t="s">
        <v>38</v>
      </c>
      <c r="E17" s="28">
        <v>3456</v>
      </c>
      <c r="F17" s="13">
        <v>2500.6596480000003</v>
      </c>
      <c r="G17" s="14">
        <f t="shared" si="0"/>
        <v>1.54E-2</v>
      </c>
      <c r="H17" s="15"/>
      <c r="J17" s="14" t="s">
        <v>47</v>
      </c>
      <c r="K17" s="48">
        <f t="shared" si="1"/>
        <v>4.2799999999999998E-2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265</v>
      </c>
      <c r="C18" t="s">
        <v>129</v>
      </c>
      <c r="D18" t="s">
        <v>18</v>
      </c>
      <c r="E18" s="28">
        <v>13500</v>
      </c>
      <c r="F18" s="13">
        <v>2440.0574999999999</v>
      </c>
      <c r="G18" s="14">
        <f t="shared" si="0"/>
        <v>1.4999999999999999E-2</v>
      </c>
      <c r="H18" s="15"/>
      <c r="J18" s="14" t="s">
        <v>28</v>
      </c>
      <c r="K18" s="48">
        <f t="shared" si="1"/>
        <v>4.1499999999999995E-2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280</v>
      </c>
      <c r="C19" t="s">
        <v>152</v>
      </c>
      <c r="D19" t="s">
        <v>28</v>
      </c>
      <c r="E19" s="28">
        <v>356700</v>
      </c>
      <c r="F19" s="13">
        <v>2339.5953</v>
      </c>
      <c r="G19" s="14">
        <f t="shared" si="0"/>
        <v>1.44E-2</v>
      </c>
      <c r="H19" s="15"/>
      <c r="J19" s="14" t="s">
        <v>22</v>
      </c>
      <c r="K19" s="48">
        <f t="shared" si="1"/>
        <v>3.7399999999999996E-2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232</v>
      </c>
      <c r="C20" t="s">
        <v>81</v>
      </c>
      <c r="D20" t="s">
        <v>30</v>
      </c>
      <c r="E20" s="28">
        <v>558900</v>
      </c>
      <c r="F20" s="13">
        <v>2339.5554000000002</v>
      </c>
      <c r="G20" s="14">
        <f t="shared" si="0"/>
        <v>1.44E-2</v>
      </c>
      <c r="H20" s="15"/>
      <c r="J20" s="14" t="s">
        <v>37</v>
      </c>
      <c r="K20" s="48">
        <f t="shared" si="1"/>
        <v>3.2100000000000004E-2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277</v>
      </c>
      <c r="C21" t="s">
        <v>371</v>
      </c>
      <c r="D21" t="s">
        <v>24</v>
      </c>
      <c r="E21" s="28">
        <v>132300</v>
      </c>
      <c r="F21" s="13">
        <v>2324.1140999999998</v>
      </c>
      <c r="G21" s="14">
        <f t="shared" si="0"/>
        <v>1.43E-2</v>
      </c>
      <c r="H21" s="15"/>
      <c r="J21" s="14" t="s">
        <v>14</v>
      </c>
      <c r="K21" s="48">
        <f t="shared" si="1"/>
        <v>3.1100000000000003E-2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551</v>
      </c>
      <c r="C22" t="s">
        <v>552</v>
      </c>
      <c r="D22" t="s">
        <v>553</v>
      </c>
      <c r="E22" s="28">
        <v>189000</v>
      </c>
      <c r="F22" s="13">
        <v>2270.9295000000002</v>
      </c>
      <c r="G22" s="14">
        <f t="shared" si="0"/>
        <v>1.4E-2</v>
      </c>
      <c r="H22" s="15"/>
      <c r="J22" s="14" t="s">
        <v>43</v>
      </c>
      <c r="K22" s="48">
        <f t="shared" si="1"/>
        <v>0.03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607</v>
      </c>
      <c r="C23" t="s">
        <v>608</v>
      </c>
      <c r="D23" t="s">
        <v>107</v>
      </c>
      <c r="E23" s="28">
        <v>1080000</v>
      </c>
      <c r="F23" s="13">
        <v>2214.54</v>
      </c>
      <c r="G23" s="14">
        <f t="shared" si="0"/>
        <v>1.3599999999999999E-2</v>
      </c>
      <c r="H23" s="15"/>
      <c r="J23" s="14" t="s">
        <v>32</v>
      </c>
      <c r="K23" s="48">
        <f t="shared" si="1"/>
        <v>2.86E-2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194</v>
      </c>
      <c r="C24" t="s">
        <v>13</v>
      </c>
      <c r="D24" t="s">
        <v>10</v>
      </c>
      <c r="E24" s="28">
        <v>117900</v>
      </c>
      <c r="F24" s="13">
        <v>2207.5596</v>
      </c>
      <c r="G24" s="14">
        <f t="shared" si="0"/>
        <v>1.3599999999999999E-2</v>
      </c>
      <c r="H24" s="15"/>
      <c r="J24" s="14" t="s">
        <v>20</v>
      </c>
      <c r="K24" s="48">
        <f t="shared" si="1"/>
        <v>2.6100000000000002E-2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16</v>
      </c>
      <c r="C25" t="s">
        <v>17</v>
      </c>
      <c r="D25" t="s">
        <v>10</v>
      </c>
      <c r="E25" s="28">
        <v>702600</v>
      </c>
      <c r="F25" s="13">
        <v>2177.3573999999999</v>
      </c>
      <c r="G25" s="14">
        <f t="shared" si="0"/>
        <v>1.34E-2</v>
      </c>
      <c r="H25" s="15"/>
      <c r="J25" s="14" t="s">
        <v>30</v>
      </c>
      <c r="K25" s="48">
        <f t="shared" si="1"/>
        <v>2.3199999999999998E-2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227</v>
      </c>
      <c r="C26" t="s">
        <v>66</v>
      </c>
      <c r="D26" t="s">
        <v>28</v>
      </c>
      <c r="E26" s="28">
        <v>567000</v>
      </c>
      <c r="F26" s="13">
        <v>2173.8780000000002</v>
      </c>
      <c r="G26" s="14">
        <f t="shared" si="0"/>
        <v>1.34E-2</v>
      </c>
      <c r="H26" s="15"/>
      <c r="J26" s="14" t="s">
        <v>107</v>
      </c>
      <c r="K26" s="48">
        <f t="shared" si="1"/>
        <v>2.2599999999999999E-2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555</v>
      </c>
      <c r="C27" t="s">
        <v>581</v>
      </c>
      <c r="D27" t="s">
        <v>37</v>
      </c>
      <c r="E27" s="28">
        <v>156990</v>
      </c>
      <c r="F27" s="13">
        <v>2165.4415650000001</v>
      </c>
      <c r="G27" s="14">
        <f t="shared" si="0"/>
        <v>1.3299999999999999E-2</v>
      </c>
      <c r="H27" s="15"/>
      <c r="J27" s="14" t="s">
        <v>103</v>
      </c>
      <c r="K27" s="48">
        <f t="shared" si="1"/>
        <v>2.0200000000000003E-2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288</v>
      </c>
      <c r="C28" t="s">
        <v>289</v>
      </c>
      <c r="D28" t="s">
        <v>41</v>
      </c>
      <c r="E28" s="28">
        <v>326700</v>
      </c>
      <c r="F28" s="13">
        <v>2155.2399</v>
      </c>
      <c r="G28" s="14">
        <f t="shared" si="0"/>
        <v>1.3299999999999999E-2</v>
      </c>
      <c r="H28" s="15"/>
      <c r="J28" s="14" t="s">
        <v>106</v>
      </c>
      <c r="K28" s="48">
        <f t="shared" si="1"/>
        <v>2.01E-2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229</v>
      </c>
      <c r="C29" t="s">
        <v>78</v>
      </c>
      <c r="D29" t="s">
        <v>38</v>
      </c>
      <c r="E29" s="28">
        <v>565080</v>
      </c>
      <c r="F29" s="13">
        <v>2143.0659000000001</v>
      </c>
      <c r="G29" s="14">
        <f t="shared" si="0"/>
        <v>1.32E-2</v>
      </c>
      <c r="H29" s="15"/>
      <c r="J29" s="14" t="s">
        <v>45</v>
      </c>
      <c r="K29" s="48">
        <f t="shared" si="1"/>
        <v>1.7600000000000001E-2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216</v>
      </c>
      <c r="C30" t="s">
        <v>59</v>
      </c>
      <c r="D30" t="s">
        <v>22</v>
      </c>
      <c r="E30" s="28">
        <v>219900</v>
      </c>
      <c r="F30" s="13">
        <v>2114.7782999999999</v>
      </c>
      <c r="G30" s="14">
        <f t="shared" si="0"/>
        <v>1.2999999999999999E-2</v>
      </c>
      <c r="H30" s="15"/>
      <c r="J30" s="14" t="s">
        <v>553</v>
      </c>
      <c r="K30" s="48">
        <f t="shared" si="1"/>
        <v>1.4E-2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273</v>
      </c>
      <c r="C31" t="s">
        <v>141</v>
      </c>
      <c r="D31" t="s">
        <v>136</v>
      </c>
      <c r="E31" s="28">
        <v>288000</v>
      </c>
      <c r="F31" s="13">
        <v>2106.864</v>
      </c>
      <c r="G31" s="14">
        <f t="shared" si="0"/>
        <v>1.2999999999999999E-2</v>
      </c>
      <c r="H31" s="15"/>
      <c r="J31" s="14" t="s">
        <v>150</v>
      </c>
      <c r="K31" s="48">
        <f t="shared" si="1"/>
        <v>1.0999999999999999E-2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234</v>
      </c>
      <c r="C32" t="s">
        <v>79</v>
      </c>
      <c r="D32" t="s">
        <v>26</v>
      </c>
      <c r="E32" s="28">
        <v>56808</v>
      </c>
      <c r="F32" s="13">
        <v>2084.2003079999999</v>
      </c>
      <c r="G32" s="14">
        <f t="shared" si="0"/>
        <v>1.2800000000000001E-2</v>
      </c>
      <c r="H32" s="15"/>
      <c r="J32" s="14" t="s">
        <v>328</v>
      </c>
      <c r="K32" s="48">
        <f t="shared" si="1"/>
        <v>1.06E-2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218</v>
      </c>
      <c r="C33" t="s">
        <v>61</v>
      </c>
      <c r="D33" t="s">
        <v>22</v>
      </c>
      <c r="E33" s="28">
        <v>297600</v>
      </c>
      <c r="F33" s="13">
        <v>2047.3391999999999</v>
      </c>
      <c r="G33" s="14">
        <f t="shared" si="0"/>
        <v>1.26E-2</v>
      </c>
      <c r="H33" s="15"/>
      <c r="J33" s="14" t="s">
        <v>135</v>
      </c>
      <c r="K33" s="48">
        <f t="shared" si="1"/>
        <v>1.01E-2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302</v>
      </c>
      <c r="C34" t="s">
        <v>181</v>
      </c>
      <c r="D34" t="s">
        <v>38</v>
      </c>
      <c r="E34" s="28">
        <v>900900</v>
      </c>
      <c r="F34" s="13">
        <v>2012.1601499999999</v>
      </c>
      <c r="G34" s="14">
        <f t="shared" si="0"/>
        <v>1.24E-2</v>
      </c>
      <c r="H34" s="15"/>
      <c r="J34" s="14" t="s">
        <v>501</v>
      </c>
      <c r="K34" s="48">
        <f t="shared" si="1"/>
        <v>7.3000000000000001E-3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293</v>
      </c>
      <c r="C35" t="s">
        <v>151</v>
      </c>
      <c r="D35" t="s">
        <v>41</v>
      </c>
      <c r="E35" s="28">
        <v>270900</v>
      </c>
      <c r="F35" s="13">
        <v>1916.6175000000001</v>
      </c>
      <c r="G35" s="14">
        <f t="shared" si="0"/>
        <v>1.18E-2</v>
      </c>
      <c r="H35" s="15"/>
      <c r="J35" s="14" t="s">
        <v>325</v>
      </c>
      <c r="K35" s="48">
        <f t="shared" si="1"/>
        <v>4.2000000000000006E-3</v>
      </c>
      <c r="L35" s="54"/>
      <c r="M35" s="14"/>
      <c r="N35" s="36"/>
      <c r="P35" s="14"/>
    </row>
    <row r="36" spans="1:16" ht="12.75" customHeight="1" x14ac:dyDescent="0.2">
      <c r="A36">
        <f>+MAX($A$8:A35)+1</f>
        <v>28</v>
      </c>
      <c r="B36" t="s">
        <v>276</v>
      </c>
      <c r="C36" t="s">
        <v>147</v>
      </c>
      <c r="D36" t="s">
        <v>22</v>
      </c>
      <c r="E36" s="28">
        <v>135000</v>
      </c>
      <c r="F36" s="13">
        <v>1915.0425</v>
      </c>
      <c r="G36" s="14">
        <f t="shared" si="0"/>
        <v>1.18E-2</v>
      </c>
      <c r="H36" s="15"/>
      <c r="J36" s="14" t="s">
        <v>64</v>
      </c>
      <c r="K36" s="48">
        <f>+SUMIFS($G$5:$G$1000,$B$5:$B$1000,"CBLO / Reverse Repo Investments")+SUMIFS($G$5:$G$1000,$B$5:$B$1000,"Net Receivable/Payable")</f>
        <v>2.4E-2</v>
      </c>
      <c r="L36" s="54">
        <f>+SUM($K$9:K33)</f>
        <v>0.96449999999999991</v>
      </c>
      <c r="M36" s="14"/>
      <c r="N36" s="36"/>
      <c r="P36" s="14"/>
    </row>
    <row r="37" spans="1:16" ht="12.75" customHeight="1" x14ac:dyDescent="0.2">
      <c r="A37">
        <f>+MAX($A$8:A36)+1</f>
        <v>29</v>
      </c>
      <c r="B37" t="s">
        <v>584</v>
      </c>
      <c r="C37" t="s">
        <v>585</v>
      </c>
      <c r="D37" t="s">
        <v>146</v>
      </c>
      <c r="E37" s="28">
        <v>45000</v>
      </c>
      <c r="F37" s="13">
        <v>1885.9275</v>
      </c>
      <c r="G37" s="14">
        <f t="shared" si="0"/>
        <v>1.1599999999999999E-2</v>
      </c>
      <c r="H37" s="15"/>
      <c r="J37" s="14"/>
      <c r="K37" s="48"/>
      <c r="M37" s="14"/>
      <c r="N37" s="36"/>
      <c r="P37" s="14"/>
    </row>
    <row r="38" spans="1:16" ht="12.75" customHeight="1" x14ac:dyDescent="0.2">
      <c r="A38">
        <f>+MAX($A$8:A37)+1</f>
        <v>30</v>
      </c>
      <c r="B38" t="s">
        <v>322</v>
      </c>
      <c r="C38" t="s">
        <v>323</v>
      </c>
      <c r="D38" t="s">
        <v>146</v>
      </c>
      <c r="E38" s="28">
        <v>377674</v>
      </c>
      <c r="F38" s="13">
        <v>1879.6834980000001</v>
      </c>
      <c r="G38" s="14">
        <f t="shared" si="0"/>
        <v>1.1599999999999999E-2</v>
      </c>
      <c r="H38" s="15"/>
      <c r="J38" s="14"/>
      <c r="M38" s="14"/>
      <c r="N38" s="36"/>
      <c r="P38" s="14"/>
    </row>
    <row r="39" spans="1:16" ht="12.75" customHeight="1" x14ac:dyDescent="0.2">
      <c r="A39">
        <f>+MAX($A$8:A38)+1</f>
        <v>31</v>
      </c>
      <c r="B39" t="s">
        <v>354</v>
      </c>
      <c r="C39" t="s">
        <v>157</v>
      </c>
      <c r="D39" t="s">
        <v>24</v>
      </c>
      <c r="E39" s="28">
        <v>187890</v>
      </c>
      <c r="F39" s="13">
        <v>1879.2757799999999</v>
      </c>
      <c r="G39" s="14">
        <f t="shared" si="0"/>
        <v>1.1599999999999999E-2</v>
      </c>
      <c r="H39" s="15"/>
    </row>
    <row r="40" spans="1:16" ht="12.75" customHeight="1" x14ac:dyDescent="0.2">
      <c r="A40">
        <f>+MAX($A$8:A39)+1</f>
        <v>32</v>
      </c>
      <c r="B40" t="s">
        <v>345</v>
      </c>
      <c r="C40" t="s">
        <v>346</v>
      </c>
      <c r="D40" t="s">
        <v>18</v>
      </c>
      <c r="E40" s="28">
        <v>162000</v>
      </c>
      <c r="F40" s="13">
        <v>1866.9690000000001</v>
      </c>
      <c r="G40" s="14">
        <f t="shared" si="0"/>
        <v>1.15E-2</v>
      </c>
      <c r="H40" s="15"/>
    </row>
    <row r="41" spans="1:16" ht="12.75" customHeight="1" x14ac:dyDescent="0.2">
      <c r="A41">
        <f>+MAX($A$8:A40)+1</f>
        <v>33</v>
      </c>
      <c r="B41" t="s">
        <v>582</v>
      </c>
      <c r="C41" t="s">
        <v>583</v>
      </c>
      <c r="D41" t="s">
        <v>41</v>
      </c>
      <c r="E41" s="28">
        <v>256500</v>
      </c>
      <c r="F41" s="13">
        <v>1821.663</v>
      </c>
      <c r="G41" s="14">
        <f t="shared" si="0"/>
        <v>1.12E-2</v>
      </c>
      <c r="H41" s="15"/>
    </row>
    <row r="42" spans="1:16" ht="12.75" customHeight="1" x14ac:dyDescent="0.2">
      <c r="A42">
        <f>+MAX($A$8:A41)+1</f>
        <v>34</v>
      </c>
      <c r="B42" t="s">
        <v>630</v>
      </c>
      <c r="C42" t="s">
        <v>631</v>
      </c>
      <c r="D42" t="s">
        <v>26</v>
      </c>
      <c r="E42" s="28">
        <v>604800</v>
      </c>
      <c r="F42" s="13">
        <v>1803.2112</v>
      </c>
      <c r="G42" s="14">
        <f t="shared" si="0"/>
        <v>1.11E-2</v>
      </c>
      <c r="H42" s="15"/>
    </row>
    <row r="43" spans="1:16" ht="12.75" customHeight="1" x14ac:dyDescent="0.2">
      <c r="A43">
        <f>+MAX($A$8:A42)+1</f>
        <v>35</v>
      </c>
      <c r="B43" t="s">
        <v>215</v>
      </c>
      <c r="C43" t="s">
        <v>99</v>
      </c>
      <c r="D43" t="s">
        <v>10</v>
      </c>
      <c r="E43" s="28">
        <v>177600</v>
      </c>
      <c r="F43" s="13">
        <v>1794.1152</v>
      </c>
      <c r="G43" s="14">
        <f t="shared" si="0"/>
        <v>1.0999999999999999E-2</v>
      </c>
      <c r="H43" s="15"/>
    </row>
    <row r="44" spans="1:16" ht="12.75" customHeight="1" x14ac:dyDescent="0.2">
      <c r="A44">
        <f>+MAX($A$8:A43)+1</f>
        <v>36</v>
      </c>
      <c r="B44" t="s">
        <v>281</v>
      </c>
      <c r="C44" t="s">
        <v>155</v>
      </c>
      <c r="D44" t="s">
        <v>150</v>
      </c>
      <c r="E44" s="28">
        <v>129900</v>
      </c>
      <c r="F44" s="13">
        <v>1791.1261500000001</v>
      </c>
      <c r="G44" s="14">
        <f t="shared" si="0"/>
        <v>1.0999999999999999E-2</v>
      </c>
      <c r="H44" s="15"/>
    </row>
    <row r="45" spans="1:16" ht="12.75" customHeight="1" x14ac:dyDescent="0.2">
      <c r="A45">
        <f>+MAX($A$8:A44)+1</f>
        <v>37</v>
      </c>
      <c r="B45" t="s">
        <v>274</v>
      </c>
      <c r="C45" t="s">
        <v>83</v>
      </c>
      <c r="D45" t="s">
        <v>14</v>
      </c>
      <c r="E45" s="28">
        <v>306900</v>
      </c>
      <c r="F45" s="13">
        <v>1789.99425</v>
      </c>
      <c r="G45" s="14">
        <f t="shared" si="0"/>
        <v>1.0999999999999999E-2</v>
      </c>
      <c r="H45" s="15"/>
    </row>
    <row r="46" spans="1:16" ht="12.75" customHeight="1" x14ac:dyDescent="0.2">
      <c r="A46">
        <f>+MAX($A$8:A45)+1</f>
        <v>38</v>
      </c>
      <c r="B46" t="s">
        <v>303</v>
      </c>
      <c r="C46" t="s">
        <v>183</v>
      </c>
      <c r="D46" t="s">
        <v>103</v>
      </c>
      <c r="E46" s="28">
        <v>177108</v>
      </c>
      <c r="F46" s="13">
        <v>1753.6348619999999</v>
      </c>
      <c r="G46" s="14">
        <f t="shared" si="0"/>
        <v>1.0800000000000001E-2</v>
      </c>
      <c r="H46" s="15"/>
    </row>
    <row r="47" spans="1:16" ht="12.75" customHeight="1" x14ac:dyDescent="0.2">
      <c r="A47">
        <f>+MAX($A$8:A46)+1</f>
        <v>39</v>
      </c>
      <c r="B47" t="s">
        <v>269</v>
      </c>
      <c r="C47" t="s">
        <v>137</v>
      </c>
      <c r="D47" t="s">
        <v>18</v>
      </c>
      <c r="E47" s="28">
        <v>54108</v>
      </c>
      <c r="F47" s="13">
        <v>1735.811694</v>
      </c>
      <c r="G47" s="14">
        <f t="shared" si="0"/>
        <v>1.0699999999999999E-2</v>
      </c>
      <c r="H47" s="15"/>
    </row>
    <row r="48" spans="1:16" ht="12.75" customHeight="1" x14ac:dyDescent="0.2">
      <c r="A48">
        <f>+MAX($A$8:A47)+1</f>
        <v>40</v>
      </c>
      <c r="B48" t="s">
        <v>282</v>
      </c>
      <c r="C48" t="s">
        <v>149</v>
      </c>
      <c r="D48" t="s">
        <v>41</v>
      </c>
      <c r="E48" s="28">
        <v>201600</v>
      </c>
      <c r="F48" s="13">
        <v>1734.3648000000001</v>
      </c>
      <c r="G48" s="14">
        <f t="shared" si="0"/>
        <v>1.0699999999999999E-2</v>
      </c>
      <c r="H48" s="15"/>
    </row>
    <row r="49" spans="1:8" ht="12.75" customHeight="1" x14ac:dyDescent="0.2">
      <c r="A49">
        <f>+MAX($A$8:A48)+1</f>
        <v>41</v>
      </c>
      <c r="B49" t="s">
        <v>267</v>
      </c>
      <c r="C49" t="s">
        <v>456</v>
      </c>
      <c r="D49" t="s">
        <v>106</v>
      </c>
      <c r="E49" s="28">
        <v>939000</v>
      </c>
      <c r="F49" s="13">
        <v>1710.3885</v>
      </c>
      <c r="G49" s="14">
        <f t="shared" si="0"/>
        <v>1.0500000000000001E-2</v>
      </c>
      <c r="H49" s="15"/>
    </row>
    <row r="50" spans="1:8" ht="12.75" customHeight="1" x14ac:dyDescent="0.2">
      <c r="A50">
        <f>+MAX($A$8:A49)+1</f>
        <v>42</v>
      </c>
      <c r="B50" t="s">
        <v>482</v>
      </c>
      <c r="C50" t="s">
        <v>483</v>
      </c>
      <c r="D50" t="s">
        <v>32</v>
      </c>
      <c r="E50" s="28">
        <v>324000</v>
      </c>
      <c r="F50" s="13">
        <v>1684.8</v>
      </c>
      <c r="G50" s="14">
        <f t="shared" si="0"/>
        <v>1.04E-2</v>
      </c>
      <c r="H50" s="15"/>
    </row>
    <row r="51" spans="1:8" ht="12.75" customHeight="1" x14ac:dyDescent="0.2">
      <c r="A51">
        <f>+MAX($A$8:A50)+1</f>
        <v>43</v>
      </c>
      <c r="B51" t="s">
        <v>516</v>
      </c>
      <c r="C51" t="s">
        <v>517</v>
      </c>
      <c r="D51" t="s">
        <v>43</v>
      </c>
      <c r="E51" s="28">
        <v>159000</v>
      </c>
      <c r="F51" s="13">
        <v>1681.3454999999999</v>
      </c>
      <c r="G51" s="14">
        <f t="shared" si="0"/>
        <v>1.03E-2</v>
      </c>
      <c r="H51" s="15"/>
    </row>
    <row r="52" spans="1:8" ht="12.75" customHeight="1" x14ac:dyDescent="0.2">
      <c r="A52">
        <f>+MAX($A$8:A51)+1</f>
        <v>44</v>
      </c>
      <c r="B52" t="s">
        <v>213</v>
      </c>
      <c r="C52" t="s">
        <v>55</v>
      </c>
      <c r="D52" t="s">
        <v>43</v>
      </c>
      <c r="E52" s="28">
        <v>84708</v>
      </c>
      <c r="F52" s="13">
        <v>1678.2348959999999</v>
      </c>
      <c r="G52" s="14">
        <f t="shared" si="0"/>
        <v>1.03E-2</v>
      </c>
      <c r="H52" s="15"/>
    </row>
    <row r="53" spans="1:8" ht="12.75" customHeight="1" x14ac:dyDescent="0.2">
      <c r="A53">
        <f>+MAX($A$8:A52)+1</f>
        <v>45</v>
      </c>
      <c r="B53" t="s">
        <v>530</v>
      </c>
      <c r="C53" t="s">
        <v>531</v>
      </c>
      <c r="D53" t="s">
        <v>24</v>
      </c>
      <c r="E53" s="28">
        <v>346800</v>
      </c>
      <c r="F53" s="13">
        <v>1640.7108000000001</v>
      </c>
      <c r="G53" s="14">
        <f t="shared" si="0"/>
        <v>1.01E-2</v>
      </c>
      <c r="H53" s="15"/>
    </row>
    <row r="54" spans="1:8" ht="12.75" customHeight="1" x14ac:dyDescent="0.2">
      <c r="A54">
        <f>+MAX($A$8:A53)+1</f>
        <v>46</v>
      </c>
      <c r="B54" t="s">
        <v>287</v>
      </c>
      <c r="C54" t="s">
        <v>159</v>
      </c>
      <c r="D54" t="s">
        <v>135</v>
      </c>
      <c r="E54" s="28">
        <v>214890</v>
      </c>
      <c r="F54" s="13">
        <v>1638.96603</v>
      </c>
      <c r="G54" s="14">
        <f t="shared" si="0"/>
        <v>1.01E-2</v>
      </c>
      <c r="H54" s="15"/>
    </row>
    <row r="55" spans="1:8" ht="12.75" customHeight="1" x14ac:dyDescent="0.2">
      <c r="A55">
        <f>+MAX($A$8:A54)+1</f>
        <v>47</v>
      </c>
      <c r="B55" t="s">
        <v>550</v>
      </c>
      <c r="C55" t="s">
        <v>291</v>
      </c>
      <c r="D55" t="s">
        <v>41</v>
      </c>
      <c r="E55" s="28">
        <v>27900</v>
      </c>
      <c r="F55" s="13">
        <v>1635.76305</v>
      </c>
      <c r="G55" s="14">
        <f t="shared" si="0"/>
        <v>1.01E-2</v>
      </c>
      <c r="H55" s="15"/>
    </row>
    <row r="56" spans="1:8" ht="12.75" customHeight="1" x14ac:dyDescent="0.2">
      <c r="A56">
        <f>+MAX($A$8:A55)+1</f>
        <v>48</v>
      </c>
      <c r="B56" t="s">
        <v>520</v>
      </c>
      <c r="C56" t="s">
        <v>521</v>
      </c>
      <c r="D56" t="s">
        <v>14</v>
      </c>
      <c r="E56" s="28">
        <v>159000</v>
      </c>
      <c r="F56" s="13">
        <v>1634.9175</v>
      </c>
      <c r="G56" s="14">
        <f t="shared" si="0"/>
        <v>1.01E-2</v>
      </c>
      <c r="H56" s="15"/>
    </row>
    <row r="57" spans="1:8" ht="12.75" customHeight="1" x14ac:dyDescent="0.2">
      <c r="A57">
        <f>+MAX($A$8:A56)+1</f>
        <v>49</v>
      </c>
      <c r="B57" t="s">
        <v>362</v>
      </c>
      <c r="C57" t="s">
        <v>363</v>
      </c>
      <c r="D57" t="s">
        <v>146</v>
      </c>
      <c r="E57" s="28">
        <v>1152000</v>
      </c>
      <c r="F57" s="13">
        <v>1630.08</v>
      </c>
      <c r="G57" s="14">
        <f t="shared" si="0"/>
        <v>0.01</v>
      </c>
      <c r="H57" s="15"/>
    </row>
    <row r="58" spans="1:8" ht="12.75" customHeight="1" x14ac:dyDescent="0.2">
      <c r="A58">
        <f>+MAX($A$8:A57)+1</f>
        <v>50</v>
      </c>
      <c r="B58" t="s">
        <v>195</v>
      </c>
      <c r="C58" t="s">
        <v>15</v>
      </c>
      <c r="D58" t="s">
        <v>14</v>
      </c>
      <c r="E58" s="28">
        <v>155261</v>
      </c>
      <c r="F58" s="13">
        <v>1617.8972505000002</v>
      </c>
      <c r="G58" s="14">
        <f t="shared" si="0"/>
        <v>0.01</v>
      </c>
      <c r="H58" s="15"/>
    </row>
    <row r="59" spans="1:8" ht="12.75" customHeight="1" x14ac:dyDescent="0.2">
      <c r="A59">
        <f>+MAX($A$8:A58)+1</f>
        <v>51</v>
      </c>
      <c r="B59" t="s">
        <v>209</v>
      </c>
      <c r="C59" t="s">
        <v>52</v>
      </c>
      <c r="D59" t="s">
        <v>41</v>
      </c>
      <c r="E59" s="28">
        <v>1278000</v>
      </c>
      <c r="F59" s="13">
        <v>1607.085</v>
      </c>
      <c r="G59" s="14">
        <f t="shared" si="0"/>
        <v>9.9000000000000008E-3</v>
      </c>
      <c r="H59" s="15"/>
    </row>
    <row r="60" spans="1:8" ht="12.75" customHeight="1" x14ac:dyDescent="0.2">
      <c r="A60">
        <f>+MAX($A$8:A59)+1</f>
        <v>52</v>
      </c>
      <c r="B60" t="s">
        <v>671</v>
      </c>
      <c r="C60" t="s">
        <v>672</v>
      </c>
      <c r="D60" t="s">
        <v>28</v>
      </c>
      <c r="E60" s="28">
        <v>1200000</v>
      </c>
      <c r="F60" s="13">
        <v>1605</v>
      </c>
      <c r="G60" s="14">
        <f t="shared" si="0"/>
        <v>9.9000000000000008E-3</v>
      </c>
      <c r="H60" s="15"/>
    </row>
    <row r="61" spans="1:8" ht="12.75" customHeight="1" x14ac:dyDescent="0.2">
      <c r="A61">
        <f>+MAX($A$8:A60)+1</f>
        <v>53</v>
      </c>
      <c r="B61" t="s">
        <v>205</v>
      </c>
      <c r="C61" t="s">
        <v>44</v>
      </c>
      <c r="D61" t="s">
        <v>24</v>
      </c>
      <c r="E61" s="28">
        <v>273900</v>
      </c>
      <c r="F61" s="13">
        <v>1596.0153</v>
      </c>
      <c r="G61" s="14">
        <f t="shared" si="0"/>
        <v>9.7999999999999997E-3</v>
      </c>
      <c r="H61" s="15"/>
    </row>
    <row r="62" spans="1:8" ht="12.75" customHeight="1" x14ac:dyDescent="0.2">
      <c r="A62">
        <f>+MAX($A$8:A61)+1</f>
        <v>54</v>
      </c>
      <c r="B62" t="s">
        <v>285</v>
      </c>
      <c r="C62" t="s">
        <v>153</v>
      </c>
      <c r="D62" t="s">
        <v>136</v>
      </c>
      <c r="E62" s="28">
        <v>57900</v>
      </c>
      <c r="F62" s="13">
        <v>1583.9703</v>
      </c>
      <c r="G62" s="14">
        <f t="shared" si="0"/>
        <v>9.7000000000000003E-3</v>
      </c>
      <c r="H62" s="15"/>
    </row>
    <row r="63" spans="1:8" ht="12.75" customHeight="1" x14ac:dyDescent="0.2">
      <c r="A63">
        <f>+MAX($A$8:A62)+1</f>
        <v>55</v>
      </c>
      <c r="B63" t="s">
        <v>263</v>
      </c>
      <c r="C63" t="s">
        <v>125</v>
      </c>
      <c r="D63" t="s">
        <v>45</v>
      </c>
      <c r="E63" s="28">
        <v>579000</v>
      </c>
      <c r="F63" s="13">
        <v>1583.8544999999999</v>
      </c>
      <c r="G63" s="14">
        <f t="shared" si="0"/>
        <v>9.7000000000000003E-3</v>
      </c>
      <c r="H63" s="15"/>
    </row>
    <row r="64" spans="1:8" ht="12.75" customHeight="1" x14ac:dyDescent="0.2">
      <c r="A64">
        <f>+MAX($A$8:A63)+1</f>
        <v>56</v>
      </c>
      <c r="B64" t="s">
        <v>434</v>
      </c>
      <c r="C64" t="s">
        <v>435</v>
      </c>
      <c r="D64" t="s">
        <v>37</v>
      </c>
      <c r="E64" s="28">
        <v>1080000</v>
      </c>
      <c r="F64" s="13">
        <v>1576.26</v>
      </c>
      <c r="G64" s="14">
        <f t="shared" si="0"/>
        <v>9.7000000000000003E-3</v>
      </c>
      <c r="H64" s="15"/>
    </row>
    <row r="65" spans="1:8" ht="12.75" customHeight="1" x14ac:dyDescent="0.2">
      <c r="A65">
        <f>+MAX($A$8:A64)+1</f>
        <v>57</v>
      </c>
      <c r="B65" t="s">
        <v>604</v>
      </c>
      <c r="C65" t="s">
        <v>605</v>
      </c>
      <c r="D65" t="s">
        <v>136</v>
      </c>
      <c r="E65" s="28">
        <v>318000</v>
      </c>
      <c r="F65" s="13">
        <v>1570.92</v>
      </c>
      <c r="G65" s="14">
        <f t="shared" si="0"/>
        <v>9.7000000000000003E-3</v>
      </c>
      <c r="H65" s="15"/>
    </row>
    <row r="66" spans="1:8" ht="12.75" customHeight="1" x14ac:dyDescent="0.2">
      <c r="A66">
        <f>+MAX($A$8:A65)+1</f>
        <v>58</v>
      </c>
      <c r="B66" t="s">
        <v>279</v>
      </c>
      <c r="C66" t="s">
        <v>319</v>
      </c>
      <c r="D66" t="s">
        <v>41</v>
      </c>
      <c r="E66" s="28">
        <v>495040</v>
      </c>
      <c r="F66" s="13">
        <v>1569.02928</v>
      </c>
      <c r="G66" s="14">
        <f t="shared" si="0"/>
        <v>9.7000000000000003E-3</v>
      </c>
      <c r="H66" s="15"/>
    </row>
    <row r="67" spans="1:8" ht="12.75" customHeight="1" x14ac:dyDescent="0.2">
      <c r="A67">
        <f>+MAX($A$8:A66)+1</f>
        <v>59</v>
      </c>
      <c r="B67" t="s">
        <v>495</v>
      </c>
      <c r="C67" t="s">
        <v>496</v>
      </c>
      <c r="D67" t="s">
        <v>106</v>
      </c>
      <c r="E67" s="28">
        <v>96900</v>
      </c>
      <c r="F67" s="13">
        <v>1568.0842500000001</v>
      </c>
      <c r="G67" s="14">
        <f t="shared" si="0"/>
        <v>9.5999999999999992E-3</v>
      </c>
      <c r="H67" s="15"/>
    </row>
    <row r="68" spans="1:8" ht="12.75" customHeight="1" x14ac:dyDescent="0.2">
      <c r="A68">
        <f>+MAX($A$8:A67)+1</f>
        <v>60</v>
      </c>
      <c r="B68" t="s">
        <v>271</v>
      </c>
      <c r="C68" t="s">
        <v>139</v>
      </c>
      <c r="D68" t="s">
        <v>47</v>
      </c>
      <c r="E68" s="28">
        <v>676800</v>
      </c>
      <c r="F68" s="13">
        <v>1539.72</v>
      </c>
      <c r="G68" s="14">
        <f t="shared" si="0"/>
        <v>9.4999999999999998E-3</v>
      </c>
      <c r="H68" s="15"/>
    </row>
    <row r="69" spans="1:8" ht="12.75" customHeight="1" x14ac:dyDescent="0.2">
      <c r="A69">
        <f>+MAX($A$8:A68)+1</f>
        <v>61</v>
      </c>
      <c r="B69" t="s">
        <v>364</v>
      </c>
      <c r="C69" t="s">
        <v>365</v>
      </c>
      <c r="D69" t="s">
        <v>43</v>
      </c>
      <c r="E69" s="28">
        <v>363000</v>
      </c>
      <c r="F69" s="13">
        <v>1533.4935</v>
      </c>
      <c r="G69" s="14">
        <f t="shared" si="0"/>
        <v>9.4000000000000004E-3</v>
      </c>
      <c r="H69" s="15"/>
    </row>
    <row r="70" spans="1:8" ht="12.75" customHeight="1" x14ac:dyDescent="0.2">
      <c r="A70">
        <f>+MAX($A$8:A69)+1</f>
        <v>62</v>
      </c>
      <c r="B70" t="s">
        <v>411</v>
      </c>
      <c r="C70" t="s">
        <v>412</v>
      </c>
      <c r="D70" t="s">
        <v>103</v>
      </c>
      <c r="E70" s="28">
        <v>108000</v>
      </c>
      <c r="F70" s="13">
        <v>1523.934</v>
      </c>
      <c r="G70" s="14">
        <f t="shared" si="0"/>
        <v>9.4000000000000004E-3</v>
      </c>
      <c r="H70" s="15"/>
    </row>
    <row r="71" spans="1:8" ht="12.75" customHeight="1" x14ac:dyDescent="0.2">
      <c r="A71">
        <f>+MAX($A$8:A70)+1</f>
        <v>63</v>
      </c>
      <c r="B71" t="s">
        <v>522</v>
      </c>
      <c r="C71" t="s">
        <v>523</v>
      </c>
      <c r="D71" t="s">
        <v>18</v>
      </c>
      <c r="E71" s="28">
        <v>129600</v>
      </c>
      <c r="F71" s="13">
        <v>1510.8119999999999</v>
      </c>
      <c r="G71" s="14">
        <f t="shared" si="0"/>
        <v>9.2999999999999992E-3</v>
      </c>
      <c r="H71" s="15"/>
    </row>
    <row r="72" spans="1:8" ht="12.75" customHeight="1" x14ac:dyDescent="0.2">
      <c r="A72">
        <f>+MAX($A$8:A71)+1</f>
        <v>64</v>
      </c>
      <c r="B72" t="s">
        <v>347</v>
      </c>
      <c r="C72" t="s">
        <v>348</v>
      </c>
      <c r="D72" t="s">
        <v>32</v>
      </c>
      <c r="E72" s="28">
        <v>604800</v>
      </c>
      <c r="F72" s="13">
        <v>1493.2511999999999</v>
      </c>
      <c r="G72" s="14">
        <f t="shared" si="0"/>
        <v>9.1999999999999998E-3</v>
      </c>
      <c r="H72" s="15"/>
    </row>
    <row r="73" spans="1:8" ht="12.75" customHeight="1" x14ac:dyDescent="0.2">
      <c r="A73">
        <f>+MAX($A$8:A72)+1</f>
        <v>65</v>
      </c>
      <c r="B73" t="s">
        <v>366</v>
      </c>
      <c r="C73" t="s">
        <v>372</v>
      </c>
      <c r="D73" t="s">
        <v>37</v>
      </c>
      <c r="E73" s="28">
        <v>259990</v>
      </c>
      <c r="F73" s="13">
        <v>1471.933385</v>
      </c>
      <c r="G73" s="14">
        <f t="shared" ref="G73:G95" si="2">+ROUND(F73/VLOOKUP("Grand Total",$B$4:$F$299,5,0),4)</f>
        <v>9.1000000000000004E-3</v>
      </c>
      <c r="H73" s="15"/>
    </row>
    <row r="74" spans="1:8" ht="12.75" customHeight="1" x14ac:dyDescent="0.2">
      <c r="A74">
        <f>+MAX($A$8:A73)+1</f>
        <v>66</v>
      </c>
      <c r="B74" t="s">
        <v>429</v>
      </c>
      <c r="C74" t="s">
        <v>430</v>
      </c>
      <c r="D74" t="s">
        <v>32</v>
      </c>
      <c r="E74" s="28">
        <v>255000</v>
      </c>
      <c r="F74" s="13">
        <v>1469.6925000000001</v>
      </c>
      <c r="G74" s="14">
        <f t="shared" si="2"/>
        <v>8.9999999999999993E-3</v>
      </c>
      <c r="H74" s="15"/>
    </row>
    <row r="75" spans="1:8" ht="12.75" customHeight="1" x14ac:dyDescent="0.2">
      <c r="A75">
        <f>+MAX($A$8:A74)+1</f>
        <v>67</v>
      </c>
      <c r="B75" t="s">
        <v>283</v>
      </c>
      <c r="C75" t="s">
        <v>156</v>
      </c>
      <c r="D75" t="s">
        <v>146</v>
      </c>
      <c r="E75" s="28">
        <v>195900</v>
      </c>
      <c r="F75" s="13">
        <v>1463.9607000000001</v>
      </c>
      <c r="G75" s="14">
        <f t="shared" si="2"/>
        <v>8.9999999999999993E-3</v>
      </c>
      <c r="H75" s="15"/>
    </row>
    <row r="76" spans="1:8" ht="12.75" customHeight="1" x14ac:dyDescent="0.2">
      <c r="A76">
        <f>+MAX($A$8:A75)+1</f>
        <v>68</v>
      </c>
      <c r="B76" t="s">
        <v>628</v>
      </c>
      <c r="C76" t="s">
        <v>629</v>
      </c>
      <c r="D76" t="s">
        <v>107</v>
      </c>
      <c r="E76" s="28">
        <v>81900</v>
      </c>
      <c r="F76" s="13">
        <v>1457.1648</v>
      </c>
      <c r="G76" s="14">
        <f t="shared" si="2"/>
        <v>8.9999999999999993E-3</v>
      </c>
      <c r="H76" s="15"/>
    </row>
    <row r="77" spans="1:8" ht="12.75" customHeight="1" x14ac:dyDescent="0.2">
      <c r="A77">
        <f>+MAX($A$8:A76)+1</f>
        <v>69</v>
      </c>
      <c r="B77" t="s">
        <v>284</v>
      </c>
      <c r="C77" t="s">
        <v>154</v>
      </c>
      <c r="D77" t="s">
        <v>38</v>
      </c>
      <c r="E77" s="28">
        <v>724680</v>
      </c>
      <c r="F77" s="13">
        <v>1443.5625600000001</v>
      </c>
      <c r="G77" s="14">
        <f t="shared" si="2"/>
        <v>8.8999999999999999E-3</v>
      </c>
      <c r="H77" s="15"/>
    </row>
    <row r="78" spans="1:8" ht="12.75" customHeight="1" x14ac:dyDescent="0.2">
      <c r="A78">
        <f>+MAX($A$8:A77)+1</f>
        <v>70</v>
      </c>
      <c r="B78" t="s">
        <v>292</v>
      </c>
      <c r="C78" t="s">
        <v>177</v>
      </c>
      <c r="D78" t="s">
        <v>30</v>
      </c>
      <c r="E78" s="28">
        <v>369000</v>
      </c>
      <c r="F78" s="13">
        <v>1433.7494999999999</v>
      </c>
      <c r="G78" s="14">
        <f t="shared" si="2"/>
        <v>8.8000000000000005E-3</v>
      </c>
      <c r="H78" s="15"/>
    </row>
    <row r="79" spans="1:8" ht="12.75" customHeight="1" x14ac:dyDescent="0.2">
      <c r="A79">
        <f>+MAX($A$8:A78)+1</f>
        <v>71</v>
      </c>
      <c r="B79" t="s">
        <v>459</v>
      </c>
      <c r="C79" t="s">
        <v>460</v>
      </c>
      <c r="D79" t="s">
        <v>136</v>
      </c>
      <c r="E79" s="28">
        <v>930900</v>
      </c>
      <c r="F79" s="13">
        <v>1431.25875</v>
      </c>
      <c r="G79" s="14">
        <f t="shared" si="2"/>
        <v>8.8000000000000005E-3</v>
      </c>
      <c r="H79" s="15"/>
    </row>
    <row r="80" spans="1:8" ht="12.75" customHeight="1" x14ac:dyDescent="0.2">
      <c r="A80">
        <f>+MAX($A$8:A79)+1</f>
        <v>72</v>
      </c>
      <c r="B80" t="s">
        <v>664</v>
      </c>
      <c r="C80" t="s">
        <v>416</v>
      </c>
      <c r="D80" t="s">
        <v>10</v>
      </c>
      <c r="E80" s="28">
        <v>1142400</v>
      </c>
      <c r="F80" s="13">
        <v>1430.2847999999999</v>
      </c>
      <c r="G80" s="14">
        <f t="shared" si="2"/>
        <v>8.8000000000000005E-3</v>
      </c>
      <c r="H80" s="15"/>
    </row>
    <row r="81" spans="1:9" ht="12.75" customHeight="1" x14ac:dyDescent="0.2">
      <c r="A81">
        <f>+MAX($A$8:A80)+1</f>
        <v>73</v>
      </c>
      <c r="B81" t="s">
        <v>457</v>
      </c>
      <c r="C81" t="s">
        <v>458</v>
      </c>
      <c r="D81" t="s">
        <v>24</v>
      </c>
      <c r="E81" s="28">
        <v>372000</v>
      </c>
      <c r="F81" s="13">
        <v>1426.992</v>
      </c>
      <c r="G81" s="14">
        <f t="shared" si="2"/>
        <v>8.8000000000000005E-3</v>
      </c>
      <c r="H81" s="15"/>
    </row>
    <row r="82" spans="1:9" ht="12.75" customHeight="1" x14ac:dyDescent="0.2">
      <c r="A82">
        <f>+MAX($A$8:A81)+1</f>
        <v>74</v>
      </c>
      <c r="B82" t="s">
        <v>438</v>
      </c>
      <c r="C82" t="s">
        <v>439</v>
      </c>
      <c r="D82" t="s">
        <v>146</v>
      </c>
      <c r="E82" s="28">
        <v>81748</v>
      </c>
      <c r="F82" s="13">
        <v>1420.2080040000001</v>
      </c>
      <c r="G82" s="14">
        <f t="shared" si="2"/>
        <v>8.6999999999999994E-3</v>
      </c>
      <c r="H82" s="15"/>
    </row>
    <row r="83" spans="1:9" ht="12.75" customHeight="1" x14ac:dyDescent="0.2">
      <c r="A83">
        <f>+MAX($A$8:A82)+1</f>
        <v>75</v>
      </c>
      <c r="B83" t="s">
        <v>326</v>
      </c>
      <c r="C83" t="s">
        <v>327</v>
      </c>
      <c r="D83" t="s">
        <v>10</v>
      </c>
      <c r="E83" s="28">
        <v>789600</v>
      </c>
      <c r="F83" s="13">
        <v>1419.7008000000001</v>
      </c>
      <c r="G83" s="14">
        <f t="shared" si="2"/>
        <v>8.6999999999999994E-3</v>
      </c>
      <c r="H83" s="15"/>
    </row>
    <row r="84" spans="1:9" ht="12.75" customHeight="1" x14ac:dyDescent="0.2">
      <c r="A84">
        <f>+MAX($A$8:A83)+1</f>
        <v>76</v>
      </c>
      <c r="B84" t="s">
        <v>254</v>
      </c>
      <c r="C84" t="s">
        <v>573</v>
      </c>
      <c r="D84" t="s">
        <v>10</v>
      </c>
      <c r="E84" s="28">
        <v>435000</v>
      </c>
      <c r="F84" s="13">
        <v>1370.9024999999999</v>
      </c>
      <c r="G84" s="14">
        <f t="shared" si="2"/>
        <v>8.3999999999999995E-3</v>
      </c>
      <c r="H84" s="15"/>
    </row>
    <row r="85" spans="1:9" ht="12.75" customHeight="1" x14ac:dyDescent="0.2">
      <c r="A85">
        <f>+MAX($A$8:A84)+1</f>
        <v>77</v>
      </c>
      <c r="B85" t="s">
        <v>480</v>
      </c>
      <c r="C85" t="s">
        <v>481</v>
      </c>
      <c r="D85" t="s">
        <v>24</v>
      </c>
      <c r="E85" s="28">
        <v>279000</v>
      </c>
      <c r="F85" s="13">
        <v>1324.2735</v>
      </c>
      <c r="G85" s="14">
        <f t="shared" si="2"/>
        <v>8.0999999999999996E-3</v>
      </c>
      <c r="H85" s="15"/>
    </row>
    <row r="86" spans="1:9" ht="12.75" customHeight="1" x14ac:dyDescent="0.2">
      <c r="A86">
        <f>+MAX($A$8:A85)+1</f>
        <v>78</v>
      </c>
      <c r="B86" t="s">
        <v>478</v>
      </c>
      <c r="C86" t="s">
        <v>479</v>
      </c>
      <c r="D86" t="s">
        <v>24</v>
      </c>
      <c r="E86" s="28">
        <v>1590000</v>
      </c>
      <c r="F86" s="13">
        <v>1311.75</v>
      </c>
      <c r="G86" s="14">
        <f t="shared" si="2"/>
        <v>8.0999999999999996E-3</v>
      </c>
      <c r="H86" s="15"/>
    </row>
    <row r="87" spans="1:9" ht="12.75" customHeight="1" x14ac:dyDescent="0.2">
      <c r="A87">
        <f>+MAX($A$8:A86)+1</f>
        <v>79</v>
      </c>
      <c r="B87" t="s">
        <v>316</v>
      </c>
      <c r="C87" t="s">
        <v>67</v>
      </c>
      <c r="D87" t="s">
        <v>18</v>
      </c>
      <c r="E87" s="28">
        <v>705600</v>
      </c>
      <c r="F87" s="13">
        <v>1294.4232</v>
      </c>
      <c r="G87" s="14">
        <f t="shared" si="2"/>
        <v>8.0000000000000002E-3</v>
      </c>
      <c r="H87" s="15"/>
    </row>
    <row r="88" spans="1:9" ht="12.75" customHeight="1" x14ac:dyDescent="0.2">
      <c r="A88">
        <f>+MAX($A$8:A87)+1</f>
        <v>80</v>
      </c>
      <c r="B88" t="s">
        <v>233</v>
      </c>
      <c r="C88" t="s">
        <v>82</v>
      </c>
      <c r="D88" t="s">
        <v>45</v>
      </c>
      <c r="E88" s="28">
        <v>417600</v>
      </c>
      <c r="F88" s="13">
        <v>1289.7575999999999</v>
      </c>
      <c r="G88" s="14">
        <f t="shared" si="2"/>
        <v>7.9000000000000008E-3</v>
      </c>
      <c r="H88" s="15"/>
    </row>
    <row r="89" spans="1:9" ht="12.75" customHeight="1" x14ac:dyDescent="0.2">
      <c r="A89">
        <f>+MAX($A$8:A88)+1</f>
        <v>81</v>
      </c>
      <c r="B89" t="s">
        <v>499</v>
      </c>
      <c r="C89" t="s">
        <v>500</v>
      </c>
      <c r="D89" t="s">
        <v>501</v>
      </c>
      <c r="E89" s="28">
        <v>288000</v>
      </c>
      <c r="F89" s="13">
        <v>1190.0160000000001</v>
      </c>
      <c r="G89" s="14">
        <f t="shared" si="2"/>
        <v>7.3000000000000001E-3</v>
      </c>
      <c r="H89" s="15"/>
    </row>
    <row r="90" spans="1:9" ht="12.75" customHeight="1" x14ac:dyDescent="0.2">
      <c r="A90">
        <f>+MAX($A$8:A89)+1</f>
        <v>82</v>
      </c>
      <c r="B90" t="s">
        <v>329</v>
      </c>
      <c r="C90" t="s">
        <v>361</v>
      </c>
      <c r="D90" t="s">
        <v>10</v>
      </c>
      <c r="E90" s="28">
        <v>222900</v>
      </c>
      <c r="F90" s="13">
        <v>1137.0128999999999</v>
      </c>
      <c r="G90" s="14">
        <f t="shared" si="2"/>
        <v>7.0000000000000001E-3</v>
      </c>
      <c r="H90" s="15"/>
    </row>
    <row r="91" spans="1:9" ht="12.75" customHeight="1" x14ac:dyDescent="0.2">
      <c r="A91">
        <f>+MAX($A$8:A90)+1</f>
        <v>83</v>
      </c>
      <c r="B91" t="s">
        <v>673</v>
      </c>
      <c r="C91" t="s">
        <v>674</v>
      </c>
      <c r="D91" t="s">
        <v>38</v>
      </c>
      <c r="E91" s="28">
        <v>129000</v>
      </c>
      <c r="F91" s="13">
        <v>1083.8579999999999</v>
      </c>
      <c r="G91" s="14">
        <f t="shared" si="2"/>
        <v>6.7000000000000002E-3</v>
      </c>
      <c r="H91" s="15"/>
    </row>
    <row r="92" spans="1:9" ht="12.75" customHeight="1" x14ac:dyDescent="0.2">
      <c r="A92">
        <f>+MAX($A$8:A91)+1</f>
        <v>84</v>
      </c>
      <c r="B92" t="s">
        <v>675</v>
      </c>
      <c r="C92" t="s">
        <v>676</v>
      </c>
      <c r="D92" t="s">
        <v>146</v>
      </c>
      <c r="E92" s="28">
        <v>234900</v>
      </c>
      <c r="F92" s="13">
        <v>1072.9057499999999</v>
      </c>
      <c r="G92" s="14">
        <f t="shared" si="2"/>
        <v>6.6E-3</v>
      </c>
      <c r="H92" s="15"/>
    </row>
    <row r="93" spans="1:9" ht="12.75" customHeight="1" x14ac:dyDescent="0.2">
      <c r="A93">
        <f>+MAX($A$8:A92)+1</f>
        <v>85</v>
      </c>
      <c r="B93" t="s">
        <v>677</v>
      </c>
      <c r="C93" t="s">
        <v>678</v>
      </c>
      <c r="D93" t="s">
        <v>28</v>
      </c>
      <c r="E93" s="28">
        <v>505050</v>
      </c>
      <c r="F93" s="13">
        <v>610.35292500000003</v>
      </c>
      <c r="G93" s="14">
        <f t="shared" si="2"/>
        <v>3.8E-3</v>
      </c>
      <c r="H93" s="15"/>
    </row>
    <row r="94" spans="1:9" ht="12.75" customHeight="1" x14ac:dyDescent="0.2">
      <c r="A94">
        <f>+MAX($A$8:A93)+1</f>
        <v>86</v>
      </c>
      <c r="B94" t="s">
        <v>511</v>
      </c>
      <c r="C94" t="s">
        <v>554</v>
      </c>
      <c r="D94" t="s">
        <v>26</v>
      </c>
      <c r="E94" s="28">
        <v>773556</v>
      </c>
      <c r="F94" s="13">
        <v>365.89198799999997</v>
      </c>
      <c r="G94" s="14">
        <f t="shared" si="2"/>
        <v>2.3E-3</v>
      </c>
      <c r="H94" s="15"/>
    </row>
    <row r="95" spans="1:9" ht="12.75" customHeight="1" x14ac:dyDescent="0.2">
      <c r="A95">
        <f>+MAX($A$8:A94)+1</f>
        <v>87</v>
      </c>
      <c r="B95" t="s">
        <v>632</v>
      </c>
      <c r="C95" t="s">
        <v>633</v>
      </c>
      <c r="D95" t="s">
        <v>146</v>
      </c>
      <c r="E95" s="28">
        <v>30553</v>
      </c>
      <c r="F95" s="13">
        <v>207.72984700000001</v>
      </c>
      <c r="G95" s="14">
        <f t="shared" si="2"/>
        <v>1.2999999999999999E-3</v>
      </c>
      <c r="H95" s="15"/>
    </row>
    <row r="96" spans="1:9" ht="12.75" customHeight="1" x14ac:dyDescent="0.2">
      <c r="B96" s="18" t="s">
        <v>86</v>
      </c>
      <c r="C96" s="18"/>
      <c r="D96" s="18"/>
      <c r="E96" s="29"/>
      <c r="F96" s="19">
        <f>SUM(F9:F95)</f>
        <v>156172.74118449999</v>
      </c>
      <c r="G96" s="20">
        <f>SUM(G9:G95)</f>
        <v>0.96120000000000039</v>
      </c>
      <c r="H96" s="21"/>
      <c r="I96" s="49"/>
    </row>
    <row r="97" spans="1:12" ht="12.75" customHeight="1" x14ac:dyDescent="0.2">
      <c r="F97" s="13"/>
      <c r="G97" s="14"/>
      <c r="H97" s="15"/>
    </row>
    <row r="98" spans="1:12" ht="12.75" customHeight="1" x14ac:dyDescent="0.2">
      <c r="B98" s="16" t="s">
        <v>143</v>
      </c>
      <c r="C98" s="16"/>
      <c r="F98" s="13"/>
      <c r="G98" s="14"/>
      <c r="H98" s="73"/>
      <c r="I98"/>
      <c r="J98" s="36"/>
      <c r="K98"/>
    </row>
    <row r="99" spans="1:12" ht="12.75" customHeight="1" x14ac:dyDescent="0.2">
      <c r="A99">
        <f>+MAX($A$8:A98)+1</f>
        <v>88</v>
      </c>
      <c r="B99" t="s">
        <v>679</v>
      </c>
      <c r="C99" s="121" t="s">
        <v>570</v>
      </c>
      <c r="D99" t="s">
        <v>328</v>
      </c>
      <c r="E99" s="28">
        <v>516000</v>
      </c>
      <c r="F99" s="13">
        <v>890.35799999999995</v>
      </c>
      <c r="G99" s="14">
        <f t="shared" ref="G99:G100" si="3">+ROUND(F99/VLOOKUP("Grand Total",$B$4:$F$299,5,0),4)</f>
        <v>5.4999999999999997E-3</v>
      </c>
      <c r="H99" s="15">
        <v>43125</v>
      </c>
      <c r="I99"/>
      <c r="J99" s="36"/>
      <c r="K99"/>
    </row>
    <row r="100" spans="1:12" ht="12.75" customHeight="1" x14ac:dyDescent="0.2">
      <c r="A100">
        <f>+MAX($A$8:A99)+1</f>
        <v>89</v>
      </c>
      <c r="B100" t="s">
        <v>40</v>
      </c>
      <c r="C100" s="121" t="s">
        <v>570</v>
      </c>
      <c r="D100" t="s">
        <v>328</v>
      </c>
      <c r="E100" s="28">
        <v>516000</v>
      </c>
      <c r="F100" s="13">
        <v>835.14599999999996</v>
      </c>
      <c r="G100" s="14">
        <f t="shared" si="3"/>
        <v>5.1000000000000004E-3</v>
      </c>
      <c r="H100" s="15">
        <v>43125</v>
      </c>
      <c r="I100"/>
      <c r="J100" s="36"/>
      <c r="K100"/>
    </row>
    <row r="101" spans="1:12" ht="12.75" customHeight="1" x14ac:dyDescent="0.2">
      <c r="B101" s="18" t="s">
        <v>86</v>
      </c>
      <c r="C101" s="18"/>
      <c r="D101" s="18"/>
      <c r="E101" s="29"/>
      <c r="F101" s="19">
        <f>SUM(F99:F100)</f>
        <v>1725.5039999999999</v>
      </c>
      <c r="G101" s="20">
        <f>SUM(G99:G100)</f>
        <v>1.06E-2</v>
      </c>
      <c r="H101" s="21"/>
      <c r="I101"/>
      <c r="J101" s="36"/>
      <c r="K101"/>
    </row>
    <row r="102" spans="1:12" ht="12.75" customHeight="1" x14ac:dyDescent="0.2">
      <c r="F102" s="13"/>
      <c r="G102" s="14"/>
      <c r="H102" s="15"/>
    </row>
    <row r="103" spans="1:12" ht="12.75" customHeight="1" x14ac:dyDescent="0.2">
      <c r="B103" s="16" t="s">
        <v>93</v>
      </c>
      <c r="C103" s="16"/>
      <c r="F103" s="13"/>
      <c r="G103" s="14"/>
      <c r="H103" s="73"/>
      <c r="I103"/>
      <c r="J103" s="36"/>
      <c r="K103"/>
    </row>
    <row r="104" spans="1:12" ht="12.75" customHeight="1" x14ac:dyDescent="0.2">
      <c r="A104">
        <f>+MAX($A$8:A103)+1</f>
        <v>90</v>
      </c>
      <c r="B104" t="s">
        <v>471</v>
      </c>
      <c r="C104" t="s">
        <v>305</v>
      </c>
      <c r="D104" t="s">
        <v>325</v>
      </c>
      <c r="E104" s="28">
        <v>1679159.6142</v>
      </c>
      <c r="F104" s="13">
        <v>522.14643619999993</v>
      </c>
      <c r="G104" s="14">
        <f t="shared" ref="G104:G105" si="4">+ROUND(F104/VLOOKUP("Grand Total",$B$4:$F$299,5,0),4)</f>
        <v>3.2000000000000002E-3</v>
      </c>
      <c r="H104" s="73" t="s">
        <v>381</v>
      </c>
      <c r="I104"/>
      <c r="J104" s="36"/>
      <c r="K104"/>
    </row>
    <row r="105" spans="1:12" ht="12.75" customHeight="1" x14ac:dyDescent="0.2">
      <c r="A105">
        <f>+MAX($A$8:A104)+1</f>
        <v>91</v>
      </c>
      <c r="B105" t="s">
        <v>461</v>
      </c>
      <c r="C105" t="s">
        <v>360</v>
      </c>
      <c r="D105" t="s">
        <v>325</v>
      </c>
      <c r="E105" s="28">
        <v>9884.0483000000004</v>
      </c>
      <c r="F105" s="13">
        <v>163.75778550000001</v>
      </c>
      <c r="G105" s="14">
        <f t="shared" si="4"/>
        <v>1E-3</v>
      </c>
      <c r="H105" s="73" t="s">
        <v>381</v>
      </c>
      <c r="I105"/>
      <c r="J105" s="36"/>
      <c r="K105"/>
    </row>
    <row r="106" spans="1:12" ht="12.75" customHeight="1" x14ac:dyDescent="0.2">
      <c r="B106" s="18" t="s">
        <v>86</v>
      </c>
      <c r="C106" s="18"/>
      <c r="D106" s="18"/>
      <c r="E106" s="29"/>
      <c r="F106" s="19">
        <f>SUM(F104:F105)</f>
        <v>685.90422169999988</v>
      </c>
      <c r="G106" s="20">
        <f>SUM(G104:G105)</f>
        <v>4.2000000000000006E-3</v>
      </c>
      <c r="H106" s="21"/>
      <c r="I106"/>
      <c r="J106" s="36"/>
      <c r="K106"/>
    </row>
    <row r="107" spans="1:12" s="46" customFormat="1" ht="12.75" customHeight="1" x14ac:dyDescent="0.2">
      <c r="B107" s="67"/>
      <c r="C107" s="67"/>
      <c r="D107" s="67"/>
      <c r="E107" s="68"/>
      <c r="F107" s="69"/>
      <c r="G107" s="70"/>
      <c r="H107" s="35"/>
      <c r="J107" s="48"/>
    </row>
    <row r="108" spans="1:12" ht="12.75" customHeight="1" x14ac:dyDescent="0.2">
      <c r="A108" s="95" t="s">
        <v>380</v>
      </c>
      <c r="B108" s="16" t="s">
        <v>94</v>
      </c>
      <c r="C108" s="16"/>
      <c r="F108" s="13">
        <v>4987.2400488000003</v>
      </c>
      <c r="G108" s="14">
        <f t="shared" ref="G108" si="5">+ROUND(F108/VLOOKUP("Grand Total",$B$4:$F$299,5,0),4)</f>
        <v>3.0700000000000002E-2</v>
      </c>
      <c r="H108" s="15">
        <v>43101</v>
      </c>
      <c r="L108" s="46"/>
    </row>
    <row r="109" spans="1:12" ht="12.75" customHeight="1" x14ac:dyDescent="0.2">
      <c r="B109" s="18" t="s">
        <v>86</v>
      </c>
      <c r="C109" s="18"/>
      <c r="D109" s="18"/>
      <c r="E109" s="29"/>
      <c r="F109" s="19">
        <f>SUM(F108)</f>
        <v>4987.2400488000003</v>
      </c>
      <c r="G109" s="20">
        <f>SUM(G108)</f>
        <v>3.0700000000000002E-2</v>
      </c>
      <c r="H109" s="21"/>
      <c r="I109" s="49"/>
    </row>
    <row r="110" spans="1:12" ht="12.75" customHeight="1" x14ac:dyDescent="0.2">
      <c r="F110" s="13"/>
      <c r="G110" s="14"/>
      <c r="H110" s="15"/>
    </row>
    <row r="111" spans="1:12" ht="12.75" customHeight="1" x14ac:dyDescent="0.2">
      <c r="B111" s="16" t="s">
        <v>95</v>
      </c>
      <c r="C111" s="16"/>
      <c r="F111" s="13"/>
      <c r="G111" s="14"/>
      <c r="H111" s="15"/>
      <c r="I111" s="56"/>
    </row>
    <row r="112" spans="1:12" ht="12.75" customHeight="1" x14ac:dyDescent="0.2">
      <c r="B112" s="16" t="s">
        <v>96</v>
      </c>
      <c r="C112" s="16"/>
      <c r="F112" s="13">
        <v>-1030.8159978000331</v>
      </c>
      <c r="G112" s="45">
        <f>+ROUND(F112/VLOOKUP("Grand Total",$B$4:$F$317,5,0),4)-0.04%</f>
        <v>-6.7000000000000002E-3</v>
      </c>
      <c r="H112" s="15"/>
      <c r="I112" s="55"/>
    </row>
    <row r="113" spans="2:11" ht="12.75" customHeight="1" x14ac:dyDescent="0.2">
      <c r="B113" s="18" t="s">
        <v>86</v>
      </c>
      <c r="C113" s="18"/>
      <c r="D113" s="18"/>
      <c r="E113" s="29"/>
      <c r="F113" s="19">
        <f>SUM(F112)</f>
        <v>-1030.8159978000331</v>
      </c>
      <c r="G113" s="20">
        <f>SUM(G112)</f>
        <v>-6.7000000000000002E-3</v>
      </c>
      <c r="H113" s="21"/>
      <c r="I113" s="39"/>
    </row>
    <row r="114" spans="2:11" ht="12.75" customHeight="1" x14ac:dyDescent="0.2">
      <c r="B114" s="22" t="s">
        <v>97</v>
      </c>
      <c r="C114" s="22"/>
      <c r="D114" s="22"/>
      <c r="E114" s="30"/>
      <c r="F114" s="23">
        <f>+SUMIF($B$5:B113,"Total",$F$5:F113)</f>
        <v>162540.57345719996</v>
      </c>
      <c r="G114" s="24">
        <f>+SUMIF($B$5:B113,"Total",$G$5:G113)</f>
        <v>1.0000000000000004</v>
      </c>
      <c r="H114" s="25"/>
      <c r="K114"/>
    </row>
    <row r="115" spans="2:11" ht="12.75" customHeight="1" x14ac:dyDescent="0.2">
      <c r="F115" s="13"/>
    </row>
    <row r="116" spans="2:11" ht="12.75" customHeight="1" x14ac:dyDescent="0.2">
      <c r="B116" s="16" t="s">
        <v>791</v>
      </c>
    </row>
    <row r="117" spans="2:11" ht="12.75" customHeight="1" x14ac:dyDescent="0.2">
      <c r="B117" s="16"/>
    </row>
    <row r="118" spans="2:11" ht="12.75" customHeight="1" x14ac:dyDescent="0.2"/>
    <row r="119" spans="2:11" ht="12.75" customHeight="1" x14ac:dyDescent="0.2"/>
    <row r="120" spans="2:11" ht="12.75" customHeight="1" x14ac:dyDescent="0.2"/>
    <row r="121" spans="2:11" ht="12.75" customHeight="1" x14ac:dyDescent="0.2"/>
    <row r="122" spans="2:11" ht="12.75" customHeight="1" x14ac:dyDescent="0.2"/>
    <row r="123" spans="2:11" ht="12.75" customHeight="1" x14ac:dyDescent="0.2"/>
    <row r="124" spans="2:11" ht="12.75" customHeight="1" x14ac:dyDescent="0.2"/>
    <row r="125" spans="2:11" ht="12.75" customHeight="1" x14ac:dyDescent="0.2"/>
    <row r="126" spans="2:11" ht="12.75" customHeight="1" x14ac:dyDescent="0.2"/>
    <row r="127" spans="2:11" ht="12.75" customHeight="1" x14ac:dyDescent="0.2"/>
    <row r="128" spans="2:11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</sheetData>
  <sheetProtection password="EDB3" sheet="1" objects="1" scenarios="1"/>
  <sortState ref="J9:K34">
    <sortCondition descending="1" ref="K11:K36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4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386</v>
      </c>
      <c r="B1" s="123" t="s">
        <v>160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417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194</v>
      </c>
      <c r="C9" t="s">
        <v>13</v>
      </c>
      <c r="D9" t="s">
        <v>10</v>
      </c>
      <c r="E9" s="28">
        <v>87992</v>
      </c>
      <c r="F9" s="13">
        <v>1647.5622080000001</v>
      </c>
      <c r="G9" s="14">
        <f t="shared" ref="G9:G40" si="0">+ROUND(F9/VLOOKUP("Grand Total",$B$4:$F$302,5,0),4)</f>
        <v>4.82E-2</v>
      </c>
      <c r="H9" s="72" t="s">
        <v>381</v>
      </c>
      <c r="I9" s="107"/>
      <c r="J9" s="14" t="s">
        <v>10</v>
      </c>
      <c r="K9" s="48">
        <f t="shared" ref="K9:K31" si="1">SUMIFS($G$5:$G$333,$D$5:$D$333,J9)</f>
        <v>0.2407</v>
      </c>
    </row>
    <row r="10" spans="1:16" ht="12.75" customHeight="1" x14ac:dyDescent="0.2">
      <c r="A10">
        <f>+MAX($A$8:A9)+1</f>
        <v>2</v>
      </c>
      <c r="B10" t="s">
        <v>197</v>
      </c>
      <c r="C10" t="s">
        <v>11</v>
      </c>
      <c r="D10" t="s">
        <v>10</v>
      </c>
      <c r="E10" s="28">
        <v>476730</v>
      </c>
      <c r="F10" s="13">
        <v>1496.9322</v>
      </c>
      <c r="G10" s="14">
        <f t="shared" si="0"/>
        <v>4.3799999999999999E-2</v>
      </c>
      <c r="H10" s="15" t="s">
        <v>381</v>
      </c>
      <c r="I10" s="107"/>
      <c r="J10" s="14" t="s">
        <v>26</v>
      </c>
      <c r="K10" s="48">
        <f t="shared" si="1"/>
        <v>0.12480000000000001</v>
      </c>
    </row>
    <row r="11" spans="1:16" ht="12.75" customHeight="1" x14ac:dyDescent="0.2">
      <c r="A11">
        <f>+MAX($A$8:A10)+1</f>
        <v>3</v>
      </c>
      <c r="B11" t="s">
        <v>196</v>
      </c>
      <c r="C11" t="s">
        <v>31</v>
      </c>
      <c r="D11" t="s">
        <v>30</v>
      </c>
      <c r="E11" s="28">
        <v>114058</v>
      </c>
      <c r="F11" s="13">
        <v>1050.531209</v>
      </c>
      <c r="G11" s="14">
        <f t="shared" si="0"/>
        <v>3.0700000000000002E-2</v>
      </c>
      <c r="H11" s="15" t="s">
        <v>381</v>
      </c>
      <c r="I11" s="107"/>
      <c r="J11" s="14" t="s">
        <v>22</v>
      </c>
      <c r="K11" s="48">
        <f t="shared" si="1"/>
        <v>7.8999999999999987E-2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16</v>
      </c>
      <c r="C12" t="s">
        <v>17</v>
      </c>
      <c r="D12" t="s">
        <v>10</v>
      </c>
      <c r="E12" s="28">
        <v>333480</v>
      </c>
      <c r="F12" s="13">
        <v>1033.45452</v>
      </c>
      <c r="G12" s="14">
        <f t="shared" si="0"/>
        <v>3.0200000000000001E-2</v>
      </c>
      <c r="H12" s="15" t="s">
        <v>381</v>
      </c>
      <c r="I12" s="107"/>
      <c r="J12" s="14" t="s">
        <v>20</v>
      </c>
      <c r="K12" s="48">
        <f t="shared" si="1"/>
        <v>6.0100000000000001E-2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195</v>
      </c>
      <c r="C13" t="s">
        <v>15</v>
      </c>
      <c r="D13" t="s">
        <v>14</v>
      </c>
      <c r="E13" s="28">
        <v>85286</v>
      </c>
      <c r="F13" s="13">
        <v>888.72276299999999</v>
      </c>
      <c r="G13" s="14">
        <f t="shared" si="0"/>
        <v>2.5999999999999999E-2</v>
      </c>
      <c r="H13" s="15" t="s">
        <v>381</v>
      </c>
      <c r="I13" s="107"/>
      <c r="J13" s="14" t="s">
        <v>14</v>
      </c>
      <c r="K13" s="48">
        <f t="shared" si="1"/>
        <v>5.7099999999999998E-2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212</v>
      </c>
      <c r="C14" t="s">
        <v>49</v>
      </c>
      <c r="D14" t="s">
        <v>20</v>
      </c>
      <c r="E14" s="28">
        <v>8078</v>
      </c>
      <c r="F14" s="13">
        <v>785.95304900000008</v>
      </c>
      <c r="G14" s="14">
        <f t="shared" si="0"/>
        <v>2.3E-2</v>
      </c>
      <c r="H14" s="15" t="s">
        <v>381</v>
      </c>
      <c r="I14" s="107"/>
      <c r="J14" s="14" t="s">
        <v>24</v>
      </c>
      <c r="K14" s="48">
        <f t="shared" si="1"/>
        <v>4.7199999999999999E-2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265</v>
      </c>
      <c r="C15" t="s">
        <v>129</v>
      </c>
      <c r="D15" t="s">
        <v>18</v>
      </c>
      <c r="E15" s="28">
        <v>4298</v>
      </c>
      <c r="F15" s="13">
        <v>776.84200999999996</v>
      </c>
      <c r="G15" s="14">
        <f t="shared" si="0"/>
        <v>2.2700000000000001E-2</v>
      </c>
      <c r="H15" s="15" t="s">
        <v>381</v>
      </c>
      <c r="I15" s="107"/>
      <c r="J15" s="14" t="s">
        <v>18</v>
      </c>
      <c r="K15" s="48">
        <f t="shared" si="1"/>
        <v>4.5699999999999998E-2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242</v>
      </c>
      <c r="C16" t="s">
        <v>102</v>
      </c>
      <c r="D16" t="s">
        <v>26</v>
      </c>
      <c r="E16" s="28">
        <v>55445</v>
      </c>
      <c r="F16" s="13">
        <v>758.40443249999998</v>
      </c>
      <c r="G16" s="14">
        <f t="shared" si="0"/>
        <v>2.2200000000000001E-2</v>
      </c>
      <c r="H16" s="15" t="s">
        <v>381</v>
      </c>
      <c r="I16" s="107"/>
      <c r="J16" s="14" t="s">
        <v>36</v>
      </c>
      <c r="K16" s="48">
        <f t="shared" si="1"/>
        <v>4.0099999999999997E-2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228</v>
      </c>
      <c r="C17" t="s">
        <v>71</v>
      </c>
      <c r="D17" t="s">
        <v>28</v>
      </c>
      <c r="E17" s="28">
        <v>59891</v>
      </c>
      <c r="F17" s="13">
        <v>753.5785075</v>
      </c>
      <c r="G17" s="14">
        <f t="shared" si="0"/>
        <v>2.1999999999999999E-2</v>
      </c>
      <c r="H17" s="15" t="s">
        <v>381</v>
      </c>
      <c r="I17" s="107"/>
      <c r="J17" s="14" t="s">
        <v>136</v>
      </c>
      <c r="K17" s="48">
        <f t="shared" si="1"/>
        <v>3.8100000000000002E-2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436</v>
      </c>
      <c r="C18" t="s">
        <v>437</v>
      </c>
      <c r="D18" t="s">
        <v>422</v>
      </c>
      <c r="E18" s="28">
        <v>129608</v>
      </c>
      <c r="F18" s="13">
        <v>750.75433999999996</v>
      </c>
      <c r="G18" s="14">
        <f t="shared" si="0"/>
        <v>2.1999999999999999E-2</v>
      </c>
      <c r="H18" s="15" t="s">
        <v>381</v>
      </c>
      <c r="I18" s="107"/>
      <c r="J18" s="14" t="s">
        <v>28</v>
      </c>
      <c r="K18" s="48">
        <f t="shared" si="1"/>
        <v>3.32E-2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314</v>
      </c>
      <c r="C19" t="s">
        <v>57</v>
      </c>
      <c r="D19" t="s">
        <v>26</v>
      </c>
      <c r="E19" s="28">
        <v>44000</v>
      </c>
      <c r="F19" s="13">
        <v>749.12199999999996</v>
      </c>
      <c r="G19" s="14">
        <f t="shared" si="0"/>
        <v>2.1899999999999999E-2</v>
      </c>
      <c r="H19" s="15" t="s">
        <v>381</v>
      </c>
      <c r="I19" s="107"/>
      <c r="J19" s="14" t="s">
        <v>45</v>
      </c>
      <c r="K19" s="48">
        <f t="shared" si="1"/>
        <v>3.0899999999999997E-2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575</v>
      </c>
      <c r="C20" t="s">
        <v>576</v>
      </c>
      <c r="D20" t="s">
        <v>136</v>
      </c>
      <c r="E20" s="28">
        <v>193725</v>
      </c>
      <c r="F20" s="13">
        <v>717.46053749999999</v>
      </c>
      <c r="G20" s="14">
        <f t="shared" si="0"/>
        <v>2.1000000000000001E-2</v>
      </c>
      <c r="H20" s="15" t="s">
        <v>381</v>
      </c>
      <c r="I20" s="107"/>
      <c r="J20" s="14" t="s">
        <v>30</v>
      </c>
      <c r="K20" s="48">
        <f t="shared" si="1"/>
        <v>3.0700000000000002E-2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404</v>
      </c>
      <c r="C21" t="s">
        <v>403</v>
      </c>
      <c r="D21" t="s">
        <v>26</v>
      </c>
      <c r="E21" s="28">
        <v>200000</v>
      </c>
      <c r="F21" s="13">
        <v>699.4</v>
      </c>
      <c r="G21" s="14">
        <f t="shared" si="0"/>
        <v>2.0500000000000001E-2</v>
      </c>
      <c r="H21" s="15" t="s">
        <v>381</v>
      </c>
      <c r="I21" s="107"/>
      <c r="J21" s="14" t="s">
        <v>422</v>
      </c>
      <c r="K21" s="48">
        <f t="shared" si="1"/>
        <v>2.1999999999999999E-2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263</v>
      </c>
      <c r="C22" t="s">
        <v>125</v>
      </c>
      <c r="D22" t="s">
        <v>45</v>
      </c>
      <c r="E22" s="28">
        <v>252060</v>
      </c>
      <c r="F22" s="13">
        <v>689.51013</v>
      </c>
      <c r="G22" s="14">
        <f t="shared" si="0"/>
        <v>2.0199999999999999E-2</v>
      </c>
      <c r="H22" s="15" t="s">
        <v>381</v>
      </c>
      <c r="I22" s="107"/>
      <c r="J22" s="14" t="s">
        <v>515</v>
      </c>
      <c r="K22" s="48">
        <f t="shared" si="1"/>
        <v>1.89E-2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218</v>
      </c>
      <c r="C23" t="s">
        <v>61</v>
      </c>
      <c r="D23" t="s">
        <v>22</v>
      </c>
      <c r="E23" s="28">
        <v>97638</v>
      </c>
      <c r="F23" s="13">
        <v>671.70062099999996</v>
      </c>
      <c r="G23" s="14">
        <f t="shared" si="0"/>
        <v>1.9699999999999999E-2</v>
      </c>
      <c r="H23" s="15" t="s">
        <v>381</v>
      </c>
      <c r="I23" s="107"/>
      <c r="J23" s="14" t="s">
        <v>38</v>
      </c>
      <c r="K23" s="48">
        <f t="shared" si="1"/>
        <v>1.72E-2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253</v>
      </c>
      <c r="C24" t="s">
        <v>116</v>
      </c>
      <c r="D24" t="s">
        <v>36</v>
      </c>
      <c r="E24" s="28">
        <v>374900</v>
      </c>
      <c r="F24" s="13">
        <v>663.57299999999998</v>
      </c>
      <c r="G24" s="14">
        <f t="shared" si="0"/>
        <v>1.9400000000000001E-2</v>
      </c>
      <c r="H24" s="15" t="s">
        <v>381</v>
      </c>
      <c r="I24" s="107"/>
      <c r="J24" t="s">
        <v>146</v>
      </c>
      <c r="K24" s="48">
        <f t="shared" si="1"/>
        <v>1.52E-2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198</v>
      </c>
      <c r="C25" t="s">
        <v>21</v>
      </c>
      <c r="D25" t="s">
        <v>20</v>
      </c>
      <c r="E25" s="28">
        <v>148729</v>
      </c>
      <c r="F25" s="13">
        <v>642.28618649999999</v>
      </c>
      <c r="G25" s="14">
        <f t="shared" si="0"/>
        <v>1.8800000000000001E-2</v>
      </c>
      <c r="H25" s="15" t="s">
        <v>381</v>
      </c>
      <c r="I25" s="107"/>
      <c r="J25" t="s">
        <v>51</v>
      </c>
      <c r="K25" s="48">
        <f t="shared" si="1"/>
        <v>1.3599999999999999E-2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251</v>
      </c>
      <c r="C26" t="s">
        <v>113</v>
      </c>
      <c r="D26" t="s">
        <v>20</v>
      </c>
      <c r="E26" s="28">
        <v>16552</v>
      </c>
      <c r="F26" s="13">
        <v>626.51802799999996</v>
      </c>
      <c r="G26" s="14">
        <f t="shared" si="0"/>
        <v>1.83E-2</v>
      </c>
      <c r="H26" s="15" t="s">
        <v>381</v>
      </c>
      <c r="I26" s="107"/>
      <c r="J26" t="s">
        <v>43</v>
      </c>
      <c r="K26" s="48">
        <f t="shared" si="1"/>
        <v>1.2200000000000001E-2</v>
      </c>
      <c r="L26" s="54">
        <f>+SUM($K$9:K27)</f>
        <v>0.93800000000000006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204</v>
      </c>
      <c r="C27" t="s">
        <v>46</v>
      </c>
      <c r="D27" t="s">
        <v>26</v>
      </c>
      <c r="E27" s="28">
        <v>236699</v>
      </c>
      <c r="F27" s="13">
        <v>623.1101175</v>
      </c>
      <c r="G27" s="14">
        <f t="shared" si="0"/>
        <v>1.8200000000000001E-2</v>
      </c>
      <c r="H27" s="15" t="s">
        <v>381</v>
      </c>
      <c r="I27" s="107"/>
      <c r="J27" s="65" t="s">
        <v>41</v>
      </c>
      <c r="K27" s="48">
        <f t="shared" si="1"/>
        <v>1.1299999999999999E-2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444</v>
      </c>
      <c r="C28" t="s">
        <v>68</v>
      </c>
      <c r="D28" t="s">
        <v>22</v>
      </c>
      <c r="E28" s="28">
        <v>106911</v>
      </c>
      <c r="F28" s="13">
        <v>610.62217650000002</v>
      </c>
      <c r="G28" s="14">
        <f t="shared" si="0"/>
        <v>1.7899999999999999E-2</v>
      </c>
      <c r="H28" s="15" t="s">
        <v>381</v>
      </c>
      <c r="I28" s="107"/>
      <c r="J28" t="s">
        <v>34</v>
      </c>
      <c r="K28" s="48">
        <f t="shared" si="1"/>
        <v>1.01E-2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200</v>
      </c>
      <c r="C29" t="s">
        <v>27</v>
      </c>
      <c r="D29" t="s">
        <v>24</v>
      </c>
      <c r="E29" s="28">
        <v>35634</v>
      </c>
      <c r="F29" s="13">
        <v>609.48393599999997</v>
      </c>
      <c r="G29" s="14">
        <f t="shared" si="0"/>
        <v>1.78E-2</v>
      </c>
      <c r="H29" s="15" t="s">
        <v>381</v>
      </c>
      <c r="I29" s="107"/>
      <c r="J29" s="14" t="s">
        <v>107</v>
      </c>
      <c r="K29" s="48">
        <f t="shared" si="1"/>
        <v>9.9000000000000008E-3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376</v>
      </c>
      <c r="C30" t="s">
        <v>377</v>
      </c>
      <c r="D30" t="s">
        <v>38</v>
      </c>
      <c r="E30" s="28">
        <v>579178</v>
      </c>
      <c r="F30" s="13">
        <v>587.28649200000007</v>
      </c>
      <c r="G30" s="14">
        <f t="shared" si="0"/>
        <v>1.72E-2</v>
      </c>
      <c r="H30" s="15" t="s">
        <v>381</v>
      </c>
      <c r="I30" s="107"/>
      <c r="J30" s="14" t="s">
        <v>443</v>
      </c>
      <c r="K30" s="48">
        <f t="shared" si="1"/>
        <v>0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353</v>
      </c>
      <c r="C31" t="s">
        <v>423</v>
      </c>
      <c r="D31" t="s">
        <v>136</v>
      </c>
      <c r="E31" s="28">
        <v>60000</v>
      </c>
      <c r="F31" s="13">
        <v>585.17999999999995</v>
      </c>
      <c r="G31" s="14">
        <f t="shared" si="0"/>
        <v>1.7100000000000001E-2</v>
      </c>
      <c r="H31" s="15" t="s">
        <v>381</v>
      </c>
      <c r="I31" s="107"/>
      <c r="J31" s="14" t="s">
        <v>352</v>
      </c>
      <c r="K31" s="48">
        <f t="shared" si="1"/>
        <v>0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206</v>
      </c>
      <c r="C32" t="s">
        <v>48</v>
      </c>
      <c r="D32" t="s">
        <v>26</v>
      </c>
      <c r="E32" s="28">
        <v>12279</v>
      </c>
      <c r="F32" s="13">
        <v>578.2488075</v>
      </c>
      <c r="G32" s="14">
        <f t="shared" si="0"/>
        <v>1.6899999999999998E-2</v>
      </c>
      <c r="H32" s="15" t="s">
        <v>381</v>
      </c>
      <c r="I32" s="107"/>
      <c r="J32" s="14" t="s">
        <v>64</v>
      </c>
      <c r="K32" s="48">
        <f>+SUMIFS($G$5:$G$1000,$B$5:$B$1000,"CBLO / Reverse Repo Investments")+SUMIFS($G$5:$G$1000,$B$5:$B$1000,"Net Receivable/Payable")</f>
        <v>4.2000000000000003E-2</v>
      </c>
    </row>
    <row r="33" spans="1:9" ht="12.75" customHeight="1" x14ac:dyDescent="0.2">
      <c r="A33">
        <f>+MAX($A$8:A32)+1</f>
        <v>25</v>
      </c>
      <c r="B33" t="s">
        <v>219</v>
      </c>
      <c r="C33" t="s">
        <v>19</v>
      </c>
      <c r="D33" t="s">
        <v>14</v>
      </c>
      <c r="E33" s="28">
        <v>21307</v>
      </c>
      <c r="F33" s="13">
        <v>575.54468399999996</v>
      </c>
      <c r="G33" s="14">
        <f t="shared" si="0"/>
        <v>1.6799999999999999E-2</v>
      </c>
      <c r="H33" s="15" t="s">
        <v>381</v>
      </c>
      <c r="I33" s="107"/>
    </row>
    <row r="34" spans="1:9" ht="12.75" customHeight="1" x14ac:dyDescent="0.2">
      <c r="A34">
        <f>+MAX($A$8:A33)+1</f>
        <v>26</v>
      </c>
      <c r="B34" t="s">
        <v>664</v>
      </c>
      <c r="C34" t="s">
        <v>416</v>
      </c>
      <c r="D34" t="s">
        <v>10</v>
      </c>
      <c r="E34" s="28">
        <v>422693</v>
      </c>
      <c r="F34" s="13">
        <v>529.211636</v>
      </c>
      <c r="G34" s="14">
        <f t="shared" si="0"/>
        <v>1.55E-2</v>
      </c>
      <c r="H34" s="15" t="s">
        <v>381</v>
      </c>
      <c r="I34" s="107"/>
    </row>
    <row r="35" spans="1:9" ht="12.75" customHeight="1" x14ac:dyDescent="0.2">
      <c r="A35">
        <f>+MAX($A$8:A34)+1</f>
        <v>27</v>
      </c>
      <c r="B35" t="s">
        <v>215</v>
      </c>
      <c r="C35" t="s">
        <v>99</v>
      </c>
      <c r="D35" t="s">
        <v>10</v>
      </c>
      <c r="E35" s="28">
        <v>51897</v>
      </c>
      <c r="F35" s="13">
        <v>524.26349400000004</v>
      </c>
      <c r="G35" s="14">
        <f t="shared" si="0"/>
        <v>1.5299999999999999E-2</v>
      </c>
      <c r="H35" s="15" t="s">
        <v>381</v>
      </c>
      <c r="I35" s="107"/>
    </row>
    <row r="36" spans="1:9" ht="12.75" customHeight="1" x14ac:dyDescent="0.2">
      <c r="A36">
        <f>+MAX($A$8:A35)+1</f>
        <v>28</v>
      </c>
      <c r="B36" t="s">
        <v>244</v>
      </c>
      <c r="C36" t="s">
        <v>104</v>
      </c>
      <c r="D36" t="s">
        <v>10</v>
      </c>
      <c r="E36" s="28">
        <v>31694</v>
      </c>
      <c r="F36" s="13">
        <v>522.60236599999996</v>
      </c>
      <c r="G36" s="14">
        <f t="shared" si="0"/>
        <v>1.5299999999999999E-2</v>
      </c>
      <c r="H36" s="15" t="s">
        <v>381</v>
      </c>
      <c r="I36" s="107"/>
    </row>
    <row r="37" spans="1:9" ht="12.75" customHeight="1" x14ac:dyDescent="0.2">
      <c r="A37">
        <f>+MAX($A$8:A36)+1</f>
        <v>29</v>
      </c>
      <c r="B37" t="s">
        <v>322</v>
      </c>
      <c r="C37" t="s">
        <v>323</v>
      </c>
      <c r="D37" t="s">
        <v>146</v>
      </c>
      <c r="E37" s="28">
        <v>104069</v>
      </c>
      <c r="F37" s="13">
        <v>517.951413</v>
      </c>
      <c r="G37" s="14">
        <f t="shared" si="0"/>
        <v>1.52E-2</v>
      </c>
      <c r="H37" s="15" t="s">
        <v>381</v>
      </c>
      <c r="I37" s="107"/>
    </row>
    <row r="38" spans="1:9" ht="12.75" customHeight="1" x14ac:dyDescent="0.2">
      <c r="A38">
        <f>+MAX($A$8:A37)+1</f>
        <v>30</v>
      </c>
      <c r="B38" t="s">
        <v>205</v>
      </c>
      <c r="C38" t="s">
        <v>44</v>
      </c>
      <c r="D38" t="s">
        <v>24</v>
      </c>
      <c r="E38" s="28">
        <v>87680</v>
      </c>
      <c r="F38" s="13">
        <v>510.91136</v>
      </c>
      <c r="G38" s="14">
        <f t="shared" si="0"/>
        <v>1.49E-2</v>
      </c>
      <c r="H38" s="15" t="s">
        <v>381</v>
      </c>
      <c r="I38" s="107"/>
    </row>
    <row r="39" spans="1:9" ht="12.75" customHeight="1" x14ac:dyDescent="0.2">
      <c r="A39">
        <f>+MAX($A$8:A38)+1</f>
        <v>31</v>
      </c>
      <c r="B39" t="s">
        <v>518</v>
      </c>
      <c r="C39" t="s">
        <v>519</v>
      </c>
      <c r="D39" t="s">
        <v>24</v>
      </c>
      <c r="E39" s="28">
        <v>33511</v>
      </c>
      <c r="F39" s="13">
        <v>496.43195399999996</v>
      </c>
      <c r="G39" s="14">
        <f t="shared" si="0"/>
        <v>1.4500000000000001E-2</v>
      </c>
      <c r="H39" s="15" t="s">
        <v>381</v>
      </c>
      <c r="I39" s="107"/>
    </row>
    <row r="40" spans="1:9" ht="12.75" customHeight="1" x14ac:dyDescent="0.2">
      <c r="A40">
        <f>+MAX($A$8:A39)+1</f>
        <v>32</v>
      </c>
      <c r="B40" t="s">
        <v>199</v>
      </c>
      <c r="C40" t="s">
        <v>25</v>
      </c>
      <c r="D40" t="s">
        <v>14</v>
      </c>
      <c r="E40" s="28">
        <v>54935</v>
      </c>
      <c r="F40" s="13">
        <v>489.19617499999998</v>
      </c>
      <c r="G40" s="14">
        <f t="shared" si="0"/>
        <v>1.43E-2</v>
      </c>
      <c r="H40" s="15" t="s">
        <v>381</v>
      </c>
      <c r="I40" s="107"/>
    </row>
    <row r="41" spans="1:9" ht="12.75" customHeight="1" x14ac:dyDescent="0.2">
      <c r="A41">
        <f>+MAX($A$8:A40)+1</f>
        <v>33</v>
      </c>
      <c r="B41" t="s">
        <v>231</v>
      </c>
      <c r="C41" t="s">
        <v>80</v>
      </c>
      <c r="D41" t="s">
        <v>51</v>
      </c>
      <c r="E41" s="28">
        <v>177233</v>
      </c>
      <c r="F41" s="13">
        <v>466.03417350000001</v>
      </c>
      <c r="G41" s="14">
        <f t="shared" ref="G41:G63" si="2">+ROUND(F41/VLOOKUP("Grand Total",$B$4:$F$302,5,0),4)</f>
        <v>1.3599999999999999E-2</v>
      </c>
      <c r="H41" s="15" t="s">
        <v>381</v>
      </c>
      <c r="I41" s="107"/>
    </row>
    <row r="42" spans="1:9" ht="12.75" customHeight="1" x14ac:dyDescent="0.2">
      <c r="A42">
        <f>+MAX($A$8:A41)+1</f>
        <v>34</v>
      </c>
      <c r="B42" t="s">
        <v>234</v>
      </c>
      <c r="C42" t="s">
        <v>79</v>
      </c>
      <c r="D42" t="s">
        <v>26</v>
      </c>
      <c r="E42" s="28">
        <v>12600</v>
      </c>
      <c r="F42" s="13">
        <v>462.27510000000001</v>
      </c>
      <c r="G42" s="14">
        <f t="shared" si="2"/>
        <v>1.35E-2</v>
      </c>
      <c r="H42" s="15" t="s">
        <v>381</v>
      </c>
      <c r="I42" s="107"/>
    </row>
    <row r="43" spans="1:9" ht="12.75" customHeight="1" x14ac:dyDescent="0.2">
      <c r="A43">
        <f>+MAX($A$8:A42)+1</f>
        <v>35</v>
      </c>
      <c r="B43" t="s">
        <v>254</v>
      </c>
      <c r="C43" t="s">
        <v>573</v>
      </c>
      <c r="D43" t="s">
        <v>10</v>
      </c>
      <c r="E43" s="28">
        <v>145415</v>
      </c>
      <c r="F43" s="13">
        <v>458.2753725</v>
      </c>
      <c r="G43" s="14">
        <f t="shared" si="2"/>
        <v>1.34E-2</v>
      </c>
      <c r="H43" s="15" t="s">
        <v>381</v>
      </c>
      <c r="I43" s="107"/>
    </row>
    <row r="44" spans="1:9" ht="12.75" customHeight="1" x14ac:dyDescent="0.2">
      <c r="A44">
        <f>+MAX($A$8:A43)+1</f>
        <v>36</v>
      </c>
      <c r="B44" t="s">
        <v>516</v>
      </c>
      <c r="C44" t="s">
        <v>517</v>
      </c>
      <c r="D44" t="s">
        <v>43</v>
      </c>
      <c r="E44" s="28">
        <v>39500</v>
      </c>
      <c r="F44" s="13">
        <v>417.69274999999999</v>
      </c>
      <c r="G44" s="14">
        <f t="shared" si="2"/>
        <v>1.2200000000000001E-2</v>
      </c>
      <c r="H44" s="15" t="s">
        <v>381</v>
      </c>
      <c r="I44" s="107"/>
    </row>
    <row r="45" spans="1:9" ht="12.75" customHeight="1" x14ac:dyDescent="0.2">
      <c r="A45">
        <f>+MAX($A$8:A44)+1</f>
        <v>37</v>
      </c>
      <c r="B45" t="s">
        <v>208</v>
      </c>
      <c r="C45" t="s">
        <v>50</v>
      </c>
      <c r="D45" t="s">
        <v>22</v>
      </c>
      <c r="E45" s="28">
        <v>7253</v>
      </c>
      <c r="F45" s="13">
        <v>400.72462350000001</v>
      </c>
      <c r="G45" s="14">
        <f t="shared" si="2"/>
        <v>1.17E-2</v>
      </c>
      <c r="H45" s="15" t="s">
        <v>381</v>
      </c>
      <c r="I45" s="107"/>
    </row>
    <row r="46" spans="1:9" ht="12.75" customHeight="1" x14ac:dyDescent="0.2">
      <c r="A46">
        <f>+MAX($A$8:A45)+1</f>
        <v>38</v>
      </c>
      <c r="B46" t="s">
        <v>316</v>
      </c>
      <c r="C46" t="s">
        <v>67</v>
      </c>
      <c r="D46" t="s">
        <v>18</v>
      </c>
      <c r="E46" s="28">
        <v>217267</v>
      </c>
      <c r="F46" s="13">
        <v>398.57631149999997</v>
      </c>
      <c r="G46" s="14">
        <f t="shared" si="2"/>
        <v>1.17E-2</v>
      </c>
      <c r="H46" s="15" t="s">
        <v>381</v>
      </c>
      <c r="I46" s="107"/>
    </row>
    <row r="47" spans="1:9" ht="12.75" customHeight="1" x14ac:dyDescent="0.2">
      <c r="A47">
        <f>+MAX($A$8:A46)+1</f>
        <v>39</v>
      </c>
      <c r="B47" t="s">
        <v>623</v>
      </c>
      <c r="C47" t="s">
        <v>624</v>
      </c>
      <c r="D47" t="s">
        <v>26</v>
      </c>
      <c r="E47" s="28">
        <v>6043</v>
      </c>
      <c r="F47" s="13">
        <v>395.09134</v>
      </c>
      <c r="G47" s="14">
        <f t="shared" si="2"/>
        <v>1.1599999999999999E-2</v>
      </c>
      <c r="H47" s="15" t="s">
        <v>381</v>
      </c>
      <c r="I47" s="107"/>
    </row>
    <row r="48" spans="1:9" ht="12.75" customHeight="1" x14ac:dyDescent="0.2">
      <c r="A48">
        <f>+MAX($A$8:A47)+1</f>
        <v>40</v>
      </c>
      <c r="B48" t="s">
        <v>574</v>
      </c>
      <c r="C48" t="s">
        <v>490</v>
      </c>
      <c r="D48" t="s">
        <v>22</v>
      </c>
      <c r="E48" s="28">
        <v>120000</v>
      </c>
      <c r="F48" s="13">
        <v>390.06</v>
      </c>
      <c r="G48" s="14">
        <f t="shared" si="2"/>
        <v>1.14E-2</v>
      </c>
      <c r="H48" s="15" t="s">
        <v>381</v>
      </c>
      <c r="I48" s="107"/>
    </row>
    <row r="49" spans="1:9" ht="12.75" customHeight="1" x14ac:dyDescent="0.2">
      <c r="A49">
        <f>+MAX($A$8:A48)+1</f>
        <v>41</v>
      </c>
      <c r="B49" t="s">
        <v>282</v>
      </c>
      <c r="C49" t="s">
        <v>149</v>
      </c>
      <c r="D49" t="s">
        <v>41</v>
      </c>
      <c r="E49" s="28">
        <v>45000</v>
      </c>
      <c r="F49" s="13">
        <v>387.13499999999999</v>
      </c>
      <c r="G49" s="14">
        <f t="shared" si="2"/>
        <v>1.1299999999999999E-2</v>
      </c>
      <c r="H49" s="15" t="s">
        <v>381</v>
      </c>
      <c r="I49" s="107"/>
    </row>
    <row r="50" spans="1:9" ht="12.75" customHeight="1" x14ac:dyDescent="0.2">
      <c r="A50">
        <f>+MAX($A$8:A49)+1</f>
        <v>42</v>
      </c>
      <c r="B50" t="s">
        <v>207</v>
      </c>
      <c r="C50" t="s">
        <v>53</v>
      </c>
      <c r="D50" t="s">
        <v>18</v>
      </c>
      <c r="E50" s="28">
        <v>8912</v>
      </c>
      <c r="F50" s="13">
        <v>385.051872</v>
      </c>
      <c r="G50" s="14">
        <f t="shared" si="2"/>
        <v>1.1299999999999999E-2</v>
      </c>
      <c r="H50" s="15" t="s">
        <v>381</v>
      </c>
      <c r="I50" s="107"/>
    </row>
    <row r="51" spans="1:9" ht="12.75" customHeight="1" x14ac:dyDescent="0.2">
      <c r="A51">
        <f>+MAX($A$8:A50)+1</f>
        <v>43</v>
      </c>
      <c r="B51" t="s">
        <v>324</v>
      </c>
      <c r="C51" t="s">
        <v>73</v>
      </c>
      <c r="D51" t="s">
        <v>28</v>
      </c>
      <c r="E51" s="28">
        <v>934500</v>
      </c>
      <c r="F51" s="13">
        <v>383.14499999999998</v>
      </c>
      <c r="G51" s="14">
        <f t="shared" si="2"/>
        <v>1.12E-2</v>
      </c>
      <c r="H51" s="15" t="s">
        <v>381</v>
      </c>
      <c r="I51" s="107"/>
    </row>
    <row r="52" spans="1:9" ht="12.75" customHeight="1" x14ac:dyDescent="0.2">
      <c r="A52">
        <f>+MAX($A$8:A51)+1</f>
        <v>44</v>
      </c>
      <c r="B52" t="s">
        <v>579</v>
      </c>
      <c r="C52" t="s">
        <v>580</v>
      </c>
      <c r="D52" t="s">
        <v>10</v>
      </c>
      <c r="E52" s="28">
        <v>556534</v>
      </c>
      <c r="F52" s="13">
        <v>380.39098899999999</v>
      </c>
      <c r="G52" s="14">
        <f t="shared" si="2"/>
        <v>1.11E-2</v>
      </c>
      <c r="H52" s="15" t="s">
        <v>381</v>
      </c>
      <c r="I52" s="107"/>
    </row>
    <row r="53" spans="1:9" ht="12.75" customHeight="1" x14ac:dyDescent="0.2">
      <c r="A53">
        <f>+MAX($A$8:A52)+1</f>
        <v>45</v>
      </c>
      <c r="B53" t="s">
        <v>214</v>
      </c>
      <c r="C53" t="s">
        <v>75</v>
      </c>
      <c r="D53" t="s">
        <v>515</v>
      </c>
      <c r="E53" s="28">
        <v>312000</v>
      </c>
      <c r="F53" s="13">
        <v>367.536</v>
      </c>
      <c r="G53" s="14">
        <f t="shared" si="2"/>
        <v>1.0800000000000001E-2</v>
      </c>
      <c r="H53" s="15" t="s">
        <v>381</v>
      </c>
      <c r="I53" s="107"/>
    </row>
    <row r="54" spans="1:9" ht="12.75" customHeight="1" x14ac:dyDescent="0.2">
      <c r="A54">
        <f>+MAX($A$8:A53)+1</f>
        <v>46</v>
      </c>
      <c r="B54" t="s">
        <v>577</v>
      </c>
      <c r="C54" t="s">
        <v>578</v>
      </c>
      <c r="D54" t="s">
        <v>45</v>
      </c>
      <c r="E54" s="28">
        <v>425975</v>
      </c>
      <c r="F54" s="13">
        <v>366.33850000000001</v>
      </c>
      <c r="G54" s="14">
        <f t="shared" si="2"/>
        <v>1.0699999999999999E-2</v>
      </c>
      <c r="H54" s="15" t="s">
        <v>381</v>
      </c>
      <c r="I54" s="107"/>
    </row>
    <row r="55" spans="1:9" ht="12.75" customHeight="1" x14ac:dyDescent="0.2">
      <c r="A55">
        <f>+MAX($A$8:A54)+1</f>
        <v>47</v>
      </c>
      <c r="B55" t="s">
        <v>264</v>
      </c>
      <c r="C55" t="s">
        <v>128</v>
      </c>
      <c r="D55" t="s">
        <v>22</v>
      </c>
      <c r="E55" s="28">
        <v>33330</v>
      </c>
      <c r="F55" s="13">
        <v>366.08005500000002</v>
      </c>
      <c r="G55" s="14">
        <f t="shared" si="2"/>
        <v>1.0699999999999999E-2</v>
      </c>
      <c r="H55" s="15" t="s">
        <v>381</v>
      </c>
      <c r="I55" s="107"/>
    </row>
    <row r="56" spans="1:9" ht="12.75" customHeight="1" x14ac:dyDescent="0.2">
      <c r="A56">
        <f>+MAX($A$8:A55)+1</f>
        <v>48</v>
      </c>
      <c r="B56" t="s">
        <v>250</v>
      </c>
      <c r="C56" t="s">
        <v>115</v>
      </c>
      <c r="D56" t="s">
        <v>36</v>
      </c>
      <c r="E56" s="28">
        <v>180744</v>
      </c>
      <c r="F56" s="13">
        <v>362.12060399999996</v>
      </c>
      <c r="G56" s="14">
        <f t="shared" si="2"/>
        <v>1.06E-2</v>
      </c>
      <c r="H56" s="15" t="s">
        <v>381</v>
      </c>
      <c r="I56" s="107"/>
    </row>
    <row r="57" spans="1:9" ht="12.75" customHeight="1" x14ac:dyDescent="0.2">
      <c r="A57">
        <f>+MAX($A$8:A56)+1</f>
        <v>49</v>
      </c>
      <c r="B57" t="s">
        <v>168</v>
      </c>
      <c r="C57" t="s">
        <v>184</v>
      </c>
      <c r="D57" t="s">
        <v>10</v>
      </c>
      <c r="E57" s="28">
        <v>99372</v>
      </c>
      <c r="F57" s="13">
        <v>358.13668799999999</v>
      </c>
      <c r="G57" s="14">
        <f t="shared" si="2"/>
        <v>1.0500000000000001E-2</v>
      </c>
      <c r="H57" s="15" t="s">
        <v>381</v>
      </c>
      <c r="I57" s="107"/>
    </row>
    <row r="58" spans="1:9" ht="12.75" customHeight="1" x14ac:dyDescent="0.2">
      <c r="A58">
        <f>+MAX($A$8:A57)+1</f>
        <v>50</v>
      </c>
      <c r="B58" t="s">
        <v>220</v>
      </c>
      <c r="C58" t="s">
        <v>29</v>
      </c>
      <c r="D58" t="s">
        <v>10</v>
      </c>
      <c r="E58" s="28">
        <v>62354</v>
      </c>
      <c r="F58" s="13">
        <v>351.64538299999998</v>
      </c>
      <c r="G58" s="14">
        <f t="shared" si="2"/>
        <v>1.03E-2</v>
      </c>
      <c r="H58" s="15" t="s">
        <v>381</v>
      </c>
      <c r="I58" s="107"/>
    </row>
    <row r="59" spans="1:9" ht="12.75" customHeight="1" x14ac:dyDescent="0.2">
      <c r="A59">
        <f>+MAX($A$8:A58)+1</f>
        <v>51</v>
      </c>
      <c r="B59" t="s">
        <v>621</v>
      </c>
      <c r="C59" t="s">
        <v>622</v>
      </c>
      <c r="D59" t="s">
        <v>36</v>
      </c>
      <c r="E59" s="28">
        <v>370000</v>
      </c>
      <c r="F59" s="13">
        <v>345.95</v>
      </c>
      <c r="G59" s="14">
        <f t="shared" si="2"/>
        <v>1.01E-2</v>
      </c>
      <c r="H59" s="15" t="s">
        <v>381</v>
      </c>
      <c r="I59" s="107"/>
    </row>
    <row r="60" spans="1:9" ht="12.75" customHeight="1" x14ac:dyDescent="0.2">
      <c r="A60">
        <f>+MAX($A$8:A59)+1</f>
        <v>52</v>
      </c>
      <c r="B60" t="s">
        <v>217</v>
      </c>
      <c r="C60" t="s">
        <v>65</v>
      </c>
      <c r="D60" t="s">
        <v>34</v>
      </c>
      <c r="E60" s="28">
        <v>65027</v>
      </c>
      <c r="F60" s="13">
        <v>344.41550549999999</v>
      </c>
      <c r="G60" s="14">
        <f t="shared" si="2"/>
        <v>1.01E-2</v>
      </c>
      <c r="H60" s="15" t="s">
        <v>381</v>
      </c>
      <c r="I60" s="107"/>
    </row>
    <row r="61" spans="1:9" ht="12.75" customHeight="1" x14ac:dyDescent="0.2">
      <c r="A61">
        <f>+MAX($A$8:A60)+1</f>
        <v>53</v>
      </c>
      <c r="B61" t="s">
        <v>448</v>
      </c>
      <c r="C61" t="s">
        <v>449</v>
      </c>
      <c r="D61" t="s">
        <v>107</v>
      </c>
      <c r="E61" s="28">
        <v>124820</v>
      </c>
      <c r="F61" s="13">
        <v>336.76436000000001</v>
      </c>
      <c r="G61" s="14">
        <f t="shared" si="2"/>
        <v>9.9000000000000008E-3</v>
      </c>
      <c r="H61" s="15" t="s">
        <v>381</v>
      </c>
      <c r="I61" s="107"/>
    </row>
    <row r="62" spans="1:9" ht="12.75" customHeight="1" x14ac:dyDescent="0.2">
      <c r="A62">
        <f>+MAX($A$8:A61)+1</f>
        <v>54</v>
      </c>
      <c r="B62" s="65" t="s">
        <v>665</v>
      </c>
      <c r="C62" t="s">
        <v>666</v>
      </c>
      <c r="D62" t="s">
        <v>10</v>
      </c>
      <c r="E62" s="28">
        <v>390048</v>
      </c>
      <c r="F62" s="13">
        <v>312.62347199999999</v>
      </c>
      <c r="G62" s="14">
        <f t="shared" si="2"/>
        <v>9.1000000000000004E-3</v>
      </c>
      <c r="H62" s="15" t="s">
        <v>381</v>
      </c>
      <c r="I62" s="107"/>
    </row>
    <row r="63" spans="1:9" ht="12.75" customHeight="1" x14ac:dyDescent="0.2">
      <c r="A63">
        <f>+MAX($A$8:A62)+1</f>
        <v>55</v>
      </c>
      <c r="B63" t="s">
        <v>226</v>
      </c>
      <c r="C63" t="s">
        <v>70</v>
      </c>
      <c r="D63" t="s">
        <v>10</v>
      </c>
      <c r="E63" s="28">
        <v>285366</v>
      </c>
      <c r="F63" s="13">
        <v>309.62211000000002</v>
      </c>
      <c r="G63" s="14">
        <f t="shared" si="2"/>
        <v>9.1000000000000004E-3</v>
      </c>
      <c r="H63" s="15" t="s">
        <v>381</v>
      </c>
      <c r="I63" s="107"/>
    </row>
    <row r="64" spans="1:9" ht="12.75" customHeight="1" x14ac:dyDescent="0.2">
      <c r="A64">
        <f>+MAX($A$8:A63)+1</f>
        <v>56</v>
      </c>
      <c r="B64" t="s">
        <v>40</v>
      </c>
      <c r="C64" t="s">
        <v>42</v>
      </c>
      <c r="D64" t="s">
        <v>10</v>
      </c>
      <c r="E64" s="28">
        <v>189657</v>
      </c>
      <c r="F64" s="13">
        <v>304.68397049999999</v>
      </c>
      <c r="G64" s="14">
        <f t="shared" ref="G64:G66" si="3">+ROUND(F64/VLOOKUP("Grand Total",$B$4:$F$302,5,0),4)</f>
        <v>8.8999999999999999E-3</v>
      </c>
      <c r="H64" s="15" t="s">
        <v>381</v>
      </c>
      <c r="I64" s="107"/>
    </row>
    <row r="65" spans="1:9" ht="12.75" customHeight="1" x14ac:dyDescent="0.2">
      <c r="A65">
        <f>+MAX($A$8:A64)+1</f>
        <v>57</v>
      </c>
      <c r="B65" t="s">
        <v>202</v>
      </c>
      <c r="C65" t="s">
        <v>23</v>
      </c>
      <c r="D65" t="s">
        <v>515</v>
      </c>
      <c r="E65" s="28">
        <v>82338</v>
      </c>
      <c r="F65" s="13">
        <v>278.26127100000002</v>
      </c>
      <c r="G65" s="14">
        <f t="shared" si="3"/>
        <v>8.0999999999999996E-3</v>
      </c>
      <c r="H65" s="15" t="s">
        <v>381</v>
      </c>
      <c r="I65" s="107"/>
    </row>
    <row r="66" spans="1:9" ht="12.75" customHeight="1" x14ac:dyDescent="0.2">
      <c r="A66">
        <f>+MAX($A$8:A65)+1</f>
        <v>58</v>
      </c>
      <c r="B66" t="s">
        <v>216</v>
      </c>
      <c r="C66" t="s">
        <v>59</v>
      </c>
      <c r="D66" t="s">
        <v>22</v>
      </c>
      <c r="E66" s="28">
        <v>26936</v>
      </c>
      <c r="F66" s="13">
        <v>259.04351199999996</v>
      </c>
      <c r="G66" s="14">
        <f t="shared" si="3"/>
        <v>7.6E-3</v>
      </c>
      <c r="H66" s="15" t="s">
        <v>381</v>
      </c>
      <c r="I66" s="107"/>
    </row>
    <row r="67" spans="1:9" ht="12.75" customHeight="1" x14ac:dyDescent="0.2">
      <c r="A67">
        <f>+MAX($A$8:A66)+1</f>
        <v>59</v>
      </c>
      <c r="B67" t="s">
        <v>474</v>
      </c>
      <c r="C67" s="121" t="s">
        <v>570</v>
      </c>
      <c r="D67" t="s">
        <v>38</v>
      </c>
      <c r="E67" s="28">
        <v>250</v>
      </c>
      <c r="F67" s="13">
        <v>0</v>
      </c>
      <c r="G67" s="108" t="s">
        <v>571</v>
      </c>
      <c r="H67" s="15" t="s">
        <v>381</v>
      </c>
      <c r="I67" s="107"/>
    </row>
    <row r="68" spans="1:9" ht="12.75" customHeight="1" x14ac:dyDescent="0.2">
      <c r="B68" s="18" t="s">
        <v>86</v>
      </c>
      <c r="C68" s="18"/>
      <c r="D68" s="18"/>
      <c r="E68" s="29"/>
      <c r="F68" s="19">
        <f>SUM(F9:F67)</f>
        <v>32750.024316499988</v>
      </c>
      <c r="G68" s="20">
        <f>SUM(G9:G67)</f>
        <v>0.95799999999999996</v>
      </c>
      <c r="H68" s="21"/>
      <c r="I68" s="49"/>
    </row>
    <row r="69" spans="1:9" ht="12.75" customHeight="1" x14ac:dyDescent="0.2">
      <c r="F69" s="86"/>
      <c r="G69" s="14"/>
      <c r="H69" s="15"/>
    </row>
    <row r="70" spans="1:9" ht="12.75" customHeight="1" x14ac:dyDescent="0.2">
      <c r="B70" s="16" t="s">
        <v>310</v>
      </c>
      <c r="C70" s="16"/>
      <c r="F70" s="13"/>
      <c r="G70" s="14"/>
      <c r="H70" s="15"/>
    </row>
    <row r="71" spans="1:9" ht="12.75" customHeight="1" x14ac:dyDescent="0.2">
      <c r="A71">
        <f>+MAX($A$8:A70)+1</f>
        <v>60</v>
      </c>
      <c r="B71" t="s">
        <v>294</v>
      </c>
      <c r="C71" t="s">
        <v>161</v>
      </c>
      <c r="D71" s="65" t="s">
        <v>352</v>
      </c>
      <c r="E71" s="28">
        <v>8600</v>
      </c>
      <c r="F71" s="13">
        <v>0</v>
      </c>
      <c r="G71" s="108" t="s">
        <v>571</v>
      </c>
      <c r="H71" s="15" t="s">
        <v>381</v>
      </c>
    </row>
    <row r="72" spans="1:9" ht="12.75" customHeight="1" x14ac:dyDescent="0.2">
      <c r="A72">
        <f>+MAX($A$8:A71)+1</f>
        <v>61</v>
      </c>
      <c r="B72" s="65" t="s">
        <v>241</v>
      </c>
      <c r="C72" s="65" t="s">
        <v>91</v>
      </c>
      <c r="D72" t="s">
        <v>443</v>
      </c>
      <c r="E72" s="28">
        <v>200000</v>
      </c>
      <c r="F72" s="13">
        <v>0</v>
      </c>
      <c r="G72" s="108" t="s">
        <v>571</v>
      </c>
      <c r="H72" s="15" t="s">
        <v>381</v>
      </c>
    </row>
    <row r="73" spans="1:9" ht="12.75" customHeight="1" x14ac:dyDescent="0.2">
      <c r="B73" s="18" t="s">
        <v>86</v>
      </c>
      <c r="C73" s="18"/>
      <c r="D73" s="18"/>
      <c r="E73" s="29"/>
      <c r="F73" s="19">
        <f>SUM(F71:F72)</f>
        <v>0</v>
      </c>
      <c r="G73" s="51" t="s">
        <v>571</v>
      </c>
      <c r="H73" s="21"/>
      <c r="I73" s="35"/>
    </row>
    <row r="74" spans="1:9" ht="12.75" customHeight="1" x14ac:dyDescent="0.2">
      <c r="F74" s="13"/>
      <c r="G74" s="14"/>
      <c r="H74" s="15"/>
    </row>
    <row r="75" spans="1:9" ht="12.75" customHeight="1" x14ac:dyDescent="0.2">
      <c r="A75" s="95" t="s">
        <v>380</v>
      </c>
      <c r="B75" s="16" t="s">
        <v>94</v>
      </c>
      <c r="C75" s="16"/>
      <c r="F75" s="13">
        <v>1640.1435405000002</v>
      </c>
      <c r="G75" s="14">
        <f>+ROUND(F75/VLOOKUP("Grand Total",$B$4:$F$302,5,0),4)</f>
        <v>4.8000000000000001E-2</v>
      </c>
      <c r="H75" s="15">
        <v>43101</v>
      </c>
    </row>
    <row r="76" spans="1:9" ht="12.75" customHeight="1" x14ac:dyDescent="0.2">
      <c r="B76" s="18" t="s">
        <v>86</v>
      </c>
      <c r="C76" s="18"/>
      <c r="D76" s="18"/>
      <c r="E76" s="29"/>
      <c r="F76" s="19">
        <f>SUM(F75)</f>
        <v>1640.1435405000002</v>
      </c>
      <c r="G76" s="20">
        <f>SUM(G75)</f>
        <v>4.8000000000000001E-2</v>
      </c>
      <c r="H76" s="21"/>
      <c r="I76" s="49"/>
    </row>
    <row r="77" spans="1:9" ht="12.75" customHeight="1" x14ac:dyDescent="0.2">
      <c r="F77" s="13"/>
      <c r="G77" s="14"/>
      <c r="H77" s="15"/>
    </row>
    <row r="78" spans="1:9" ht="12.75" customHeight="1" x14ac:dyDescent="0.2">
      <c r="B78" s="16" t="s">
        <v>95</v>
      </c>
      <c r="C78" s="16"/>
      <c r="F78" s="13"/>
      <c r="G78" s="14"/>
      <c r="H78" s="15"/>
    </row>
    <row r="79" spans="1:9" ht="12.75" customHeight="1" x14ac:dyDescent="0.2">
      <c r="B79" s="16" t="s">
        <v>96</v>
      </c>
      <c r="C79" s="16"/>
      <c r="F79" s="13">
        <v>-209.95034929998656</v>
      </c>
      <c r="G79" s="45">
        <f>+ROUND(F79/VLOOKUP("Grand Total",$B$4:$F$302,5,0),4)+0.01%</f>
        <v>-6.0000000000000001E-3</v>
      </c>
      <c r="H79" s="15"/>
    </row>
    <row r="80" spans="1:9" ht="12.75" customHeight="1" x14ac:dyDescent="0.2">
      <c r="B80" s="18" t="s">
        <v>86</v>
      </c>
      <c r="C80" s="18"/>
      <c r="D80" s="18"/>
      <c r="E80" s="29"/>
      <c r="F80" s="19">
        <f>SUM(F79)</f>
        <v>-209.95034929998656</v>
      </c>
      <c r="G80" s="20">
        <f>SUM(G79)</f>
        <v>-6.0000000000000001E-3</v>
      </c>
      <c r="H80" s="21"/>
      <c r="I80" s="49"/>
    </row>
    <row r="81" spans="2:9" ht="12.75" customHeight="1" x14ac:dyDescent="0.2">
      <c r="B81" s="22" t="s">
        <v>97</v>
      </c>
      <c r="C81" s="22"/>
      <c r="D81" s="22"/>
      <c r="E81" s="30"/>
      <c r="F81" s="23">
        <f>+SUMIF($B$5:B80,"Total",$F$5:F80)</f>
        <v>34180.217507699999</v>
      </c>
      <c r="G81" s="24">
        <f>+SUMIF($B$5:B80,"Total",$G$5:G80)</f>
        <v>1</v>
      </c>
      <c r="H81" s="25"/>
      <c r="I81" s="35"/>
    </row>
    <row r="82" spans="2:9" ht="12.75" customHeight="1" x14ac:dyDescent="0.2"/>
    <row r="83" spans="2:9" ht="12.75" customHeight="1" x14ac:dyDescent="0.2">
      <c r="B83" s="16" t="s">
        <v>189</v>
      </c>
    </row>
    <row r="84" spans="2:9" ht="12.75" customHeight="1" x14ac:dyDescent="0.2">
      <c r="B84" s="16" t="s">
        <v>190</v>
      </c>
      <c r="C84" s="16"/>
    </row>
    <row r="85" spans="2:9" ht="12.75" customHeight="1" x14ac:dyDescent="0.2">
      <c r="B85" s="16" t="s">
        <v>191</v>
      </c>
      <c r="C85" s="16"/>
    </row>
    <row r="86" spans="2:9" ht="12.75" customHeight="1" x14ac:dyDescent="0.2">
      <c r="B86" s="16" t="s">
        <v>192</v>
      </c>
      <c r="C86" s="16"/>
    </row>
    <row r="87" spans="2:9" ht="12.75" customHeight="1" x14ac:dyDescent="0.2">
      <c r="B87" s="53"/>
      <c r="C87" s="16"/>
    </row>
    <row r="88" spans="2:9" ht="12.75" customHeight="1" x14ac:dyDescent="0.2">
      <c r="B88" s="16"/>
      <c r="C88" s="16"/>
    </row>
    <row r="89" spans="2:9" ht="12.75" customHeight="1" x14ac:dyDescent="0.2"/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spans="9:9" ht="12.75" customHeight="1" x14ac:dyDescent="0.2"/>
    <row r="114" spans="9:9" ht="12.75" customHeight="1" x14ac:dyDescent="0.2">
      <c r="I114" s="33" t="str">
        <f>IFERROR(IF(A114="CBLO",VLOOKUP($A$1&amp;A114,#REF!,23,0),IF(VLOOKUP($C114,#REF!,17,0)="","",VLOOKUP(C114,#REF!,17,0))),"")</f>
        <v/>
      </c>
    </row>
    <row r="115" spans="9:9" ht="12.75" customHeight="1" x14ac:dyDescent="0.2">
      <c r="I115" s="33" t="str">
        <f>IFERROR(IF(A115="CBLO",VLOOKUP($A$1&amp;A115,#REF!,23,0),IF(VLOOKUP($C115,#REF!,17,0)="","",VLOOKUP(C115,#REF!,17,0))),"")</f>
        <v/>
      </c>
    </row>
    <row r="116" spans="9:9" ht="12.75" customHeight="1" x14ac:dyDescent="0.2">
      <c r="I116" s="33" t="str">
        <f>IFERROR(IF(A116="CBLO",VLOOKUP($A$1&amp;A116,#REF!,23,0),IF(VLOOKUP($C116,#REF!,17,0)="","",VLOOKUP(C116,#REF!,17,0))),"")</f>
        <v/>
      </c>
    </row>
    <row r="117" spans="9:9" ht="12.75" customHeight="1" x14ac:dyDescent="0.2">
      <c r="I117" s="33" t="str">
        <f>IFERROR(IF(A117="CBLO",VLOOKUP($A$1&amp;A117,#REF!,23,0),IF(VLOOKUP($C117,#REF!,17,0)="","",VLOOKUP(C117,#REF!,17,0))),"")</f>
        <v/>
      </c>
    </row>
    <row r="118" spans="9:9" ht="12.75" customHeight="1" x14ac:dyDescent="0.2">
      <c r="I118" s="33" t="str">
        <f>IFERROR(IF(A118="CBLO",VLOOKUP($A$1&amp;A118,#REF!,23,0),IF(VLOOKUP($C118,#REF!,17,0)="","",VLOOKUP(C118,#REF!,17,0))),"")</f>
        <v/>
      </c>
    </row>
    <row r="119" spans="9:9" ht="12.75" customHeight="1" x14ac:dyDescent="0.2">
      <c r="I119" s="33" t="str">
        <f>IFERROR(IF(A119="CBLO",VLOOKUP($A$1&amp;A119,#REF!,23,0),IF(VLOOKUP($C119,#REF!,17,0)="","",VLOOKUP(C119,#REF!,17,0))),"")</f>
        <v/>
      </c>
    </row>
    <row r="120" spans="9:9" ht="12.75" customHeight="1" x14ac:dyDescent="0.2"/>
    <row r="121" spans="9:9" ht="12.75" customHeight="1" x14ac:dyDescent="0.2"/>
    <row r="122" spans="9:9" ht="12.75" customHeight="1" x14ac:dyDescent="0.2"/>
    <row r="123" spans="9:9" ht="12.75" customHeight="1" x14ac:dyDescent="0.2">
      <c r="I123" s="33" t="str">
        <f>IFERROR(IF(A123="CBLO",VLOOKUP($A$1&amp;A123,#REF!,23,0),IF(VLOOKUP($C123,#REF!,17,0)="","",VLOOKUP(C123,#REF!,17,0))),"")</f>
        <v/>
      </c>
    </row>
    <row r="124" spans="9:9" ht="12.75" customHeight="1" x14ac:dyDescent="0.2"/>
    <row r="125" spans="9:9" ht="12.75" customHeight="1" x14ac:dyDescent="0.2"/>
    <row r="126" spans="9:9" ht="12.75" customHeight="1" x14ac:dyDescent="0.2"/>
    <row r="127" spans="9:9" x14ac:dyDescent="0.2">
      <c r="I127" s="33" t="str">
        <f>IFERROR(IF(A127="CBLO",VLOOKUP($A$1&amp;A127,#REF!,23,0),IF(VLOOKUP($C127,#REF!,17,0)="","",VLOOKUP(C127,#REF!,17,0))),"")</f>
        <v/>
      </c>
    </row>
    <row r="128" spans="9:9" x14ac:dyDescent="0.2">
      <c r="I128" s="33" t="str">
        <f>IFERROR(IF(A128="CBLO",VLOOKUP($A$1&amp;A128,#REF!,23,0),IF(VLOOKUP($C128,#REF!,17,0)="","",VLOOKUP(C128,#REF!,17,0))),"")</f>
        <v/>
      </c>
    </row>
    <row r="133" spans="9:9" x14ac:dyDescent="0.2">
      <c r="I133" s="33" t="str">
        <f>IFERROR(IF(A133="CBLO",VLOOKUP($A$1&amp;A133,#REF!,23,0),IF(VLOOKUP($C133,#REF!,17,0)="","",VLOOKUP(C133,#REF!,17,0))),"")</f>
        <v/>
      </c>
    </row>
    <row r="134" spans="9:9" x14ac:dyDescent="0.2">
      <c r="I134" s="33" t="str">
        <f>IFERROR(IF(A134="CBLO",VLOOKUP($A$1&amp;A134,#REF!,23,0),IF(VLOOKUP($C134,#REF!,17,0)="","",VLOOKUP(C134,#REF!,17,0))),"")</f>
        <v/>
      </c>
    </row>
    <row r="138" spans="9:9" x14ac:dyDescent="0.2">
      <c r="I138" s="33" t="str">
        <f>IFERROR(IF(A138="CBLO",VLOOKUP($A$1&amp;A138,#REF!,23,0),IF(VLOOKUP($C138,#REF!,17,0)="","",VLOOKUP(C138,#REF!,17,0))),"")</f>
        <v/>
      </c>
    </row>
    <row r="142" spans="9:9" x14ac:dyDescent="0.2">
      <c r="I142" s="33" t="str">
        <f>IFERROR(IF(A142="CBLO",VLOOKUP($A$1&amp;A142,#REF!,23,0),IF(VLOOKUP($C142,#REF!,17,0)="","",VLOOKUP(C142,#REF!,17,0))),"")</f>
        <v/>
      </c>
    </row>
  </sheetData>
  <sheetProtection password="EDB3" sheet="1" objects="1" scenarios="1"/>
  <sortState ref="J8:K23">
    <sortCondition descending="1" ref="K10:K25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71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  <col min="18" max="18" width="16.7109375" bestFit="1" customWidth="1"/>
  </cols>
  <sheetData>
    <row r="1" spans="1:17" ht="18.75" x14ac:dyDescent="0.2">
      <c r="A1" s="94" t="s">
        <v>387</v>
      </c>
      <c r="B1" s="123" t="s">
        <v>162</v>
      </c>
      <c r="C1" s="124"/>
      <c r="D1" s="124"/>
      <c r="E1" s="124"/>
      <c r="F1" s="124"/>
      <c r="G1" s="124"/>
      <c r="H1" s="124"/>
      <c r="I1" s="125"/>
    </row>
    <row r="2" spans="1:17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122" t="s">
        <v>797</v>
      </c>
      <c r="I4" s="32" t="s">
        <v>7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9</v>
      </c>
      <c r="C7" s="16"/>
      <c r="F7" s="13"/>
      <c r="G7" s="14"/>
      <c r="H7" s="14"/>
      <c r="I7" s="15"/>
    </row>
    <row r="8" spans="1:17" ht="12.75" customHeight="1" x14ac:dyDescent="0.2">
      <c r="B8" s="16" t="s">
        <v>417</v>
      </c>
      <c r="C8" s="16"/>
      <c r="F8" s="13"/>
      <c r="G8" s="14"/>
      <c r="H8" s="14"/>
      <c r="I8" s="60"/>
      <c r="K8" s="17" t="s">
        <v>4</v>
      </c>
      <c r="L8" s="102" t="s">
        <v>12</v>
      </c>
      <c r="Q8" s="65"/>
    </row>
    <row r="9" spans="1:17" s="65" customFormat="1" ht="12.75" customHeight="1" x14ac:dyDescent="0.2">
      <c r="A9" s="77">
        <f>+MAX($A$8:A8)+1</f>
        <v>1</v>
      </c>
      <c r="B9" s="77" t="s">
        <v>234</v>
      </c>
      <c r="C9" s="65" t="s">
        <v>79</v>
      </c>
      <c r="D9" s="77" t="s">
        <v>26</v>
      </c>
      <c r="E9" s="74">
        <v>9750</v>
      </c>
      <c r="F9" s="80">
        <v>357.712875</v>
      </c>
      <c r="G9" s="76">
        <f t="shared" ref="G9:G43" si="0">+ROUND(F9/VLOOKUP("Grand Total",$B$4:$F$301,5,0),4)</f>
        <v>1.95E-2</v>
      </c>
      <c r="H9" s="76"/>
      <c r="I9" s="91" t="s">
        <v>381</v>
      </c>
      <c r="J9" s="101"/>
      <c r="K9" s="65" t="s">
        <v>24</v>
      </c>
      <c r="L9" s="103">
        <f t="shared" ref="L9:L36" si="1">SUMIFS($G$5:$G$317,$D$5:$D$317,K9)</f>
        <v>0.11290000000000001</v>
      </c>
    </row>
    <row r="10" spans="1:17" s="65" customFormat="1" ht="12.75" customHeight="1" x14ac:dyDescent="0.2">
      <c r="A10" s="77">
        <f>+MAX($A$8:A9)+1</f>
        <v>2</v>
      </c>
      <c r="B10" s="77" t="s">
        <v>194</v>
      </c>
      <c r="C10" s="77" t="s">
        <v>13</v>
      </c>
      <c r="D10" s="77" t="s">
        <v>10</v>
      </c>
      <c r="E10" s="74">
        <v>15401</v>
      </c>
      <c r="F10" s="80">
        <v>288.36832399999997</v>
      </c>
      <c r="G10" s="76">
        <f t="shared" si="0"/>
        <v>1.5699999999999999E-2</v>
      </c>
      <c r="H10" s="76"/>
      <c r="I10" s="91" t="s">
        <v>381</v>
      </c>
      <c r="J10" s="101"/>
      <c r="K10" s="90" t="s">
        <v>20</v>
      </c>
      <c r="L10" s="103">
        <f t="shared" si="1"/>
        <v>9.7000000000000003E-2</v>
      </c>
    </row>
    <row r="11" spans="1:17" s="65" customFormat="1" ht="12.75" customHeight="1" x14ac:dyDescent="0.2">
      <c r="A11" s="77">
        <f>+MAX($A$8:A10)+1</f>
        <v>3</v>
      </c>
      <c r="B11" s="77" t="s">
        <v>212</v>
      </c>
      <c r="C11" s="65" t="s">
        <v>49</v>
      </c>
      <c r="D11" s="77" t="s">
        <v>20</v>
      </c>
      <c r="E11" s="74">
        <v>2600</v>
      </c>
      <c r="F11" s="80">
        <v>252.96829999999997</v>
      </c>
      <c r="G11" s="76">
        <f t="shared" si="0"/>
        <v>1.38E-2</v>
      </c>
      <c r="H11" s="76"/>
      <c r="I11" s="91" t="s">
        <v>381</v>
      </c>
      <c r="J11" s="101"/>
      <c r="K11" s="14" t="s">
        <v>30</v>
      </c>
      <c r="L11" s="103">
        <f t="shared" si="1"/>
        <v>7.5600000000000001E-2</v>
      </c>
    </row>
    <row r="12" spans="1:17" s="65" customFormat="1" ht="12.75" customHeight="1" x14ac:dyDescent="0.2">
      <c r="A12" s="77">
        <f>+MAX($A$8:A11)+1</f>
        <v>4</v>
      </c>
      <c r="B12" s="77" t="s">
        <v>253</v>
      </c>
      <c r="C12" s="65" t="s">
        <v>116</v>
      </c>
      <c r="D12" s="77" t="s">
        <v>36</v>
      </c>
      <c r="E12" s="74">
        <v>142500</v>
      </c>
      <c r="F12" s="80">
        <v>252.22499999999999</v>
      </c>
      <c r="G12" s="76">
        <f t="shared" si="0"/>
        <v>1.38E-2</v>
      </c>
      <c r="H12" s="76"/>
      <c r="I12" s="91" t="s">
        <v>381</v>
      </c>
      <c r="J12" s="101"/>
      <c r="K12" s="14" t="s">
        <v>14</v>
      </c>
      <c r="L12" s="103">
        <f t="shared" si="1"/>
        <v>6.5099999999999991E-2</v>
      </c>
    </row>
    <row r="13" spans="1:17" s="65" customFormat="1" ht="12.75" customHeight="1" x14ac:dyDescent="0.2">
      <c r="A13" s="77">
        <f>+MAX($A$8:A12)+1</f>
        <v>5</v>
      </c>
      <c r="B13" s="77" t="s">
        <v>231</v>
      </c>
      <c r="C13" s="65" t="s">
        <v>80</v>
      </c>
      <c r="D13" s="77" t="s">
        <v>51</v>
      </c>
      <c r="E13" s="74">
        <v>95507</v>
      </c>
      <c r="F13" s="80">
        <v>251.13565649999998</v>
      </c>
      <c r="G13" s="76">
        <f t="shared" si="0"/>
        <v>1.37E-2</v>
      </c>
      <c r="H13" s="76"/>
      <c r="I13" s="91" t="s">
        <v>381</v>
      </c>
      <c r="J13" s="101"/>
      <c r="K13" s="90" t="s">
        <v>26</v>
      </c>
      <c r="L13" s="103">
        <f t="shared" si="1"/>
        <v>6.4899999999999999E-2</v>
      </c>
    </row>
    <row r="14" spans="1:17" s="65" customFormat="1" ht="12.75" customHeight="1" x14ac:dyDescent="0.2">
      <c r="A14" s="77">
        <f>+MAX($A$8:A13)+1</f>
        <v>6</v>
      </c>
      <c r="B14" s="77" t="s">
        <v>197</v>
      </c>
      <c r="C14" s="65" t="s">
        <v>11</v>
      </c>
      <c r="D14" s="77" t="s">
        <v>10</v>
      </c>
      <c r="E14" s="74">
        <v>78800</v>
      </c>
      <c r="F14" s="80">
        <v>247.43199999999999</v>
      </c>
      <c r="G14" s="76">
        <f t="shared" si="0"/>
        <v>1.35E-2</v>
      </c>
      <c r="H14" s="76"/>
      <c r="I14" s="91" t="s">
        <v>381</v>
      </c>
      <c r="J14" s="101"/>
      <c r="K14" s="65" t="s">
        <v>10</v>
      </c>
      <c r="L14" s="103">
        <f t="shared" si="1"/>
        <v>6.4799999999999996E-2</v>
      </c>
    </row>
    <row r="15" spans="1:17" s="65" customFormat="1" ht="12.75" customHeight="1" x14ac:dyDescent="0.2">
      <c r="A15" s="77">
        <f>+MAX($A$8:A14)+1</f>
        <v>7</v>
      </c>
      <c r="B15" s="77" t="s">
        <v>16</v>
      </c>
      <c r="C15" s="77" t="s">
        <v>17</v>
      </c>
      <c r="D15" s="77" t="s">
        <v>10</v>
      </c>
      <c r="E15" s="74">
        <v>72731</v>
      </c>
      <c r="F15" s="80">
        <v>225.39336899999998</v>
      </c>
      <c r="G15" s="76">
        <f t="shared" si="0"/>
        <v>1.23E-2</v>
      </c>
      <c r="H15" s="76"/>
      <c r="I15" s="91" t="s">
        <v>381</v>
      </c>
      <c r="J15" s="101"/>
      <c r="K15" s="14" t="s">
        <v>22</v>
      </c>
      <c r="L15" s="103">
        <f t="shared" si="1"/>
        <v>5.3100000000000001E-2</v>
      </c>
    </row>
    <row r="16" spans="1:17" s="65" customFormat="1" ht="12.75" customHeight="1" x14ac:dyDescent="0.2">
      <c r="A16" s="77">
        <f>+MAX($A$8:A15)+1</f>
        <v>8</v>
      </c>
      <c r="B16" s="77" t="s">
        <v>218</v>
      </c>
      <c r="C16" s="77" t="s">
        <v>61</v>
      </c>
      <c r="D16" s="77" t="s">
        <v>22</v>
      </c>
      <c r="E16" s="74">
        <v>31505</v>
      </c>
      <c r="F16" s="80">
        <v>216.73864750000001</v>
      </c>
      <c r="G16" s="76">
        <f t="shared" si="0"/>
        <v>1.18E-2</v>
      </c>
      <c r="H16" s="76"/>
      <c r="I16" s="91" t="s">
        <v>381</v>
      </c>
      <c r="J16" s="101"/>
      <c r="K16" s="65" t="s">
        <v>36</v>
      </c>
      <c r="L16" s="103">
        <f t="shared" si="1"/>
        <v>4.7399999999999998E-2</v>
      </c>
    </row>
    <row r="17" spans="1:12" s="65" customFormat="1" ht="12.75" customHeight="1" x14ac:dyDescent="0.2">
      <c r="A17" s="77">
        <f>+MAX($A$8:A16)+1</f>
        <v>9</v>
      </c>
      <c r="B17" s="77" t="s">
        <v>228</v>
      </c>
      <c r="C17" s="65" t="s">
        <v>71</v>
      </c>
      <c r="D17" s="77" t="s">
        <v>28</v>
      </c>
      <c r="E17" s="74">
        <v>16925</v>
      </c>
      <c r="F17" s="80">
        <v>212.95881249999999</v>
      </c>
      <c r="G17" s="76">
        <f t="shared" si="0"/>
        <v>1.1599999999999999E-2</v>
      </c>
      <c r="H17" s="76"/>
      <c r="I17" s="91" t="s">
        <v>381</v>
      </c>
      <c r="J17" s="101"/>
      <c r="K17" s="14" t="s">
        <v>18</v>
      </c>
      <c r="L17" s="103">
        <f t="shared" si="1"/>
        <v>3.9199999999999999E-2</v>
      </c>
    </row>
    <row r="18" spans="1:12" s="65" customFormat="1" ht="12.75" customHeight="1" x14ac:dyDescent="0.2">
      <c r="A18" s="77">
        <f>+MAX($A$8:A17)+1</f>
        <v>10</v>
      </c>
      <c r="B18" s="77" t="s">
        <v>251</v>
      </c>
      <c r="C18" s="65" t="s">
        <v>113</v>
      </c>
      <c r="D18" s="77" t="s">
        <v>20</v>
      </c>
      <c r="E18" s="74">
        <v>5412</v>
      </c>
      <c r="F18" s="80">
        <v>204.852318</v>
      </c>
      <c r="G18" s="76">
        <f t="shared" si="0"/>
        <v>1.12E-2</v>
      </c>
      <c r="H18" s="76"/>
      <c r="I18" s="91" t="s">
        <v>381</v>
      </c>
      <c r="J18" s="101"/>
      <c r="K18" s="14" t="s">
        <v>325</v>
      </c>
      <c r="L18" s="103">
        <f t="shared" si="1"/>
        <v>3.3399999999999999E-2</v>
      </c>
    </row>
    <row r="19" spans="1:12" s="65" customFormat="1" ht="12.75" customHeight="1" x14ac:dyDescent="0.2">
      <c r="A19" s="77">
        <f>+MAX($A$8:A18)+1</f>
        <v>11</v>
      </c>
      <c r="B19" s="77" t="s">
        <v>195</v>
      </c>
      <c r="C19" s="65" t="s">
        <v>15</v>
      </c>
      <c r="D19" s="77" t="s">
        <v>14</v>
      </c>
      <c r="E19" s="74">
        <v>18800</v>
      </c>
      <c r="F19" s="80">
        <v>195.90539999999999</v>
      </c>
      <c r="G19" s="76">
        <f t="shared" si="0"/>
        <v>1.0699999999999999E-2</v>
      </c>
      <c r="H19" s="76"/>
      <c r="I19" s="91" t="s">
        <v>381</v>
      </c>
      <c r="J19" s="101"/>
      <c r="K19" s="14" t="s">
        <v>465</v>
      </c>
      <c r="L19" s="103">
        <f t="shared" si="1"/>
        <v>2.1700000000000001E-2</v>
      </c>
    </row>
    <row r="20" spans="1:12" s="65" customFormat="1" ht="12.75" customHeight="1" x14ac:dyDescent="0.2">
      <c r="A20" s="77">
        <f>+MAX($A$8:A19)+1</f>
        <v>12</v>
      </c>
      <c r="B20" s="77" t="s">
        <v>204</v>
      </c>
      <c r="C20" s="65" t="s">
        <v>46</v>
      </c>
      <c r="D20" s="77" t="s">
        <v>26</v>
      </c>
      <c r="E20" s="74">
        <v>74283</v>
      </c>
      <c r="F20" s="80">
        <v>195.54999749999999</v>
      </c>
      <c r="G20" s="76">
        <f t="shared" si="0"/>
        <v>1.0699999999999999E-2</v>
      </c>
      <c r="H20" s="76"/>
      <c r="I20" s="91" t="s">
        <v>381</v>
      </c>
      <c r="J20" s="101"/>
      <c r="K20" s="14" t="s">
        <v>559</v>
      </c>
      <c r="L20" s="103">
        <f t="shared" si="1"/>
        <v>1.8100000000000002E-2</v>
      </c>
    </row>
    <row r="21" spans="1:12" s="65" customFormat="1" ht="12.75" customHeight="1" x14ac:dyDescent="0.2">
      <c r="A21" s="77">
        <f>+MAX($A$8:A20)+1</f>
        <v>13</v>
      </c>
      <c r="B21" s="77" t="s">
        <v>206</v>
      </c>
      <c r="C21" s="65" t="s">
        <v>48</v>
      </c>
      <c r="D21" s="77" t="s">
        <v>26</v>
      </c>
      <c r="E21" s="74">
        <v>4131</v>
      </c>
      <c r="F21" s="80">
        <v>194.5391175</v>
      </c>
      <c r="G21" s="76">
        <f t="shared" si="0"/>
        <v>1.06E-2</v>
      </c>
      <c r="H21" s="76"/>
      <c r="I21" s="91" t="s">
        <v>381</v>
      </c>
      <c r="J21" s="101"/>
      <c r="K21" s="14" t="s">
        <v>369</v>
      </c>
      <c r="L21" s="103">
        <f t="shared" si="1"/>
        <v>1.7599999999999998E-2</v>
      </c>
    </row>
    <row r="22" spans="1:12" s="65" customFormat="1" ht="12.75" customHeight="1" x14ac:dyDescent="0.2">
      <c r="A22" s="77">
        <f>+MAX($A$8:A21)+1</f>
        <v>14</v>
      </c>
      <c r="B22" s="77" t="s">
        <v>219</v>
      </c>
      <c r="C22" s="65" t="s">
        <v>19</v>
      </c>
      <c r="D22" s="77" t="s">
        <v>14</v>
      </c>
      <c r="E22" s="74">
        <v>6945</v>
      </c>
      <c r="F22" s="80">
        <v>187.59834000000001</v>
      </c>
      <c r="G22" s="76">
        <f t="shared" si="0"/>
        <v>1.0200000000000001E-2</v>
      </c>
      <c r="H22" s="76"/>
      <c r="I22" s="91" t="s">
        <v>381</v>
      </c>
      <c r="J22" s="101"/>
      <c r="K22" s="14" t="s">
        <v>176</v>
      </c>
      <c r="L22" s="103">
        <f t="shared" si="1"/>
        <v>1.6400000000000001E-2</v>
      </c>
    </row>
    <row r="23" spans="1:12" s="65" customFormat="1" ht="12.75" customHeight="1" x14ac:dyDescent="0.2">
      <c r="A23" s="77">
        <f>+MAX($A$8:A22)+1</f>
        <v>15</v>
      </c>
      <c r="B23" s="77" t="s">
        <v>250</v>
      </c>
      <c r="C23" s="65" t="s">
        <v>115</v>
      </c>
      <c r="D23" s="77" t="s">
        <v>36</v>
      </c>
      <c r="E23" s="74">
        <v>93429</v>
      </c>
      <c r="F23" s="80">
        <v>187.1850015</v>
      </c>
      <c r="G23" s="76">
        <f t="shared" si="0"/>
        <v>1.0200000000000001E-2</v>
      </c>
      <c r="H23" s="76"/>
      <c r="I23" s="91" t="s">
        <v>381</v>
      </c>
      <c r="J23" s="101"/>
      <c r="K23" s="14" t="s">
        <v>297</v>
      </c>
      <c r="L23" s="103">
        <f t="shared" si="1"/>
        <v>1.6400000000000001E-2</v>
      </c>
    </row>
    <row r="24" spans="1:12" s="65" customFormat="1" ht="12.75" customHeight="1" x14ac:dyDescent="0.2">
      <c r="A24" s="77">
        <f>+MAX($A$8:A23)+1</f>
        <v>16</v>
      </c>
      <c r="B24" s="77" t="s">
        <v>623</v>
      </c>
      <c r="C24" s="65" t="s">
        <v>624</v>
      </c>
      <c r="D24" s="77" t="s">
        <v>26</v>
      </c>
      <c r="E24" s="74">
        <v>2758</v>
      </c>
      <c r="F24" s="80">
        <v>180.31804</v>
      </c>
      <c r="G24" s="76">
        <f t="shared" si="0"/>
        <v>9.7999999999999997E-3</v>
      </c>
      <c r="H24" s="76"/>
      <c r="I24" s="91" t="s">
        <v>381</v>
      </c>
      <c r="J24" s="101"/>
      <c r="K24" s="65" t="s">
        <v>51</v>
      </c>
      <c r="L24" s="103">
        <f t="shared" si="1"/>
        <v>1.55E-2</v>
      </c>
    </row>
    <row r="25" spans="1:12" s="65" customFormat="1" ht="12.75" customHeight="1" x14ac:dyDescent="0.2">
      <c r="A25" s="77">
        <f>+MAX($A$8:A24)+1</f>
        <v>17</v>
      </c>
      <c r="B25" s="77" t="s">
        <v>242</v>
      </c>
      <c r="C25" s="65" t="s">
        <v>102</v>
      </c>
      <c r="D25" s="77" t="s">
        <v>26</v>
      </c>
      <c r="E25" s="74">
        <v>12321</v>
      </c>
      <c r="F25" s="80">
        <v>168.53279850000001</v>
      </c>
      <c r="G25" s="76">
        <f t="shared" si="0"/>
        <v>9.1999999999999998E-3</v>
      </c>
      <c r="H25" s="76"/>
      <c r="I25" s="91" t="s">
        <v>381</v>
      </c>
      <c r="J25" s="101"/>
      <c r="K25" s="14" t="s">
        <v>103</v>
      </c>
      <c r="L25" s="103">
        <f t="shared" si="1"/>
        <v>1.52E-2</v>
      </c>
    </row>
    <row r="26" spans="1:12" s="65" customFormat="1" ht="12.75" customHeight="1" x14ac:dyDescent="0.2">
      <c r="A26" s="77">
        <f>+MAX($A$8:A25)+1</f>
        <v>18</v>
      </c>
      <c r="B26" s="77" t="s">
        <v>199</v>
      </c>
      <c r="C26" s="65" t="s">
        <v>25</v>
      </c>
      <c r="D26" s="77" t="s">
        <v>14</v>
      </c>
      <c r="E26" s="74">
        <v>18395</v>
      </c>
      <c r="F26" s="80">
        <v>163.80747500000001</v>
      </c>
      <c r="G26" s="76">
        <f t="shared" si="0"/>
        <v>8.8999999999999999E-3</v>
      </c>
      <c r="H26" s="76"/>
      <c r="I26" s="91" t="s">
        <v>381</v>
      </c>
      <c r="J26" s="101"/>
      <c r="K26" s="14" t="s">
        <v>28</v>
      </c>
      <c r="L26" s="103">
        <f t="shared" si="1"/>
        <v>1.1599999999999999E-2</v>
      </c>
    </row>
    <row r="27" spans="1:12" s="65" customFormat="1" ht="12.75" customHeight="1" x14ac:dyDescent="0.2">
      <c r="A27" s="77">
        <f>+MAX($A$8:A26)+1</f>
        <v>19</v>
      </c>
      <c r="B27" s="77" t="s">
        <v>200</v>
      </c>
      <c r="C27" s="65" t="s">
        <v>27</v>
      </c>
      <c r="D27" s="77" t="s">
        <v>24</v>
      </c>
      <c r="E27" s="74">
        <v>9566</v>
      </c>
      <c r="F27" s="80">
        <v>163.61686399999999</v>
      </c>
      <c r="G27" s="76">
        <f t="shared" si="0"/>
        <v>8.8999999999999999E-3</v>
      </c>
      <c r="H27" s="76"/>
      <c r="I27" s="91" t="s">
        <v>381</v>
      </c>
      <c r="J27" s="101"/>
      <c r="K27" s="14" t="s">
        <v>610</v>
      </c>
      <c r="L27" s="103">
        <f t="shared" si="1"/>
        <v>9.7999999999999997E-3</v>
      </c>
    </row>
    <row r="28" spans="1:12" s="65" customFormat="1" ht="12.75" customHeight="1" x14ac:dyDescent="0.2">
      <c r="A28" s="77">
        <f>+MAX($A$8:A27)+1</f>
        <v>20</v>
      </c>
      <c r="B28" s="77" t="s">
        <v>196</v>
      </c>
      <c r="C28" s="65" t="s">
        <v>31</v>
      </c>
      <c r="D28" s="77" t="s">
        <v>30</v>
      </c>
      <c r="E28" s="74">
        <v>17130</v>
      </c>
      <c r="F28" s="80">
        <v>157.77586500000001</v>
      </c>
      <c r="G28" s="76">
        <f t="shared" si="0"/>
        <v>8.6E-3</v>
      </c>
      <c r="H28" s="76"/>
      <c r="I28" s="91" t="s">
        <v>381</v>
      </c>
      <c r="J28" s="101"/>
      <c r="K28" s="65" t="s">
        <v>45</v>
      </c>
      <c r="L28" s="103">
        <f t="shared" si="1"/>
        <v>8.3999999999999995E-3</v>
      </c>
    </row>
    <row r="29" spans="1:12" s="65" customFormat="1" ht="12.75" customHeight="1" x14ac:dyDescent="0.2">
      <c r="A29" s="77">
        <f>+MAX($A$8:A28)+1</f>
        <v>21</v>
      </c>
      <c r="B29" s="77" t="s">
        <v>263</v>
      </c>
      <c r="C29" s="65" t="s">
        <v>125</v>
      </c>
      <c r="D29" s="77" t="s">
        <v>45</v>
      </c>
      <c r="E29" s="74">
        <v>56553</v>
      </c>
      <c r="F29" s="80">
        <v>154.70073150000002</v>
      </c>
      <c r="G29" s="76">
        <f t="shared" si="0"/>
        <v>8.3999999999999995E-3</v>
      </c>
      <c r="H29" s="76"/>
      <c r="I29" s="91" t="s">
        <v>381</v>
      </c>
      <c r="J29" s="101"/>
      <c r="K29" s="14" t="s">
        <v>34</v>
      </c>
      <c r="L29" s="103">
        <f t="shared" si="1"/>
        <v>6.4000000000000003E-3</v>
      </c>
    </row>
    <row r="30" spans="1:12" s="65" customFormat="1" ht="12.75" customHeight="1" x14ac:dyDescent="0.2">
      <c r="A30" s="77">
        <f>+MAX($A$8:A29)+1</f>
        <v>22</v>
      </c>
      <c r="B30" s="77" t="s">
        <v>215</v>
      </c>
      <c r="C30" s="65" t="s">
        <v>99</v>
      </c>
      <c r="D30" s="77" t="s">
        <v>10</v>
      </c>
      <c r="E30" s="74">
        <v>15219</v>
      </c>
      <c r="F30" s="80">
        <v>153.74233800000002</v>
      </c>
      <c r="G30" s="76">
        <f t="shared" si="0"/>
        <v>8.3999999999999995E-3</v>
      </c>
      <c r="H30" s="76"/>
      <c r="I30" s="91" t="s">
        <v>381</v>
      </c>
      <c r="J30" s="101"/>
      <c r="K30" s="14" t="s">
        <v>422</v>
      </c>
      <c r="L30" s="103">
        <f t="shared" si="1"/>
        <v>6.0000000000000001E-3</v>
      </c>
    </row>
    <row r="31" spans="1:12" s="65" customFormat="1" ht="12.75" customHeight="1" x14ac:dyDescent="0.2">
      <c r="A31" s="77">
        <f>+MAX($A$8:A30)+1</f>
        <v>23</v>
      </c>
      <c r="B31" s="77" t="s">
        <v>621</v>
      </c>
      <c r="C31" s="65" t="s">
        <v>622</v>
      </c>
      <c r="D31" s="77" t="s">
        <v>36</v>
      </c>
      <c r="E31" s="74">
        <v>153000</v>
      </c>
      <c r="F31" s="80">
        <v>143.05500000000001</v>
      </c>
      <c r="G31" s="76">
        <f t="shared" si="0"/>
        <v>7.7999999999999996E-3</v>
      </c>
      <c r="H31" s="76"/>
      <c r="I31" s="91" t="s">
        <v>381</v>
      </c>
      <c r="J31" s="101"/>
      <c r="K31" s="65" t="s">
        <v>32</v>
      </c>
      <c r="L31" s="103">
        <f t="shared" si="1"/>
        <v>5.7999999999999996E-3</v>
      </c>
    </row>
    <row r="32" spans="1:12" s="65" customFormat="1" ht="12.75" customHeight="1" x14ac:dyDescent="0.2">
      <c r="A32" s="77">
        <f>+MAX($A$8:A31)+1</f>
        <v>24</v>
      </c>
      <c r="B32" s="77" t="s">
        <v>244</v>
      </c>
      <c r="C32" s="65" t="s">
        <v>104</v>
      </c>
      <c r="D32" s="77" t="s">
        <v>10</v>
      </c>
      <c r="E32" s="74">
        <v>8616</v>
      </c>
      <c r="F32" s="80">
        <v>142.06922399999999</v>
      </c>
      <c r="G32" s="76">
        <f t="shared" si="0"/>
        <v>7.7000000000000002E-3</v>
      </c>
      <c r="H32" s="76"/>
      <c r="I32" s="91" t="s">
        <v>381</v>
      </c>
      <c r="J32" s="101"/>
      <c r="K32" s="14" t="s">
        <v>109</v>
      </c>
      <c r="L32" s="103">
        <f t="shared" si="1"/>
        <v>5.5999999999999999E-3</v>
      </c>
    </row>
    <row r="33" spans="1:18" s="65" customFormat="1" ht="12.75" customHeight="1" x14ac:dyDescent="0.2">
      <c r="A33" s="77">
        <f>+MAX($A$8:A32)+1</f>
        <v>25</v>
      </c>
      <c r="B33" s="77" t="s">
        <v>40</v>
      </c>
      <c r="C33" s="65" t="s">
        <v>42</v>
      </c>
      <c r="D33" s="77" t="s">
        <v>10</v>
      </c>
      <c r="E33" s="74">
        <v>82410</v>
      </c>
      <c r="F33" s="80">
        <v>132.39166499999999</v>
      </c>
      <c r="G33" s="76">
        <f t="shared" si="0"/>
        <v>7.1999999999999998E-3</v>
      </c>
      <c r="H33" s="76"/>
      <c r="I33" s="91" t="s">
        <v>381</v>
      </c>
      <c r="J33" s="101"/>
      <c r="K33" s="14" t="s">
        <v>413</v>
      </c>
      <c r="L33" s="103">
        <f t="shared" si="1"/>
        <v>4.4999999999999997E-3</v>
      </c>
    </row>
    <row r="34" spans="1:18" s="65" customFormat="1" ht="12.75" customHeight="1" x14ac:dyDescent="0.2">
      <c r="A34" s="77">
        <f>+MAX($A$8:A33)+1</f>
        <v>26</v>
      </c>
      <c r="B34" s="77" t="s">
        <v>217</v>
      </c>
      <c r="C34" s="65" t="s">
        <v>65</v>
      </c>
      <c r="D34" s="77" t="s">
        <v>34</v>
      </c>
      <c r="E34" s="74">
        <v>22215</v>
      </c>
      <c r="F34" s="80">
        <v>117.6617475</v>
      </c>
      <c r="G34" s="76">
        <f t="shared" si="0"/>
        <v>6.4000000000000003E-3</v>
      </c>
      <c r="H34" s="76"/>
      <c r="I34" s="91" t="s">
        <v>381</v>
      </c>
      <c r="J34" s="101"/>
      <c r="K34" s="65" t="s">
        <v>107</v>
      </c>
      <c r="L34" s="103">
        <f t="shared" si="1"/>
        <v>2.7000000000000001E-3</v>
      </c>
    </row>
    <row r="35" spans="1:18" s="65" customFormat="1" ht="12.75" customHeight="1" x14ac:dyDescent="0.2">
      <c r="A35" s="77">
        <f>+MAX($A$8:A34)+1</f>
        <v>27</v>
      </c>
      <c r="B35" s="77" t="s">
        <v>265</v>
      </c>
      <c r="C35" s="65" t="s">
        <v>129</v>
      </c>
      <c r="D35" s="77" t="s">
        <v>18</v>
      </c>
      <c r="E35" s="74">
        <v>642</v>
      </c>
      <c r="F35" s="80">
        <v>116.03829</v>
      </c>
      <c r="G35" s="76">
        <f t="shared" si="0"/>
        <v>6.3E-3</v>
      </c>
      <c r="H35" s="76"/>
      <c r="I35" s="91" t="s">
        <v>381</v>
      </c>
      <c r="J35" s="101"/>
      <c r="K35" s="14" t="s">
        <v>37</v>
      </c>
      <c r="L35" s="103">
        <f t="shared" si="1"/>
        <v>2.2000000000000001E-3</v>
      </c>
    </row>
    <row r="36" spans="1:18" s="65" customFormat="1" ht="12.75" customHeight="1" x14ac:dyDescent="0.2">
      <c r="A36" s="77">
        <f>+MAX($A$8:A35)+1</f>
        <v>28</v>
      </c>
      <c r="B36" s="77" t="s">
        <v>256</v>
      </c>
      <c r="C36" s="65" t="s">
        <v>119</v>
      </c>
      <c r="D36" s="77" t="s">
        <v>103</v>
      </c>
      <c r="E36" s="74">
        <v>18945</v>
      </c>
      <c r="F36" s="80">
        <v>110.22201</v>
      </c>
      <c r="G36" s="76">
        <f t="shared" si="0"/>
        <v>6.0000000000000001E-3</v>
      </c>
      <c r="H36" s="76"/>
      <c r="I36" s="91" t="s">
        <v>381</v>
      </c>
      <c r="J36" s="101"/>
      <c r="K36" s="14" t="s">
        <v>328</v>
      </c>
      <c r="L36" s="103">
        <f t="shared" si="1"/>
        <v>0</v>
      </c>
    </row>
    <row r="37" spans="1:18" s="65" customFormat="1" ht="12.75" customHeight="1" x14ac:dyDescent="0.2">
      <c r="A37" s="77">
        <f>+MAX($A$8:A36)+1</f>
        <v>29</v>
      </c>
      <c r="B37" s="77" t="s">
        <v>436</v>
      </c>
      <c r="C37" s="65" t="s">
        <v>437</v>
      </c>
      <c r="D37" s="77" t="s">
        <v>422</v>
      </c>
      <c r="E37" s="74">
        <v>19005</v>
      </c>
      <c r="F37" s="80">
        <v>110.0864625</v>
      </c>
      <c r="G37" s="76">
        <f t="shared" si="0"/>
        <v>6.0000000000000001E-3</v>
      </c>
      <c r="H37" s="76"/>
      <c r="I37" s="91" t="s">
        <v>381</v>
      </c>
      <c r="J37" s="101"/>
      <c r="K37" s="14" t="s">
        <v>64</v>
      </c>
      <c r="L37" s="48">
        <f>+SUMIFS($G$5:$G$1000,$B$5:$B$1000,"CBLO / Reverse Repo Investments")+SUMIFS($G$5:$G$1000,$B$5:$B$1000,"Net Receivable/Payable")</f>
        <v>0.16270000000000001</v>
      </c>
    </row>
    <row r="38" spans="1:18" s="65" customFormat="1" ht="12.75" customHeight="1" x14ac:dyDescent="0.2">
      <c r="A38" s="77">
        <f>+MAX($A$8:A37)+1</f>
        <v>30</v>
      </c>
      <c r="B38" s="77" t="s">
        <v>207</v>
      </c>
      <c r="C38" s="65" t="s">
        <v>53</v>
      </c>
      <c r="D38" s="77" t="s">
        <v>18</v>
      </c>
      <c r="E38" s="74">
        <v>2526</v>
      </c>
      <c r="F38" s="80">
        <v>109.138356</v>
      </c>
      <c r="G38" s="76">
        <f t="shared" si="0"/>
        <v>6.0000000000000001E-3</v>
      </c>
      <c r="H38" s="76"/>
      <c r="I38" s="91" t="s">
        <v>381</v>
      </c>
      <c r="J38" s="101"/>
      <c r="K38" s="14"/>
      <c r="L38" s="103"/>
    </row>
    <row r="39" spans="1:18" s="65" customFormat="1" ht="12.75" customHeight="1" x14ac:dyDescent="0.2">
      <c r="A39" s="77">
        <f>+MAX($A$8:A38)+1</f>
        <v>31</v>
      </c>
      <c r="B39" s="77" t="s">
        <v>264</v>
      </c>
      <c r="C39" s="65" t="s">
        <v>128</v>
      </c>
      <c r="D39" s="77" t="s">
        <v>22</v>
      </c>
      <c r="E39" s="74">
        <v>9900</v>
      </c>
      <c r="F39" s="80">
        <v>108.73665</v>
      </c>
      <c r="G39" s="76">
        <f t="shared" si="0"/>
        <v>5.8999999999999999E-3</v>
      </c>
      <c r="H39" s="76"/>
      <c r="I39" s="91" t="s">
        <v>381</v>
      </c>
      <c r="J39" s="101"/>
      <c r="K39" s="14"/>
      <c r="L39" s="103"/>
    </row>
    <row r="40" spans="1:18" s="65" customFormat="1" ht="12.75" customHeight="1" x14ac:dyDescent="0.2">
      <c r="A40" s="77">
        <f>+MAX($A$8:A39)+1</f>
        <v>32</v>
      </c>
      <c r="B40" s="77" t="s">
        <v>198</v>
      </c>
      <c r="C40" s="65" t="s">
        <v>21</v>
      </c>
      <c r="D40" s="77" t="s">
        <v>20</v>
      </c>
      <c r="E40" s="74">
        <v>23478</v>
      </c>
      <c r="F40" s="80">
        <v>101.38974300000001</v>
      </c>
      <c r="G40" s="76">
        <f t="shared" si="0"/>
        <v>5.4999999999999997E-3</v>
      </c>
      <c r="H40" s="76"/>
      <c r="I40" s="91" t="s">
        <v>381</v>
      </c>
      <c r="J40" s="101"/>
      <c r="K40" s="14"/>
      <c r="L40" s="103"/>
    </row>
    <row r="41" spans="1:18" s="65" customFormat="1" ht="12.75" customHeight="1" x14ac:dyDescent="0.2">
      <c r="A41" s="77">
        <f>+MAX($A$8:A40)+1</f>
        <v>33</v>
      </c>
      <c r="B41" s="77" t="s">
        <v>444</v>
      </c>
      <c r="C41" s="65" t="s">
        <v>68</v>
      </c>
      <c r="D41" s="77" t="s">
        <v>22</v>
      </c>
      <c r="E41" s="74">
        <v>15747</v>
      </c>
      <c r="F41" s="80">
        <v>89.938990499999989</v>
      </c>
      <c r="G41" s="76">
        <f t="shared" si="0"/>
        <v>4.8999999999999998E-3</v>
      </c>
      <c r="H41" s="76"/>
      <c r="I41" s="91" t="s">
        <v>381</v>
      </c>
      <c r="J41" s="101"/>
      <c r="K41" s="14"/>
      <c r="L41" s="103"/>
    </row>
    <row r="42" spans="1:18" s="65" customFormat="1" ht="12.75" customHeight="1" x14ac:dyDescent="0.2">
      <c r="A42" s="77">
        <f>+MAX($A$8:A41)+1</f>
        <v>34</v>
      </c>
      <c r="B42" s="77" t="s">
        <v>522</v>
      </c>
      <c r="C42" s="65" t="s">
        <v>523</v>
      </c>
      <c r="D42" s="77" t="s">
        <v>18</v>
      </c>
      <c r="E42" s="74">
        <v>5706</v>
      </c>
      <c r="F42" s="80">
        <v>66.517695000000003</v>
      </c>
      <c r="G42" s="76">
        <f t="shared" si="0"/>
        <v>3.5999999999999999E-3</v>
      </c>
      <c r="H42" s="76"/>
      <c r="I42" s="91" t="s">
        <v>381</v>
      </c>
      <c r="J42" s="101"/>
      <c r="K42" s="14"/>
      <c r="L42" s="103"/>
    </row>
    <row r="43" spans="1:18" s="65" customFormat="1" ht="12.75" customHeight="1" x14ac:dyDescent="0.2">
      <c r="A43" s="77">
        <f>+MAX($A$8:A42)+1</f>
        <v>35</v>
      </c>
      <c r="B43" s="77" t="s">
        <v>448</v>
      </c>
      <c r="C43" s="65" t="s">
        <v>449</v>
      </c>
      <c r="D43" s="77" t="s">
        <v>107</v>
      </c>
      <c r="E43" s="74">
        <v>18012</v>
      </c>
      <c r="F43" s="80">
        <v>48.596375999999999</v>
      </c>
      <c r="G43" s="76">
        <f t="shared" si="0"/>
        <v>2.7000000000000001E-3</v>
      </c>
      <c r="H43" s="76"/>
      <c r="I43" s="91" t="s">
        <v>381</v>
      </c>
      <c r="J43" s="101"/>
      <c r="K43" s="14"/>
      <c r="L43" s="103"/>
    </row>
    <row r="44" spans="1:18" ht="12.75" customHeight="1" x14ac:dyDescent="0.2">
      <c r="B44" s="18" t="s">
        <v>86</v>
      </c>
      <c r="C44" s="18"/>
      <c r="D44" s="18"/>
      <c r="E44" s="19"/>
      <c r="F44" s="19">
        <f>SUM(F9:F43)</f>
        <v>6008.8994805000011</v>
      </c>
      <c r="G44" s="20">
        <f>SUM(G9:G43)</f>
        <v>0.32749999999999996</v>
      </c>
      <c r="H44" s="20"/>
      <c r="I44" s="21"/>
    </row>
    <row r="45" spans="1:18" ht="12.75" customHeight="1" x14ac:dyDescent="0.2">
      <c r="F45" s="44"/>
      <c r="G45" s="14"/>
      <c r="H45" s="14"/>
      <c r="I45" s="15"/>
    </row>
    <row r="46" spans="1:18" s="65" customFormat="1" ht="12.75" customHeight="1" x14ac:dyDescent="0.2">
      <c r="A46"/>
      <c r="B46" s="16" t="s">
        <v>800</v>
      </c>
      <c r="C46" s="16"/>
      <c r="D46"/>
      <c r="E46" s="38"/>
      <c r="F46" s="44"/>
      <c r="G46" s="45"/>
      <c r="H46" s="45"/>
      <c r="I46" s="47"/>
      <c r="J46" s="77"/>
      <c r="L46" s="84"/>
      <c r="N46" s="75"/>
    </row>
    <row r="47" spans="1:18" s="65" customFormat="1" ht="12.75" customHeight="1" x14ac:dyDescent="0.2">
      <c r="A47" s="77">
        <f>+MAX($A$8:A46)+1</f>
        <v>36</v>
      </c>
      <c r="B47" s="77" t="s">
        <v>205</v>
      </c>
      <c r="C47" s="77" t="s">
        <v>44</v>
      </c>
      <c r="D47" s="77" t="s">
        <v>24</v>
      </c>
      <c r="E47" s="74">
        <v>237000</v>
      </c>
      <c r="F47" s="80">
        <v>1380.999</v>
      </c>
      <c r="G47" s="76">
        <f>+ROUND(F47/VLOOKUP("Grand Total",$B$4:$F$301,5,0),4)</f>
        <v>7.5300000000000006E-2</v>
      </c>
      <c r="H47" s="76"/>
      <c r="I47" s="91" t="s">
        <v>381</v>
      </c>
      <c r="J47" s="101"/>
      <c r="L47" s="103"/>
      <c r="Q47" s="91"/>
      <c r="R47" s="91"/>
    </row>
    <row r="48" spans="1:18" s="65" customFormat="1" ht="12.75" customHeight="1" x14ac:dyDescent="0.2">
      <c r="A48" s="77">
        <f>+A47+1</f>
        <v>37</v>
      </c>
      <c r="B48" s="77" t="s">
        <v>205</v>
      </c>
      <c r="C48" s="121" t="s">
        <v>570</v>
      </c>
      <c r="D48" s="77" t="s">
        <v>328</v>
      </c>
      <c r="E48" s="74">
        <v>-237000</v>
      </c>
      <c r="F48" s="80">
        <v>-1389.6495</v>
      </c>
      <c r="G48" s="76"/>
      <c r="H48" s="76">
        <f>+ROUND(F48/VLOOKUP("Grand Total",$B$4:$F$301,5,0),4)</f>
        <v>-7.5800000000000006E-2</v>
      </c>
      <c r="I48" s="104">
        <v>43125</v>
      </c>
      <c r="J48" s="101"/>
      <c r="L48" s="103"/>
    </row>
    <row r="49" spans="1:12" s="65" customFormat="1" ht="12.75" customHeight="1" x14ac:dyDescent="0.2">
      <c r="A49" s="77">
        <f t="shared" ref="A49:A86" si="2">+A48+1</f>
        <v>38</v>
      </c>
      <c r="B49" s="77" t="s">
        <v>196</v>
      </c>
      <c r="C49" s="65" t="s">
        <v>31</v>
      </c>
      <c r="D49" s="77" t="s">
        <v>30</v>
      </c>
      <c r="E49" s="74">
        <v>113000</v>
      </c>
      <c r="F49" s="80">
        <v>1040.7864999999999</v>
      </c>
      <c r="G49" s="76">
        <f>+ROUND(F49/VLOOKUP("Grand Total",$B$4:$F$301,5,0),4)</f>
        <v>5.6800000000000003E-2</v>
      </c>
      <c r="H49" s="76"/>
      <c r="I49" s="91" t="s">
        <v>381</v>
      </c>
      <c r="J49" s="101"/>
      <c r="K49" s="90"/>
      <c r="L49" s="103"/>
    </row>
    <row r="50" spans="1:12" s="65" customFormat="1" ht="12.75" customHeight="1" x14ac:dyDescent="0.2">
      <c r="A50" s="77">
        <f t="shared" si="2"/>
        <v>39</v>
      </c>
      <c r="B50" s="77" t="s">
        <v>196</v>
      </c>
      <c r="C50" s="121" t="s">
        <v>570</v>
      </c>
      <c r="D50" s="77" t="s">
        <v>328</v>
      </c>
      <c r="E50" s="74">
        <v>-113000</v>
      </c>
      <c r="F50" s="80">
        <v>-1045.5889999999999</v>
      </c>
      <c r="G50" s="76"/>
      <c r="H50" s="76">
        <f>+ROUND(F50/VLOOKUP("Grand Total",$B$4:$F$301,5,0),4)</f>
        <v>-5.7000000000000002E-2</v>
      </c>
      <c r="I50" s="104">
        <v>43125</v>
      </c>
      <c r="J50" s="101"/>
      <c r="L50" s="103"/>
    </row>
    <row r="51" spans="1:12" s="65" customFormat="1" ht="12.75" customHeight="1" x14ac:dyDescent="0.2">
      <c r="A51" s="77">
        <f t="shared" si="2"/>
        <v>40</v>
      </c>
      <c r="B51" s="77" t="s">
        <v>252</v>
      </c>
      <c r="C51" s="65" t="s">
        <v>114</v>
      </c>
      <c r="D51" s="77" t="s">
        <v>14</v>
      </c>
      <c r="E51" s="74">
        <v>128400</v>
      </c>
      <c r="F51" s="80">
        <v>647.2002</v>
      </c>
      <c r="G51" s="76">
        <f>+ROUND(F51/VLOOKUP("Grand Total",$B$4:$F$301,5,0),4)</f>
        <v>3.5299999999999998E-2</v>
      </c>
      <c r="H51" s="76"/>
      <c r="I51" s="91" t="s">
        <v>381</v>
      </c>
      <c r="J51" s="101"/>
      <c r="K51" s="90"/>
      <c r="L51" s="103"/>
    </row>
    <row r="52" spans="1:12" s="65" customFormat="1" ht="12.75" customHeight="1" x14ac:dyDescent="0.2">
      <c r="A52" s="77">
        <f t="shared" si="2"/>
        <v>41</v>
      </c>
      <c r="B52" s="77" t="s">
        <v>252</v>
      </c>
      <c r="C52" s="121" t="s">
        <v>570</v>
      </c>
      <c r="D52" s="77" t="s">
        <v>328</v>
      </c>
      <c r="E52" s="74">
        <v>-128400</v>
      </c>
      <c r="F52" s="80">
        <v>-647.84220000000005</v>
      </c>
      <c r="G52" s="76"/>
      <c r="H52" s="76">
        <f>+ROUND(F52/VLOOKUP("Grand Total",$B$4:$F$301,5,0),4)</f>
        <v>-3.5299999999999998E-2</v>
      </c>
      <c r="I52" s="104">
        <v>43125</v>
      </c>
      <c r="J52" s="101"/>
      <c r="L52" s="103"/>
    </row>
    <row r="53" spans="1:12" s="65" customFormat="1" ht="12.75" customHeight="1" x14ac:dyDescent="0.2">
      <c r="A53" s="77">
        <f t="shared" si="2"/>
        <v>42</v>
      </c>
      <c r="B53" s="77" t="s">
        <v>212</v>
      </c>
      <c r="C53" s="65" t="s">
        <v>49</v>
      </c>
      <c r="D53" s="77" t="s">
        <v>20</v>
      </c>
      <c r="E53" s="74">
        <v>6000</v>
      </c>
      <c r="F53" s="80">
        <v>583.77299999999991</v>
      </c>
      <c r="G53" s="76">
        <f>+ROUND(F53/VLOOKUP("Grand Total",$B$4:$F$301,5,0),4)</f>
        <v>3.1800000000000002E-2</v>
      </c>
      <c r="H53" s="76"/>
      <c r="I53" s="91" t="s">
        <v>381</v>
      </c>
      <c r="J53" s="101"/>
      <c r="L53" s="103"/>
    </row>
    <row r="54" spans="1:12" s="65" customFormat="1" ht="12.75" customHeight="1" x14ac:dyDescent="0.2">
      <c r="A54" s="77">
        <f t="shared" si="2"/>
        <v>43</v>
      </c>
      <c r="B54" s="77" t="s">
        <v>212</v>
      </c>
      <c r="C54" s="121" t="s">
        <v>570</v>
      </c>
      <c r="D54" s="77" t="s">
        <v>328</v>
      </c>
      <c r="E54" s="74">
        <v>-6000</v>
      </c>
      <c r="F54" s="80">
        <v>-587.46600000000001</v>
      </c>
      <c r="G54" s="76"/>
      <c r="H54" s="76">
        <f>+ROUND(F54/VLOOKUP("Grand Total",$B$4:$F$301,5,0),4)</f>
        <v>-3.2000000000000001E-2</v>
      </c>
      <c r="I54" s="104">
        <v>43125</v>
      </c>
      <c r="J54" s="101"/>
      <c r="L54" s="103"/>
    </row>
    <row r="55" spans="1:12" s="65" customFormat="1" ht="12.75" customHeight="1" x14ac:dyDescent="0.2">
      <c r="A55" s="77">
        <f t="shared" si="2"/>
        <v>44</v>
      </c>
      <c r="B55" s="77" t="s">
        <v>444</v>
      </c>
      <c r="C55" s="65" t="s">
        <v>68</v>
      </c>
      <c r="D55" s="77" t="s">
        <v>22</v>
      </c>
      <c r="E55" s="74">
        <v>97900</v>
      </c>
      <c r="F55" s="80">
        <v>559.15584999999999</v>
      </c>
      <c r="G55" s="76">
        <f>+ROUND(F55/VLOOKUP("Grand Total",$B$4:$F$301,5,0),4)</f>
        <v>3.0499999999999999E-2</v>
      </c>
      <c r="H55" s="76"/>
      <c r="I55" s="91" t="s">
        <v>381</v>
      </c>
      <c r="J55" s="101"/>
      <c r="K55" s="90"/>
      <c r="L55" s="103"/>
    </row>
    <row r="56" spans="1:12" s="65" customFormat="1" ht="12.75" customHeight="1" x14ac:dyDescent="0.2">
      <c r="A56" s="77">
        <f t="shared" si="2"/>
        <v>45</v>
      </c>
      <c r="B56" s="77" t="s">
        <v>444</v>
      </c>
      <c r="C56" s="121" t="s">
        <v>570</v>
      </c>
      <c r="D56" s="77" t="s">
        <v>328</v>
      </c>
      <c r="E56" s="74">
        <v>-97900</v>
      </c>
      <c r="F56" s="80">
        <v>-562.38655000000006</v>
      </c>
      <c r="G56" s="76"/>
      <c r="H56" s="76">
        <f>+ROUND(F56/VLOOKUP("Grand Total",$B$4:$F$301,5,0),4)</f>
        <v>-3.0700000000000002E-2</v>
      </c>
      <c r="I56" s="104">
        <v>43125</v>
      </c>
      <c r="J56" s="101"/>
      <c r="L56" s="103"/>
    </row>
    <row r="57" spans="1:12" s="65" customFormat="1" ht="12.75" customHeight="1" x14ac:dyDescent="0.2">
      <c r="A57" s="77">
        <f t="shared" si="2"/>
        <v>46</v>
      </c>
      <c r="B57" s="77" t="s">
        <v>586</v>
      </c>
      <c r="C57" s="65" t="s">
        <v>587</v>
      </c>
      <c r="D57" s="77" t="s">
        <v>24</v>
      </c>
      <c r="E57" s="74">
        <v>354000</v>
      </c>
      <c r="F57" s="80">
        <v>430.995</v>
      </c>
      <c r="G57" s="76">
        <f>+ROUND(F57/VLOOKUP("Grand Total",$B$4:$F$301,5,0),4)</f>
        <v>2.35E-2</v>
      </c>
      <c r="H57" s="76"/>
      <c r="I57" s="91" t="s">
        <v>381</v>
      </c>
      <c r="J57" s="101"/>
      <c r="L57" s="103"/>
    </row>
    <row r="58" spans="1:12" s="65" customFormat="1" ht="12.75" customHeight="1" x14ac:dyDescent="0.2">
      <c r="A58" s="77">
        <f t="shared" si="2"/>
        <v>47</v>
      </c>
      <c r="B58" s="77" t="s">
        <v>586</v>
      </c>
      <c r="C58" s="121" t="s">
        <v>570</v>
      </c>
      <c r="D58" s="77" t="s">
        <v>328</v>
      </c>
      <c r="E58" s="74">
        <v>-354000</v>
      </c>
      <c r="F58" s="80">
        <v>-433.47300000000001</v>
      </c>
      <c r="G58" s="76"/>
      <c r="H58" s="76">
        <f>+ROUND(F58/VLOOKUP("Grand Total",$B$4:$F$301,5,0),4)</f>
        <v>-2.3599999999999999E-2</v>
      </c>
      <c r="I58" s="104">
        <v>43125</v>
      </c>
      <c r="J58" s="101"/>
      <c r="L58" s="103"/>
    </row>
    <row r="59" spans="1:12" s="65" customFormat="1" ht="12.75" customHeight="1" x14ac:dyDescent="0.2">
      <c r="A59" s="77">
        <f t="shared" si="2"/>
        <v>48</v>
      </c>
      <c r="B59" s="77" t="s">
        <v>203</v>
      </c>
      <c r="C59" s="65" t="s">
        <v>35</v>
      </c>
      <c r="D59" s="77" t="s">
        <v>18</v>
      </c>
      <c r="E59" s="74">
        <v>29700</v>
      </c>
      <c r="F59" s="80">
        <v>426.90780000000001</v>
      </c>
      <c r="G59" s="76">
        <f>+ROUND(F59/VLOOKUP("Grand Total",$B$4:$F$301,5,0),4)</f>
        <v>2.3300000000000001E-2</v>
      </c>
      <c r="H59" s="76"/>
      <c r="I59" s="91" t="s">
        <v>381</v>
      </c>
      <c r="J59" s="101"/>
      <c r="K59" s="90"/>
      <c r="L59" s="103"/>
    </row>
    <row r="60" spans="1:12" s="65" customFormat="1" ht="12.75" customHeight="1" x14ac:dyDescent="0.2">
      <c r="A60" s="77">
        <f t="shared" si="2"/>
        <v>49</v>
      </c>
      <c r="B60" s="77" t="s">
        <v>203</v>
      </c>
      <c r="C60" s="121" t="s">
        <v>570</v>
      </c>
      <c r="D60" s="77" t="s">
        <v>328</v>
      </c>
      <c r="E60" s="74">
        <v>-29700</v>
      </c>
      <c r="F60" s="80">
        <v>-429.23925000000003</v>
      </c>
      <c r="G60" s="76"/>
      <c r="H60" s="76">
        <f>+ROUND(F60/VLOOKUP("Grand Total",$B$4:$F$301,5,0),4)</f>
        <v>-2.3400000000000001E-2</v>
      </c>
      <c r="I60" s="104">
        <v>43125</v>
      </c>
      <c r="J60" s="101"/>
      <c r="L60" s="103"/>
    </row>
    <row r="61" spans="1:12" s="65" customFormat="1" ht="12.75" customHeight="1" x14ac:dyDescent="0.2">
      <c r="A61" s="77">
        <f t="shared" si="2"/>
        <v>50</v>
      </c>
      <c r="B61" s="77" t="s">
        <v>201</v>
      </c>
      <c r="C61" s="65" t="s">
        <v>39</v>
      </c>
      <c r="D61" s="77" t="s">
        <v>20</v>
      </c>
      <c r="E61" s="74">
        <v>9500</v>
      </c>
      <c r="F61" s="80">
        <v>316.69200000000001</v>
      </c>
      <c r="G61" s="76">
        <f>+ROUND(F61/VLOOKUP("Grand Total",$B$4:$F$301,5,0),4)</f>
        <v>1.7299999999999999E-2</v>
      </c>
      <c r="H61" s="76"/>
      <c r="I61" s="91" t="s">
        <v>381</v>
      </c>
      <c r="J61" s="101"/>
      <c r="L61" s="103"/>
    </row>
    <row r="62" spans="1:12" s="65" customFormat="1" ht="12.75" customHeight="1" x14ac:dyDescent="0.2">
      <c r="A62" s="77">
        <f t="shared" si="2"/>
        <v>51</v>
      </c>
      <c r="B62" s="77" t="s">
        <v>201</v>
      </c>
      <c r="C62" s="121" t="s">
        <v>570</v>
      </c>
      <c r="D62" s="77" t="s">
        <v>328</v>
      </c>
      <c r="E62" s="74">
        <v>-9500</v>
      </c>
      <c r="F62" s="80">
        <v>-317.22399999999999</v>
      </c>
      <c r="G62" s="76"/>
      <c r="H62" s="76">
        <f>+ROUND(F62/VLOOKUP("Grand Total",$B$4:$F$301,5,0),4)</f>
        <v>-1.7299999999999999E-2</v>
      </c>
      <c r="I62" s="104">
        <v>43125</v>
      </c>
      <c r="J62" s="101"/>
      <c r="L62" s="103"/>
    </row>
    <row r="63" spans="1:12" s="65" customFormat="1" ht="12.75" customHeight="1" x14ac:dyDescent="0.2">
      <c r="A63" s="77">
        <f t="shared" si="2"/>
        <v>52</v>
      </c>
      <c r="B63" s="77" t="s">
        <v>301</v>
      </c>
      <c r="C63" s="65" t="s">
        <v>182</v>
      </c>
      <c r="D63" s="77" t="s">
        <v>36</v>
      </c>
      <c r="E63" s="74">
        <v>35100</v>
      </c>
      <c r="F63" s="80">
        <v>194.40135000000001</v>
      </c>
      <c r="G63" s="76">
        <f>+ROUND(F63/VLOOKUP("Grand Total",$B$4:$F$301,5,0),4)</f>
        <v>1.06E-2</v>
      </c>
      <c r="H63" s="76"/>
      <c r="I63" s="91" t="s">
        <v>381</v>
      </c>
      <c r="J63" s="101"/>
      <c r="K63" s="90"/>
      <c r="L63" s="103"/>
    </row>
    <row r="64" spans="1:12" s="65" customFormat="1" ht="12.75" customHeight="1" x14ac:dyDescent="0.2">
      <c r="A64" s="77">
        <f t="shared" si="2"/>
        <v>53</v>
      </c>
      <c r="B64" s="77" t="s">
        <v>301</v>
      </c>
      <c r="C64" s="121" t="s">
        <v>570</v>
      </c>
      <c r="D64" s="77" t="s">
        <v>328</v>
      </c>
      <c r="E64" s="74">
        <v>-35100</v>
      </c>
      <c r="F64" s="80">
        <v>-195.55965</v>
      </c>
      <c r="G64" s="76"/>
      <c r="H64" s="76">
        <f>+ROUND(F64/VLOOKUP("Grand Total",$B$4:$F$301,5,0),4)</f>
        <v>-1.0699999999999999E-2</v>
      </c>
      <c r="I64" s="104">
        <v>43125</v>
      </c>
      <c r="J64" s="101"/>
      <c r="L64" s="103"/>
    </row>
    <row r="65" spans="1:12" s="65" customFormat="1" ht="12.75" customHeight="1" x14ac:dyDescent="0.2">
      <c r="A65" s="77">
        <f t="shared" si="2"/>
        <v>54</v>
      </c>
      <c r="B65" s="77" t="s">
        <v>504</v>
      </c>
      <c r="C65" s="65" t="s">
        <v>505</v>
      </c>
      <c r="D65" s="77" t="s">
        <v>20</v>
      </c>
      <c r="E65" s="74">
        <v>24200</v>
      </c>
      <c r="F65" s="80">
        <v>190.56290000000001</v>
      </c>
      <c r="G65" s="76">
        <f>+ROUND(F65/VLOOKUP("Grand Total",$B$4:$F$301,5,0),4)</f>
        <v>1.04E-2</v>
      </c>
      <c r="H65" s="76"/>
      <c r="I65" s="91" t="s">
        <v>381</v>
      </c>
      <c r="J65" s="101"/>
      <c r="K65" s="90"/>
      <c r="L65" s="103"/>
    </row>
    <row r="66" spans="1:12" s="65" customFormat="1" ht="12.75" customHeight="1" x14ac:dyDescent="0.2">
      <c r="A66" s="77">
        <f t="shared" si="2"/>
        <v>55</v>
      </c>
      <c r="B66" s="77" t="s">
        <v>504</v>
      </c>
      <c r="C66" s="121" t="s">
        <v>570</v>
      </c>
      <c r="D66" s="77" t="s">
        <v>328</v>
      </c>
      <c r="E66" s="74">
        <v>-24200</v>
      </c>
      <c r="F66" s="80">
        <v>-191.21629999999999</v>
      </c>
      <c r="G66" s="76"/>
      <c r="H66" s="76">
        <f>+ROUND(F66/VLOOKUP("Grand Total",$B$4:$F$301,5,0),4)</f>
        <v>-1.04E-2</v>
      </c>
      <c r="I66" s="104">
        <v>43125</v>
      </c>
      <c r="J66" s="101"/>
      <c r="L66" s="103"/>
    </row>
    <row r="67" spans="1:12" s="65" customFormat="1" ht="12.75" customHeight="1" x14ac:dyDescent="0.2">
      <c r="A67" s="77">
        <f t="shared" si="2"/>
        <v>56</v>
      </c>
      <c r="B67" s="77" t="s">
        <v>588</v>
      </c>
      <c r="C67" s="65" t="s">
        <v>589</v>
      </c>
      <c r="D67" s="77" t="s">
        <v>30</v>
      </c>
      <c r="E67" s="74">
        <v>43500</v>
      </c>
      <c r="F67" s="80">
        <v>186.441</v>
      </c>
      <c r="G67" s="76">
        <f>+ROUND(F67/VLOOKUP("Grand Total",$B$4:$F$301,5,0),4)</f>
        <v>1.0200000000000001E-2</v>
      </c>
      <c r="H67" s="76"/>
      <c r="I67" s="91" t="s">
        <v>381</v>
      </c>
      <c r="J67" s="101"/>
      <c r="L67" s="103"/>
    </row>
    <row r="68" spans="1:12" s="65" customFormat="1" ht="12.75" customHeight="1" x14ac:dyDescent="0.2">
      <c r="A68" s="77">
        <f t="shared" si="2"/>
        <v>57</v>
      </c>
      <c r="B68" s="77" t="s">
        <v>588</v>
      </c>
      <c r="C68" s="121" t="s">
        <v>570</v>
      </c>
      <c r="D68" s="77" t="s">
        <v>328</v>
      </c>
      <c r="E68" s="74">
        <v>-43500</v>
      </c>
      <c r="F68" s="80">
        <v>-187.94175000000001</v>
      </c>
      <c r="G68" s="76"/>
      <c r="H68" s="76">
        <f>+ROUND(F68/VLOOKUP("Grand Total",$B$4:$F$301,5,0),4)</f>
        <v>-1.03E-2</v>
      </c>
      <c r="I68" s="104">
        <v>43125</v>
      </c>
      <c r="J68" s="101"/>
      <c r="L68" s="103"/>
    </row>
    <row r="69" spans="1:12" s="65" customFormat="1" ht="12.75" customHeight="1" x14ac:dyDescent="0.2">
      <c r="A69" s="77">
        <f t="shared" si="2"/>
        <v>58</v>
      </c>
      <c r="B69" s="77" t="s">
        <v>303</v>
      </c>
      <c r="C69" s="65" t="s">
        <v>183</v>
      </c>
      <c r="D69" s="77" t="s">
        <v>103</v>
      </c>
      <c r="E69" s="74">
        <v>17000</v>
      </c>
      <c r="F69" s="80">
        <v>168.32550000000001</v>
      </c>
      <c r="G69" s="76">
        <f>+ROUND(F69/VLOOKUP("Grand Total",$B$4:$F$301,5,0),4)</f>
        <v>9.1999999999999998E-3</v>
      </c>
      <c r="H69" s="76"/>
      <c r="I69" s="91" t="s">
        <v>381</v>
      </c>
      <c r="J69" s="101"/>
      <c r="L69" s="103"/>
    </row>
    <row r="70" spans="1:12" s="65" customFormat="1" ht="12.75" customHeight="1" x14ac:dyDescent="0.2">
      <c r="A70" s="77">
        <f t="shared" si="2"/>
        <v>59</v>
      </c>
      <c r="B70" s="77" t="s">
        <v>303</v>
      </c>
      <c r="C70" s="121" t="s">
        <v>570</v>
      </c>
      <c r="D70" s="77" t="s">
        <v>328</v>
      </c>
      <c r="E70" s="74">
        <v>-17000</v>
      </c>
      <c r="F70" s="80">
        <v>-169.37100000000001</v>
      </c>
      <c r="G70" s="76"/>
      <c r="H70" s="76">
        <f>+ROUND(F70/VLOOKUP("Grand Total",$B$4:$F$301,5,0),4)</f>
        <v>-9.1999999999999998E-3</v>
      </c>
      <c r="I70" s="104">
        <v>43125</v>
      </c>
      <c r="J70" s="101"/>
      <c r="L70" s="103"/>
    </row>
    <row r="71" spans="1:12" s="65" customFormat="1" ht="12.75" customHeight="1" x14ac:dyDescent="0.2">
      <c r="A71" s="77">
        <f t="shared" si="2"/>
        <v>60</v>
      </c>
      <c r="B71" s="77" t="s">
        <v>406</v>
      </c>
      <c r="C71" s="65" t="s">
        <v>131</v>
      </c>
      <c r="D71" s="77" t="s">
        <v>20</v>
      </c>
      <c r="E71" s="74">
        <v>52500</v>
      </c>
      <c r="F71" s="80">
        <v>128.1525</v>
      </c>
      <c r="G71" s="76">
        <f>+ROUND(F71/VLOOKUP("Grand Total",$B$4:$F$301,5,0),4)</f>
        <v>7.0000000000000001E-3</v>
      </c>
      <c r="H71" s="76"/>
      <c r="I71" s="91" t="s">
        <v>381</v>
      </c>
      <c r="J71" s="101"/>
      <c r="K71" s="90"/>
      <c r="L71" s="103"/>
    </row>
    <row r="72" spans="1:12" s="65" customFormat="1" ht="12.75" customHeight="1" x14ac:dyDescent="0.2">
      <c r="A72" s="77">
        <f t="shared" si="2"/>
        <v>61</v>
      </c>
      <c r="B72" s="77" t="s">
        <v>406</v>
      </c>
      <c r="C72" s="121" t="s">
        <v>570</v>
      </c>
      <c r="D72" s="77" t="s">
        <v>328</v>
      </c>
      <c r="E72" s="74">
        <v>-52500</v>
      </c>
      <c r="F72" s="80">
        <v>-129.22874999999999</v>
      </c>
      <c r="G72" s="76"/>
      <c r="H72" s="76">
        <f>+ROUND(F72/VLOOKUP("Grand Total",$B$4:$F$301,5,0),4)</f>
        <v>-7.0000000000000001E-3</v>
      </c>
      <c r="I72" s="104">
        <v>43125</v>
      </c>
      <c r="J72" s="101"/>
      <c r="L72" s="103"/>
    </row>
    <row r="73" spans="1:12" s="65" customFormat="1" ht="12.75" customHeight="1" x14ac:dyDescent="0.2">
      <c r="A73" s="77">
        <f t="shared" si="2"/>
        <v>62</v>
      </c>
      <c r="B73" s="77" t="s">
        <v>221</v>
      </c>
      <c r="C73" s="65" t="s">
        <v>74</v>
      </c>
      <c r="D73" s="77" t="s">
        <v>32</v>
      </c>
      <c r="E73" s="74">
        <v>45000</v>
      </c>
      <c r="F73" s="80">
        <v>107.1</v>
      </c>
      <c r="G73" s="76">
        <f>+ROUND(F73/VLOOKUP("Grand Total",$B$4:$F$301,5,0),4)</f>
        <v>5.7999999999999996E-3</v>
      </c>
      <c r="H73" s="76"/>
      <c r="I73" s="91" t="s">
        <v>381</v>
      </c>
      <c r="J73" s="101"/>
      <c r="K73" s="90"/>
      <c r="L73" s="103"/>
    </row>
    <row r="74" spans="1:12" s="65" customFormat="1" ht="12.75" customHeight="1" x14ac:dyDescent="0.2">
      <c r="A74" s="77">
        <f t="shared" si="2"/>
        <v>63</v>
      </c>
      <c r="B74" s="77" t="s">
        <v>221</v>
      </c>
      <c r="C74" s="121" t="s">
        <v>570</v>
      </c>
      <c r="D74" s="77" t="s">
        <v>328</v>
      </c>
      <c r="E74" s="74">
        <v>-45000</v>
      </c>
      <c r="F74" s="80">
        <v>-107.8425</v>
      </c>
      <c r="G74" s="76"/>
      <c r="H74" s="76">
        <f>+ROUND(F74/VLOOKUP("Grand Total",$B$4:$F$301,5,0),4)</f>
        <v>-5.8999999999999999E-3</v>
      </c>
      <c r="I74" s="104">
        <v>43125</v>
      </c>
      <c r="J74" s="101"/>
      <c r="L74" s="103"/>
    </row>
    <row r="75" spans="1:12" s="65" customFormat="1" ht="12.75" customHeight="1" x14ac:dyDescent="0.2">
      <c r="A75" s="77">
        <f t="shared" si="2"/>
        <v>64</v>
      </c>
      <c r="B75" s="77" t="s">
        <v>355</v>
      </c>
      <c r="C75" s="65" t="s">
        <v>356</v>
      </c>
      <c r="D75" s="77" t="s">
        <v>24</v>
      </c>
      <c r="E75" s="74">
        <v>8000</v>
      </c>
      <c r="F75" s="80">
        <v>95.727999999999994</v>
      </c>
      <c r="G75" s="76">
        <f>+ROUND(F75/VLOOKUP("Grand Total",$B$4:$F$301,5,0),4)</f>
        <v>5.1999999999999998E-3</v>
      </c>
      <c r="H75" s="76"/>
      <c r="I75" s="91" t="s">
        <v>381</v>
      </c>
      <c r="J75" s="101"/>
      <c r="K75" s="90"/>
      <c r="L75" s="103"/>
    </row>
    <row r="76" spans="1:12" s="65" customFormat="1" ht="12.75" customHeight="1" x14ac:dyDescent="0.2">
      <c r="A76" s="77">
        <f t="shared" si="2"/>
        <v>65</v>
      </c>
      <c r="B76" s="77" t="s">
        <v>355</v>
      </c>
      <c r="C76" s="121" t="s">
        <v>570</v>
      </c>
      <c r="D76" s="77" t="s">
        <v>328</v>
      </c>
      <c r="E76" s="74">
        <v>-8000</v>
      </c>
      <c r="F76" s="80">
        <v>-96.207999999999998</v>
      </c>
      <c r="G76" s="76"/>
      <c r="H76" s="76">
        <f>+ROUND(F76/VLOOKUP("Grand Total",$B$4:$F$301,5,0),4)</f>
        <v>-5.1999999999999998E-3</v>
      </c>
      <c r="I76" s="104">
        <v>43125</v>
      </c>
      <c r="J76" s="101"/>
      <c r="L76" s="103"/>
    </row>
    <row r="77" spans="1:12" s="65" customFormat="1" ht="12.75" customHeight="1" x14ac:dyDescent="0.2">
      <c r="A77" s="77">
        <f t="shared" si="2"/>
        <v>66</v>
      </c>
      <c r="B77" s="77" t="s">
        <v>304</v>
      </c>
      <c r="C77" s="65" t="s">
        <v>185</v>
      </c>
      <c r="D77" s="77" t="s">
        <v>36</v>
      </c>
      <c r="E77" s="74">
        <v>182000</v>
      </c>
      <c r="F77" s="80">
        <v>91.454999999999998</v>
      </c>
      <c r="G77" s="76">
        <f>+ROUND(F77/VLOOKUP("Grand Total",$B$4:$F$301,5,0),4)</f>
        <v>5.0000000000000001E-3</v>
      </c>
      <c r="H77" s="76"/>
      <c r="I77" s="91" t="s">
        <v>381</v>
      </c>
      <c r="J77" s="101"/>
      <c r="K77" s="90"/>
      <c r="L77" s="103"/>
    </row>
    <row r="78" spans="1:12" s="65" customFormat="1" ht="12.75" customHeight="1" x14ac:dyDescent="0.2">
      <c r="A78" s="77">
        <f t="shared" si="2"/>
        <v>67</v>
      </c>
      <c r="B78" s="77" t="s">
        <v>304</v>
      </c>
      <c r="C78" s="121" t="s">
        <v>570</v>
      </c>
      <c r="D78" s="77" t="s">
        <v>328</v>
      </c>
      <c r="E78" s="74">
        <v>-182000</v>
      </c>
      <c r="F78" s="80">
        <v>-91.727999999999994</v>
      </c>
      <c r="G78" s="76"/>
      <c r="H78" s="76">
        <f>+ROUND(F78/VLOOKUP("Grand Total",$B$4:$F$301,5,0),4)</f>
        <v>-5.0000000000000001E-3</v>
      </c>
      <c r="I78" s="104">
        <v>43125</v>
      </c>
      <c r="J78" s="101"/>
      <c r="L78" s="103"/>
    </row>
    <row r="79" spans="1:12" s="65" customFormat="1" ht="12.75" customHeight="1" x14ac:dyDescent="0.2">
      <c r="A79" s="77">
        <f t="shared" si="2"/>
        <v>68</v>
      </c>
      <c r="B79" s="77" t="s">
        <v>556</v>
      </c>
      <c r="C79" s="65" t="s">
        <v>557</v>
      </c>
      <c r="D79" s="77" t="s">
        <v>26</v>
      </c>
      <c r="E79" s="74">
        <v>42000</v>
      </c>
      <c r="F79" s="80">
        <v>55.607999999999997</v>
      </c>
      <c r="G79" s="76">
        <f>+ROUND(F79/VLOOKUP("Grand Total",$B$4:$F$301,5,0),4)</f>
        <v>3.0000000000000001E-3</v>
      </c>
      <c r="H79" s="76"/>
      <c r="I79" s="91" t="s">
        <v>381</v>
      </c>
      <c r="J79" s="101"/>
      <c r="K79" s="90"/>
      <c r="L79" s="103"/>
    </row>
    <row r="80" spans="1:12" s="65" customFormat="1" ht="12.75" customHeight="1" x14ac:dyDescent="0.2">
      <c r="A80" s="77">
        <f t="shared" si="2"/>
        <v>69</v>
      </c>
      <c r="B80" s="77" t="s">
        <v>556</v>
      </c>
      <c r="C80" s="121" t="s">
        <v>570</v>
      </c>
      <c r="D80" s="77" t="s">
        <v>328</v>
      </c>
      <c r="E80" s="74">
        <v>-42000</v>
      </c>
      <c r="F80" s="80">
        <v>-56.07</v>
      </c>
      <c r="G80" s="76"/>
      <c r="H80" s="76">
        <f>+ROUND(F80/VLOOKUP("Grand Total",$B$4:$F$301,5,0),4)</f>
        <v>-3.0999999999999999E-3</v>
      </c>
      <c r="I80" s="104">
        <v>43125</v>
      </c>
      <c r="J80" s="101"/>
      <c r="L80" s="103"/>
    </row>
    <row r="81" spans="1:13" s="65" customFormat="1" ht="12.75" customHeight="1" x14ac:dyDescent="0.2">
      <c r="A81" s="77">
        <f t="shared" si="2"/>
        <v>70</v>
      </c>
      <c r="B81" s="77" t="s">
        <v>224</v>
      </c>
      <c r="C81" s="65" t="s">
        <v>225</v>
      </c>
      <c r="D81" s="77" t="s">
        <v>37</v>
      </c>
      <c r="E81" s="74">
        <v>4800</v>
      </c>
      <c r="F81" s="80">
        <v>39.933599999999998</v>
      </c>
      <c r="G81" s="76">
        <f>+ROUND(F81/VLOOKUP("Grand Total",$B$4:$F$301,5,0),4)</f>
        <v>2.2000000000000001E-3</v>
      </c>
      <c r="H81" s="76"/>
      <c r="I81" s="91" t="s">
        <v>381</v>
      </c>
      <c r="J81" s="101"/>
      <c r="K81" s="90"/>
      <c r="L81" s="103"/>
    </row>
    <row r="82" spans="1:13" s="65" customFormat="1" ht="12.75" customHeight="1" x14ac:dyDescent="0.2">
      <c r="A82" s="77">
        <f t="shared" si="2"/>
        <v>71</v>
      </c>
      <c r="B82" s="77" t="s">
        <v>224</v>
      </c>
      <c r="C82" s="121" t="s">
        <v>570</v>
      </c>
      <c r="D82" s="77" t="s">
        <v>328</v>
      </c>
      <c r="E82" s="74">
        <v>-4800</v>
      </c>
      <c r="F82" s="80">
        <v>-40.192799999999998</v>
      </c>
      <c r="G82" s="76"/>
      <c r="H82" s="76">
        <f>+ROUND(F82/VLOOKUP("Grand Total",$B$4:$F$301,5,0),4)</f>
        <v>-2.2000000000000001E-3</v>
      </c>
      <c r="I82" s="104">
        <v>43125</v>
      </c>
      <c r="J82" s="101"/>
      <c r="L82" s="103"/>
    </row>
    <row r="83" spans="1:13" s="65" customFormat="1" ht="12.75" customHeight="1" x14ac:dyDescent="0.2">
      <c r="A83" s="77">
        <f t="shared" si="2"/>
        <v>72</v>
      </c>
      <c r="B83" s="77" t="s">
        <v>204</v>
      </c>
      <c r="C83" s="65" t="s">
        <v>46</v>
      </c>
      <c r="D83" s="77" t="s">
        <v>26</v>
      </c>
      <c r="E83" s="74">
        <v>14400</v>
      </c>
      <c r="F83" s="80">
        <v>37.908000000000001</v>
      </c>
      <c r="G83" s="76">
        <f>+ROUND(F83/VLOOKUP("Grand Total",$B$4:$F$301,5,0),4)</f>
        <v>2.0999999999999999E-3</v>
      </c>
      <c r="H83" s="76"/>
      <c r="I83" s="91" t="s">
        <v>381</v>
      </c>
      <c r="J83" s="101"/>
      <c r="L83" s="103"/>
    </row>
    <row r="84" spans="1:13" s="65" customFormat="1" ht="12.75" customHeight="1" x14ac:dyDescent="0.2">
      <c r="A84" s="77">
        <f t="shared" si="2"/>
        <v>73</v>
      </c>
      <c r="B84" s="77" t="s">
        <v>204</v>
      </c>
      <c r="C84" s="121" t="s">
        <v>570</v>
      </c>
      <c r="D84" s="77" t="s">
        <v>328</v>
      </c>
      <c r="E84" s="74">
        <v>-14400</v>
      </c>
      <c r="F84" s="80">
        <v>-38.066400000000002</v>
      </c>
      <c r="G84" s="76"/>
      <c r="H84" s="76">
        <f>+ROUND(F84/VLOOKUP("Grand Total",$B$4:$F$301,5,0),4)</f>
        <v>-2.0999999999999999E-3</v>
      </c>
      <c r="I84" s="104">
        <v>43125</v>
      </c>
      <c r="J84" s="101"/>
      <c r="L84" s="103"/>
    </row>
    <row r="85" spans="1:13" s="65" customFormat="1" ht="12.75" customHeight="1" x14ac:dyDescent="0.2">
      <c r="A85" s="77">
        <f t="shared" si="2"/>
        <v>74</v>
      </c>
      <c r="B85" s="77" t="s">
        <v>300</v>
      </c>
      <c r="C85" s="65" t="s">
        <v>179</v>
      </c>
      <c r="D85" s="77" t="s">
        <v>51</v>
      </c>
      <c r="E85" s="74">
        <v>24000</v>
      </c>
      <c r="F85" s="80">
        <v>33.072000000000003</v>
      </c>
      <c r="G85" s="76">
        <f>+ROUND(F85/VLOOKUP("Grand Total",$B$4:$F$301,5,0),4)</f>
        <v>1.8E-3</v>
      </c>
      <c r="H85" s="76"/>
      <c r="I85" s="91" t="s">
        <v>381</v>
      </c>
      <c r="J85" s="101"/>
      <c r="K85" s="90"/>
      <c r="L85" s="103"/>
    </row>
    <row r="86" spans="1:13" s="65" customFormat="1" ht="12.75" customHeight="1" x14ac:dyDescent="0.2">
      <c r="A86" s="77">
        <f t="shared" si="2"/>
        <v>75</v>
      </c>
      <c r="B86" s="77" t="s">
        <v>300</v>
      </c>
      <c r="C86" s="121" t="s">
        <v>570</v>
      </c>
      <c r="D86" s="77" t="s">
        <v>328</v>
      </c>
      <c r="E86" s="74">
        <v>-24000</v>
      </c>
      <c r="F86" s="80">
        <v>-33.311999999999998</v>
      </c>
      <c r="G86" s="76"/>
      <c r="H86" s="76">
        <f>+ROUND(F86/VLOOKUP("Grand Total",$B$4:$F$301,5,0),4)</f>
        <v>-1.8E-3</v>
      </c>
      <c r="I86" s="104">
        <v>43125</v>
      </c>
      <c r="J86" s="101"/>
      <c r="L86" s="103"/>
    </row>
    <row r="87" spans="1:13" s="46" customFormat="1" ht="12.75" customHeight="1" x14ac:dyDescent="0.2">
      <c r="A87"/>
      <c r="B87" s="18" t="s">
        <v>86</v>
      </c>
      <c r="C87" s="18"/>
      <c r="D87" s="18"/>
      <c r="E87" s="19"/>
      <c r="F87" s="19">
        <f>+F47+F49+F51+F53+F55+F57+F59+F61+F63+F65+F67+F69+F71+F73+F75+F77+F79+F81+F83+F85</f>
        <v>6715.1972000000014</v>
      </c>
      <c r="G87" s="79">
        <f>+G47+G49+G51+G53+G55+G57+G59+G61+G63+G65+G67+G69+G71+G73+G75+G77+G79+G81+G83+G85</f>
        <v>0.36629999999999996</v>
      </c>
      <c r="H87" s="79">
        <f>SUM(H47:H86)</f>
        <v>-0.36799999999999994</v>
      </c>
      <c r="I87" s="21"/>
      <c r="J87" s="56"/>
      <c r="L87" s="48"/>
    </row>
    <row r="88" spans="1:13" ht="12.75" customHeight="1" x14ac:dyDescent="0.2">
      <c r="F88" s="28"/>
      <c r="G88" s="28"/>
      <c r="H88" s="28"/>
      <c r="I88" s="15"/>
      <c r="J88" s="56"/>
    </row>
    <row r="89" spans="1:13" s="46" customFormat="1" ht="12.75" customHeight="1" x14ac:dyDescent="0.2">
      <c r="A89"/>
      <c r="B89" s="16" t="s">
        <v>92</v>
      </c>
      <c r="C89" s="16"/>
      <c r="D89"/>
      <c r="E89" s="28"/>
      <c r="F89" s="13"/>
      <c r="G89" s="14"/>
      <c r="H89" s="14"/>
      <c r="I89" s="15"/>
      <c r="J89" s="56"/>
      <c r="L89" s="48"/>
    </row>
    <row r="90" spans="1:13" s="46" customFormat="1" ht="12.75" customHeight="1" x14ac:dyDescent="0.2">
      <c r="A90"/>
      <c r="B90" s="16" t="s">
        <v>312</v>
      </c>
      <c r="C90" s="16"/>
      <c r="D90"/>
      <c r="E90" s="28"/>
      <c r="F90" s="13"/>
      <c r="G90" s="14"/>
      <c r="H90" s="14"/>
      <c r="I90" s="15"/>
      <c r="J90" s="56"/>
      <c r="K90"/>
      <c r="L90" s="36"/>
    </row>
    <row r="91" spans="1:13" s="46" customFormat="1" ht="12.75" customHeight="1" x14ac:dyDescent="0.2">
      <c r="A91" s="77">
        <f>+MAX($A$8:A90)+1</f>
        <v>76</v>
      </c>
      <c r="B91" t="s">
        <v>296</v>
      </c>
      <c r="C91" t="s">
        <v>590</v>
      </c>
      <c r="D91" t="s">
        <v>610</v>
      </c>
      <c r="E91" s="28">
        <v>38</v>
      </c>
      <c r="F91" s="13">
        <v>179.42004</v>
      </c>
      <c r="G91" s="76">
        <f>+ROUND(F91/VLOOKUP("Grand Total",$B$4:$F$301,5,0),4)</f>
        <v>9.7999999999999997E-3</v>
      </c>
      <c r="H91" s="76"/>
      <c r="I91" s="15">
        <v>43350</v>
      </c>
      <c r="J91" s="56"/>
      <c r="K91"/>
      <c r="L91" s="36"/>
    </row>
    <row r="92" spans="1:13" ht="12.75" customHeight="1" x14ac:dyDescent="0.2">
      <c r="B92" s="18" t="s">
        <v>86</v>
      </c>
      <c r="C92" s="18"/>
      <c r="D92" s="18"/>
      <c r="E92" s="29"/>
      <c r="F92" s="19">
        <f>SUM(F91:F91)</f>
        <v>179.42004</v>
      </c>
      <c r="G92" s="20">
        <f>SUM(G91:G91)</f>
        <v>9.7999999999999997E-3</v>
      </c>
      <c r="H92" s="20"/>
      <c r="I92" s="21"/>
      <c r="J92" s="56"/>
    </row>
    <row r="93" spans="1:13" ht="12.75" customHeight="1" x14ac:dyDescent="0.2">
      <c r="F93" s="44"/>
      <c r="G93" s="14"/>
      <c r="H93" s="14"/>
      <c r="I93" s="15"/>
      <c r="J93" s="56"/>
    </row>
    <row r="94" spans="1:13" ht="12.75" customHeight="1" x14ac:dyDescent="0.2">
      <c r="B94" s="16" t="s">
        <v>170</v>
      </c>
      <c r="F94" s="13"/>
      <c r="G94" s="14"/>
      <c r="H94" s="14"/>
      <c r="I94" s="15"/>
      <c r="J94" s="56"/>
    </row>
    <row r="95" spans="1:13" ht="12.75" customHeight="1" x14ac:dyDescent="0.2">
      <c r="A95" s="77">
        <f>+MAX($A$8:A94)+1</f>
        <v>77</v>
      </c>
      <c r="B95" t="s">
        <v>635</v>
      </c>
      <c r="C95" t="s">
        <v>636</v>
      </c>
      <c r="D95" t="s">
        <v>413</v>
      </c>
      <c r="E95" s="28">
        <v>83000</v>
      </c>
      <c r="F95" s="13">
        <v>81.994703999999999</v>
      </c>
      <c r="G95" s="76">
        <f>+ROUND(F95/VLOOKUP("Grand Total",$B$4:$F$301,5,0),4)</f>
        <v>4.4999999999999997E-3</v>
      </c>
      <c r="H95" s="76"/>
      <c r="I95" s="15">
        <v>43172</v>
      </c>
      <c r="J95" s="55"/>
    </row>
    <row r="96" spans="1:13" s="46" customFormat="1" ht="12.75" customHeight="1" x14ac:dyDescent="0.2">
      <c r="A96"/>
      <c r="B96" s="18" t="s">
        <v>86</v>
      </c>
      <c r="C96" s="18"/>
      <c r="D96" s="18"/>
      <c r="E96" s="29"/>
      <c r="F96" s="19">
        <f>SUM(F95)</f>
        <v>81.994703999999999</v>
      </c>
      <c r="G96" s="20">
        <f>SUM(G95)</f>
        <v>4.4999999999999997E-3</v>
      </c>
      <c r="H96" s="20"/>
      <c r="I96" s="21"/>
      <c r="J96" s="55"/>
      <c r="K96" s="36"/>
      <c r="L96"/>
      <c r="M96"/>
    </row>
    <row r="97" spans="1:13" s="46" customFormat="1" ht="12.75" customHeight="1" x14ac:dyDescent="0.2">
      <c r="B97" s="67"/>
      <c r="C97" s="67"/>
      <c r="D97" s="67"/>
      <c r="E97" s="68"/>
      <c r="F97" s="69"/>
      <c r="G97" s="70"/>
      <c r="H97" s="70"/>
      <c r="I97" s="71"/>
      <c r="J97" s="55"/>
      <c r="K97" s="48"/>
    </row>
    <row r="98" spans="1:13" s="46" customFormat="1" ht="12.75" customHeight="1" x14ac:dyDescent="0.2">
      <c r="B98" s="16" t="s">
        <v>126</v>
      </c>
      <c r="C98" s="67"/>
      <c r="D98" s="67"/>
      <c r="E98" s="68"/>
      <c r="F98" s="70"/>
      <c r="G98" s="70"/>
      <c r="H98" s="70"/>
      <c r="I98" s="71"/>
      <c r="J98" s="56"/>
      <c r="L98" s="48"/>
    </row>
    <row r="99" spans="1:13" s="46" customFormat="1" ht="12.75" customHeight="1" x14ac:dyDescent="0.2">
      <c r="B99" s="31" t="s">
        <v>311</v>
      </c>
      <c r="C99" s="16"/>
      <c r="D99"/>
      <c r="E99" s="28"/>
      <c r="F99" s="13"/>
      <c r="G99" s="14"/>
      <c r="H99" s="14"/>
      <c r="I99" s="71"/>
      <c r="J99" s="55"/>
      <c r="K99" s="48"/>
    </row>
    <row r="100" spans="1:13" s="46" customFormat="1" ht="12.75" customHeight="1" x14ac:dyDescent="0.2">
      <c r="A100" s="77">
        <f>+MAX($A$8:A99)+1</f>
        <v>78</v>
      </c>
      <c r="B100" s="65" t="s">
        <v>558</v>
      </c>
      <c r="C100" s="93" t="s">
        <v>535</v>
      </c>
      <c r="D100" t="s">
        <v>465</v>
      </c>
      <c r="E100" s="28">
        <v>40</v>
      </c>
      <c r="F100" s="13">
        <v>397.35759999999999</v>
      </c>
      <c r="G100" s="76">
        <f t="shared" ref="G100:G106" si="3">+ROUND(F100/VLOOKUP("Grand Total",$B$4:$F$301,5,0),4)</f>
        <v>2.1700000000000001E-2</v>
      </c>
      <c r="H100" s="76"/>
      <c r="I100" s="64">
        <v>43671</v>
      </c>
      <c r="J100" s="55"/>
      <c r="K100" s="48"/>
    </row>
    <row r="101" spans="1:13" s="46" customFormat="1" ht="12.75" customHeight="1" x14ac:dyDescent="0.2">
      <c r="A101" s="77">
        <f>+MAX($A$8:A100)+1</f>
        <v>79</v>
      </c>
      <c r="B101" s="65" t="s">
        <v>357</v>
      </c>
      <c r="C101" s="93" t="s">
        <v>358</v>
      </c>
      <c r="D101" t="s">
        <v>559</v>
      </c>
      <c r="E101" s="28">
        <v>33</v>
      </c>
      <c r="F101" s="13">
        <v>332.33805000000001</v>
      </c>
      <c r="G101" s="76">
        <f t="shared" si="3"/>
        <v>1.8100000000000002E-2</v>
      </c>
      <c r="H101" s="76"/>
      <c r="I101" s="64">
        <v>43309</v>
      </c>
      <c r="J101" s="55"/>
      <c r="K101" s="48"/>
    </row>
    <row r="102" spans="1:13" s="46" customFormat="1" ht="12.75" customHeight="1" x14ac:dyDescent="0.2">
      <c r="A102" s="77">
        <f>+MAX($A$8:A101)+1</f>
        <v>80</v>
      </c>
      <c r="B102" s="65" t="s">
        <v>637</v>
      </c>
      <c r="C102" s="93" t="s">
        <v>462</v>
      </c>
      <c r="D102" t="s">
        <v>176</v>
      </c>
      <c r="E102" s="28">
        <v>30</v>
      </c>
      <c r="F102" s="13">
        <v>301.08210000000003</v>
      </c>
      <c r="G102" s="76">
        <f t="shared" si="3"/>
        <v>1.6400000000000001E-2</v>
      </c>
      <c r="H102" s="76"/>
      <c r="I102" s="64">
        <v>43678</v>
      </c>
      <c r="J102" s="55"/>
      <c r="K102" s="48"/>
    </row>
    <row r="103" spans="1:13" s="46" customFormat="1" ht="12.75" customHeight="1" x14ac:dyDescent="0.2">
      <c r="A103" s="77">
        <f>+MAX($A$8:A102)+1</f>
        <v>81</v>
      </c>
      <c r="B103" s="65" t="s">
        <v>508</v>
      </c>
      <c r="C103" s="93" t="s">
        <v>509</v>
      </c>
      <c r="D103" t="s">
        <v>297</v>
      </c>
      <c r="E103" s="28">
        <v>30</v>
      </c>
      <c r="F103" s="13">
        <v>299.84460000000001</v>
      </c>
      <c r="G103" s="76">
        <f t="shared" si="3"/>
        <v>1.6400000000000001E-2</v>
      </c>
      <c r="H103" s="76"/>
      <c r="I103" s="64">
        <v>43630</v>
      </c>
      <c r="J103" s="55"/>
      <c r="K103" s="48"/>
    </row>
    <row r="104" spans="1:13" s="46" customFormat="1" ht="12.75" customHeight="1" x14ac:dyDescent="0.2">
      <c r="A104" s="77">
        <f>+MAX($A$8:A103)+1</f>
        <v>82</v>
      </c>
      <c r="B104" s="65" t="s">
        <v>367</v>
      </c>
      <c r="C104" s="93" t="s">
        <v>560</v>
      </c>
      <c r="D104" t="s">
        <v>369</v>
      </c>
      <c r="E104" s="28">
        <v>20000</v>
      </c>
      <c r="F104" s="13">
        <v>202.17840000000001</v>
      </c>
      <c r="G104" s="76">
        <f t="shared" si="3"/>
        <v>1.0999999999999999E-2</v>
      </c>
      <c r="H104" s="76"/>
      <c r="I104" s="64">
        <v>43717</v>
      </c>
      <c r="J104" s="55"/>
      <c r="K104" s="48"/>
    </row>
    <row r="105" spans="1:13" s="46" customFormat="1" ht="12.75" customHeight="1" x14ac:dyDescent="0.2">
      <c r="A105" s="77">
        <f>+MAX($A$8:A104)+1</f>
        <v>83</v>
      </c>
      <c r="B105" s="65" t="s">
        <v>431</v>
      </c>
      <c r="C105" s="93" t="s">
        <v>432</v>
      </c>
      <c r="D105" t="s">
        <v>369</v>
      </c>
      <c r="E105" s="28">
        <v>12</v>
      </c>
      <c r="F105" s="13">
        <v>120.52884</v>
      </c>
      <c r="G105" s="76">
        <f t="shared" si="3"/>
        <v>6.6E-3</v>
      </c>
      <c r="H105" s="76"/>
      <c r="I105" s="64">
        <v>43322</v>
      </c>
      <c r="J105" s="55"/>
      <c r="K105" s="48"/>
    </row>
    <row r="106" spans="1:13" s="46" customFormat="1" ht="12.75" customHeight="1" x14ac:dyDescent="0.2">
      <c r="A106" s="77">
        <f>+MAX($A$8:A105)+1</f>
        <v>84</v>
      </c>
      <c r="B106" s="65" t="s">
        <v>533</v>
      </c>
      <c r="C106" s="93" t="s">
        <v>534</v>
      </c>
      <c r="D106" t="s">
        <v>109</v>
      </c>
      <c r="E106" s="28">
        <v>8</v>
      </c>
      <c r="F106" s="13">
        <v>102.2499</v>
      </c>
      <c r="G106" s="76">
        <f t="shared" si="3"/>
        <v>5.5999999999999999E-3</v>
      </c>
      <c r="H106" s="76"/>
      <c r="I106" s="64">
        <v>43757</v>
      </c>
      <c r="J106" s="55"/>
      <c r="K106" s="48"/>
    </row>
    <row r="107" spans="1:13" ht="12.75" customHeight="1" x14ac:dyDescent="0.2">
      <c r="A107" s="46"/>
      <c r="B107" s="18" t="s">
        <v>86</v>
      </c>
      <c r="C107" s="18"/>
      <c r="D107" s="18"/>
      <c r="E107" s="29"/>
      <c r="F107" s="19">
        <f>SUM(F100:F106)</f>
        <v>1755.5794900000001</v>
      </c>
      <c r="G107" s="20">
        <f>SUM(G100:G106)</f>
        <v>9.5799999999999982E-2</v>
      </c>
      <c r="H107" s="20"/>
      <c r="I107" s="63"/>
      <c r="J107" s="56"/>
      <c r="K107" s="48"/>
      <c r="L107" s="46"/>
      <c r="M107" s="46"/>
    </row>
    <row r="108" spans="1:13" ht="12.75" customHeight="1" x14ac:dyDescent="0.2">
      <c r="F108" s="44"/>
      <c r="G108" s="14"/>
      <c r="H108" s="14"/>
      <c r="I108" s="15"/>
      <c r="J108" s="56"/>
      <c r="K108" s="36"/>
      <c r="L108"/>
    </row>
    <row r="109" spans="1:13" ht="12.75" customHeight="1" x14ac:dyDescent="0.2">
      <c r="B109" s="16" t="s">
        <v>93</v>
      </c>
      <c r="C109" s="16"/>
      <c r="F109" s="13"/>
      <c r="G109" s="14"/>
      <c r="H109" s="14"/>
      <c r="I109" s="73"/>
      <c r="J109"/>
      <c r="K109" s="36"/>
      <c r="L109"/>
    </row>
    <row r="110" spans="1:13" ht="12.75" customHeight="1" x14ac:dyDescent="0.2">
      <c r="A110" s="77">
        <f>+MAX($A$8:A109)+1</f>
        <v>85</v>
      </c>
      <c r="B110" t="s">
        <v>461</v>
      </c>
      <c r="C110" t="s">
        <v>360</v>
      </c>
      <c r="D110" t="s">
        <v>325</v>
      </c>
      <c r="E110" s="28">
        <v>36927.714500000002</v>
      </c>
      <c r="F110" s="13">
        <v>611.81416409999997</v>
      </c>
      <c r="G110" s="76">
        <f>+ROUND(F110/VLOOKUP("Grand Total",$B$4:$F$301,5,0),4)</f>
        <v>3.3399999999999999E-2</v>
      </c>
      <c r="H110" s="76"/>
      <c r="I110" s="73" t="s">
        <v>381</v>
      </c>
      <c r="J110"/>
      <c r="K110" s="36"/>
      <c r="L110"/>
    </row>
    <row r="111" spans="1:13" ht="12.75" customHeight="1" x14ac:dyDescent="0.2">
      <c r="B111" s="18" t="s">
        <v>86</v>
      </c>
      <c r="C111" s="18"/>
      <c r="D111" s="18"/>
      <c r="E111" s="29"/>
      <c r="F111" s="19">
        <f>SUM(F110:F110)</f>
        <v>611.81416409999997</v>
      </c>
      <c r="G111" s="20">
        <f>SUM(G110)</f>
        <v>3.3399999999999999E-2</v>
      </c>
      <c r="H111" s="20"/>
      <c r="I111" s="21"/>
      <c r="J111"/>
      <c r="K111" s="36"/>
      <c r="L111"/>
    </row>
    <row r="112" spans="1:13" s="46" customFormat="1" ht="12.75" customHeight="1" x14ac:dyDescent="0.2">
      <c r="B112" s="67"/>
      <c r="C112" s="67"/>
      <c r="D112" s="67"/>
      <c r="E112" s="68"/>
      <c r="F112" s="69"/>
      <c r="G112" s="70"/>
      <c r="H112" s="70"/>
      <c r="K112" s="48"/>
    </row>
    <row r="113" spans="1:12" ht="12.75" customHeight="1" x14ac:dyDescent="0.2">
      <c r="A113" s="95" t="s">
        <v>380</v>
      </c>
      <c r="B113" s="16" t="s">
        <v>94</v>
      </c>
      <c r="C113" s="16"/>
      <c r="F113" s="13">
        <v>1098.2828043000002</v>
      </c>
      <c r="G113" s="76">
        <f>+ROUND(F113/VLOOKUP("Grand Total",$B$4:$F$301,5,0),4)</f>
        <v>5.9900000000000002E-2</v>
      </c>
      <c r="H113" s="76"/>
      <c r="I113" s="15">
        <v>43101</v>
      </c>
      <c r="J113" s="55"/>
    </row>
    <row r="114" spans="1:12" ht="12.75" customHeight="1" x14ac:dyDescent="0.2">
      <c r="B114" s="18" t="s">
        <v>86</v>
      </c>
      <c r="C114" s="18"/>
      <c r="D114" s="18"/>
      <c r="E114" s="29"/>
      <c r="F114" s="19">
        <f>SUM(F113)</f>
        <v>1098.2828043000002</v>
      </c>
      <c r="G114" s="20">
        <f>SUM(G113)</f>
        <v>5.9900000000000002E-2</v>
      </c>
      <c r="H114" s="20"/>
      <c r="I114" s="21"/>
      <c r="J114" s="56"/>
    </row>
    <row r="115" spans="1:12" ht="12.75" customHeight="1" x14ac:dyDescent="0.2">
      <c r="F115" s="13"/>
      <c r="G115" s="14"/>
      <c r="H115" s="14"/>
      <c r="I115" s="15"/>
      <c r="J115" s="56"/>
    </row>
    <row r="116" spans="1:12" ht="12.75" customHeight="1" x14ac:dyDescent="0.2">
      <c r="B116" s="16" t="s">
        <v>95</v>
      </c>
      <c r="C116" s="16"/>
      <c r="F116" s="13"/>
      <c r="G116" s="14"/>
      <c r="H116" s="14"/>
      <c r="I116" s="15"/>
      <c r="J116" s="56"/>
    </row>
    <row r="117" spans="1:12" ht="12.75" customHeight="1" x14ac:dyDescent="0.2">
      <c r="B117" s="16" t="s">
        <v>96</v>
      </c>
      <c r="C117" s="16"/>
      <c r="F117" s="44">
        <f>+F119-SUMIF($B$5:B116,"Total",$F$5:F116)</f>
        <v>1881.2268936999935</v>
      </c>
      <c r="G117" s="14">
        <f>+ROUND(F117/VLOOKUP("Grand Total",$B$4:$F$282,5,0),4)+0.02%</f>
        <v>0.1028</v>
      </c>
      <c r="H117" s="14"/>
      <c r="I117" s="15"/>
      <c r="J117" s="55"/>
    </row>
    <row r="118" spans="1:12" ht="12.75" customHeight="1" x14ac:dyDescent="0.2">
      <c r="B118" s="18" t="s">
        <v>86</v>
      </c>
      <c r="C118" s="18"/>
      <c r="D118" s="18"/>
      <c r="E118" s="29"/>
      <c r="F118" s="19">
        <f>SUM(F117)</f>
        <v>1881.2268936999935</v>
      </c>
      <c r="G118" s="20">
        <f>SUM(G117)</f>
        <v>0.1028</v>
      </c>
      <c r="H118" s="20"/>
      <c r="I118" s="21"/>
      <c r="J118" s="39"/>
    </row>
    <row r="119" spans="1:12" ht="12.75" customHeight="1" x14ac:dyDescent="0.2">
      <c r="B119" s="22" t="s">
        <v>97</v>
      </c>
      <c r="C119" s="22"/>
      <c r="D119" s="22"/>
      <c r="E119" s="30"/>
      <c r="F119" s="23">
        <v>18332.414776599999</v>
      </c>
      <c r="G119" s="24">
        <f>+SUMIF($B$5:B118,"Total",$G$5:G118)</f>
        <v>0.99999999999999989</v>
      </c>
      <c r="H119" s="24"/>
      <c r="I119" s="25"/>
      <c r="L119"/>
    </row>
    <row r="120" spans="1:12" ht="12.75" customHeight="1" x14ac:dyDescent="0.2">
      <c r="F120" s="40"/>
      <c r="L120"/>
    </row>
    <row r="121" spans="1:12" ht="12.75" customHeight="1" x14ac:dyDescent="0.2">
      <c r="B121" s="16" t="s">
        <v>799</v>
      </c>
      <c r="C121" s="16"/>
      <c r="F121" s="42"/>
      <c r="L121"/>
    </row>
    <row r="122" spans="1:12" ht="12.75" customHeight="1" x14ac:dyDescent="0.2">
      <c r="B122" s="16" t="s">
        <v>189</v>
      </c>
      <c r="C122" s="16"/>
      <c r="G122" s="14"/>
      <c r="H122" s="14"/>
      <c r="L122"/>
    </row>
    <row r="123" spans="1:12" ht="12.75" customHeight="1" x14ac:dyDescent="0.2">
      <c r="B123" s="16"/>
      <c r="C123" s="16"/>
      <c r="L123"/>
    </row>
    <row r="124" spans="1:12" ht="12.75" customHeight="1" x14ac:dyDescent="0.2">
      <c r="L124"/>
    </row>
    <row r="125" spans="1:12" ht="12.75" customHeight="1" x14ac:dyDescent="0.2">
      <c r="L125"/>
    </row>
    <row r="126" spans="1:12" ht="12.75" customHeight="1" x14ac:dyDescent="0.2">
      <c r="L126"/>
    </row>
    <row r="127" spans="1:12" ht="12.75" customHeight="1" x14ac:dyDescent="0.2">
      <c r="L127"/>
    </row>
    <row r="128" spans="1:12" ht="12.75" customHeight="1" x14ac:dyDescent="0.2">
      <c r="L128"/>
    </row>
    <row r="129" spans="5:12" ht="12.75" customHeight="1" x14ac:dyDescent="0.2">
      <c r="L129"/>
    </row>
    <row r="130" spans="5:12" ht="12.75" customHeight="1" x14ac:dyDescent="0.2">
      <c r="L130"/>
    </row>
    <row r="131" spans="5:12" ht="12.75" customHeight="1" x14ac:dyDescent="0.2">
      <c r="L131"/>
    </row>
    <row r="132" spans="5:12" ht="12.75" customHeight="1" x14ac:dyDescent="0.2">
      <c r="J132"/>
      <c r="L132"/>
    </row>
    <row r="133" spans="5:12" ht="12.75" customHeight="1" x14ac:dyDescent="0.2">
      <c r="E133"/>
      <c r="J133"/>
      <c r="L133"/>
    </row>
    <row r="134" spans="5:12" ht="12.75" customHeight="1" x14ac:dyDescent="0.2">
      <c r="E134"/>
      <c r="J134"/>
      <c r="L134"/>
    </row>
    <row r="135" spans="5:12" ht="12.75" customHeight="1" x14ac:dyDescent="0.2">
      <c r="E135"/>
      <c r="J135"/>
      <c r="L135"/>
    </row>
    <row r="136" spans="5:12" ht="12.75" customHeight="1" x14ac:dyDescent="0.2">
      <c r="E136"/>
      <c r="J136"/>
      <c r="L136"/>
    </row>
    <row r="137" spans="5:12" ht="12.75" customHeight="1" x14ac:dyDescent="0.2">
      <c r="E137"/>
      <c r="J137"/>
      <c r="L137"/>
    </row>
    <row r="138" spans="5:12" ht="12.75" customHeight="1" x14ac:dyDescent="0.2">
      <c r="E138"/>
      <c r="J138"/>
      <c r="L138"/>
    </row>
    <row r="139" spans="5:12" ht="12.75" customHeight="1" x14ac:dyDescent="0.2">
      <c r="E139"/>
      <c r="J139"/>
      <c r="L139"/>
    </row>
    <row r="140" spans="5:12" ht="12.75" customHeight="1" x14ac:dyDescent="0.2">
      <c r="E140"/>
      <c r="J140"/>
      <c r="L140"/>
    </row>
    <row r="141" spans="5:12" ht="12.75" customHeight="1" x14ac:dyDescent="0.2">
      <c r="E141"/>
      <c r="J141"/>
      <c r="L141"/>
    </row>
    <row r="142" spans="5:12" ht="12.75" customHeight="1" x14ac:dyDescent="0.2">
      <c r="E142"/>
      <c r="J142"/>
      <c r="L142"/>
    </row>
    <row r="143" spans="5:12" ht="12.75" customHeight="1" x14ac:dyDescent="0.2">
      <c r="E143"/>
      <c r="J143"/>
      <c r="L143"/>
    </row>
    <row r="144" spans="5:12" ht="12.75" customHeight="1" x14ac:dyDescent="0.2">
      <c r="E144"/>
      <c r="J144"/>
      <c r="L144"/>
    </row>
    <row r="145" spans="5:12" ht="12.75" customHeight="1" x14ac:dyDescent="0.2">
      <c r="E145"/>
      <c r="J145"/>
      <c r="L145"/>
    </row>
    <row r="146" spans="5:12" ht="12.75" customHeight="1" x14ac:dyDescent="0.2">
      <c r="E146"/>
      <c r="J146"/>
      <c r="L146"/>
    </row>
    <row r="147" spans="5:12" ht="12.75" customHeight="1" x14ac:dyDescent="0.2">
      <c r="E147"/>
      <c r="J147"/>
      <c r="L147"/>
    </row>
    <row r="148" spans="5:12" ht="12.75" customHeight="1" x14ac:dyDescent="0.2">
      <c r="E148"/>
      <c r="J148"/>
      <c r="L148"/>
    </row>
    <row r="149" spans="5:12" ht="12.75" customHeight="1" x14ac:dyDescent="0.2">
      <c r="E149"/>
      <c r="J149"/>
      <c r="L149"/>
    </row>
    <row r="150" spans="5:12" ht="12.75" customHeight="1" x14ac:dyDescent="0.2">
      <c r="E150"/>
      <c r="J150"/>
      <c r="L150"/>
    </row>
    <row r="151" spans="5:12" ht="12.75" customHeight="1" x14ac:dyDescent="0.2">
      <c r="E151"/>
      <c r="J151"/>
      <c r="L151"/>
    </row>
    <row r="152" spans="5:12" ht="12.75" customHeight="1" x14ac:dyDescent="0.2">
      <c r="E152"/>
      <c r="J152"/>
      <c r="L152"/>
    </row>
    <row r="153" spans="5:12" ht="12.75" customHeight="1" x14ac:dyDescent="0.2">
      <c r="E153"/>
      <c r="J153"/>
      <c r="L153"/>
    </row>
    <row r="154" spans="5:12" ht="12.75" customHeight="1" x14ac:dyDescent="0.2">
      <c r="E154"/>
      <c r="J154"/>
      <c r="L154"/>
    </row>
    <row r="155" spans="5:12" ht="12.75" customHeight="1" x14ac:dyDescent="0.2">
      <c r="E155"/>
      <c r="J155"/>
      <c r="L155"/>
    </row>
    <row r="156" spans="5:12" ht="12.75" customHeight="1" x14ac:dyDescent="0.2">
      <c r="E156"/>
      <c r="J156"/>
      <c r="L156"/>
    </row>
    <row r="157" spans="5:12" ht="12.75" customHeight="1" x14ac:dyDescent="0.2">
      <c r="E157"/>
      <c r="J157"/>
      <c r="L157"/>
    </row>
    <row r="158" spans="5:12" ht="12.75" customHeight="1" x14ac:dyDescent="0.2">
      <c r="E158"/>
      <c r="J158"/>
      <c r="L158"/>
    </row>
    <row r="159" spans="5:12" ht="12.75" customHeight="1" x14ac:dyDescent="0.2">
      <c r="E159"/>
      <c r="J159"/>
      <c r="L159"/>
    </row>
    <row r="160" spans="5:12" ht="12.75" customHeight="1" x14ac:dyDescent="0.2">
      <c r="E160"/>
      <c r="J160"/>
      <c r="L160"/>
    </row>
    <row r="161" spans="5:12" ht="12.75" customHeight="1" x14ac:dyDescent="0.2">
      <c r="E161"/>
      <c r="J161"/>
      <c r="L161"/>
    </row>
    <row r="162" spans="5:12" ht="12.75" customHeight="1" x14ac:dyDescent="0.2">
      <c r="E162"/>
      <c r="J162"/>
      <c r="L162"/>
    </row>
    <row r="163" spans="5:12" ht="12.75" customHeight="1" x14ac:dyDescent="0.2">
      <c r="E163"/>
      <c r="J163"/>
      <c r="L163"/>
    </row>
    <row r="164" spans="5:12" ht="12.75" customHeight="1" x14ac:dyDescent="0.2">
      <c r="E164"/>
      <c r="J164"/>
      <c r="L164"/>
    </row>
    <row r="165" spans="5:12" ht="12.75" customHeight="1" x14ac:dyDescent="0.2">
      <c r="E165"/>
      <c r="J165"/>
      <c r="L165"/>
    </row>
    <row r="166" spans="5:12" ht="12.75" customHeight="1" x14ac:dyDescent="0.2">
      <c r="E166"/>
      <c r="J166"/>
      <c r="L166"/>
    </row>
    <row r="167" spans="5:12" ht="12.75" customHeight="1" x14ac:dyDescent="0.2">
      <c r="E167"/>
      <c r="J167"/>
      <c r="L167"/>
    </row>
    <row r="168" spans="5:12" ht="12.75" customHeight="1" x14ac:dyDescent="0.2">
      <c r="E168"/>
      <c r="J168"/>
      <c r="L168"/>
    </row>
    <row r="169" spans="5:12" ht="12.75" customHeight="1" x14ac:dyDescent="0.2">
      <c r="E169"/>
      <c r="J169"/>
      <c r="L169"/>
    </row>
    <row r="170" spans="5:12" x14ac:dyDescent="0.2">
      <c r="E170"/>
      <c r="J170"/>
      <c r="L170"/>
    </row>
    <row r="171" spans="5:12" x14ac:dyDescent="0.2">
      <c r="E171"/>
    </row>
  </sheetData>
  <sheetProtection password="EDB3" sheet="1" objects="1" scenarios="1"/>
  <sortState ref="K9:L36">
    <sortCondition descending="1" ref="L9:L36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388</v>
      </c>
      <c r="B1" s="123" t="s">
        <v>165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417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194</v>
      </c>
      <c r="C9" t="s">
        <v>13</v>
      </c>
      <c r="D9" t="s">
        <v>10</v>
      </c>
      <c r="E9" s="28">
        <v>96534</v>
      </c>
      <c r="F9" s="13">
        <v>1807.502616</v>
      </c>
      <c r="G9" s="14">
        <f t="shared" ref="G9:G40" si="0">+ROUND(F9/VLOOKUP("Grand Total",$B$4:$F$279,5,0),4)</f>
        <v>4.58E-2</v>
      </c>
      <c r="H9" s="15" t="s">
        <v>381</v>
      </c>
      <c r="J9" s="14" t="s">
        <v>10</v>
      </c>
      <c r="K9" s="48">
        <f t="shared" ref="K9:K31" si="1">SUMIFS($G$5:$G$316,$D$5:$D$316,J9)</f>
        <v>0.2203</v>
      </c>
    </row>
    <row r="10" spans="1:16" ht="12.75" customHeight="1" x14ac:dyDescent="0.2">
      <c r="A10">
        <f>+MAX($A$8:A9)+1</f>
        <v>2</v>
      </c>
      <c r="B10" t="s">
        <v>197</v>
      </c>
      <c r="C10" t="s">
        <v>11</v>
      </c>
      <c r="D10" t="s">
        <v>10</v>
      </c>
      <c r="E10" s="28">
        <v>502443</v>
      </c>
      <c r="F10" s="13">
        <v>1577.67102</v>
      </c>
      <c r="G10" s="14">
        <f t="shared" si="0"/>
        <v>0.04</v>
      </c>
      <c r="H10" s="15" t="s">
        <v>381</v>
      </c>
      <c r="J10" s="14" t="s">
        <v>26</v>
      </c>
      <c r="K10" s="48">
        <f t="shared" si="1"/>
        <v>0.1143</v>
      </c>
    </row>
    <row r="11" spans="1:16" ht="12.75" customHeight="1" x14ac:dyDescent="0.2">
      <c r="A11">
        <f>+MAX($A$8:A10)+1</f>
        <v>3</v>
      </c>
      <c r="B11" t="s">
        <v>196</v>
      </c>
      <c r="C11" t="s">
        <v>31</v>
      </c>
      <c r="D11" t="s">
        <v>30</v>
      </c>
      <c r="E11" s="28">
        <v>138452</v>
      </c>
      <c r="F11" s="13">
        <v>1275.2121459999998</v>
      </c>
      <c r="G11" s="14">
        <f t="shared" si="0"/>
        <v>3.2300000000000002E-2</v>
      </c>
      <c r="H11" s="15" t="s">
        <v>381</v>
      </c>
      <c r="J11" s="14" t="s">
        <v>22</v>
      </c>
      <c r="K11" s="48">
        <f t="shared" si="1"/>
        <v>5.91E-2</v>
      </c>
      <c r="M11" s="14"/>
      <c r="N11" s="36"/>
      <c r="O11" s="36"/>
      <c r="P11" s="14"/>
    </row>
    <row r="12" spans="1:16" ht="12.75" customHeight="1" x14ac:dyDescent="0.2">
      <c r="A12">
        <f>+MAX($A$8:A11)+1</f>
        <v>4</v>
      </c>
      <c r="B12" t="s">
        <v>16</v>
      </c>
      <c r="C12" t="s">
        <v>17</v>
      </c>
      <c r="D12" t="s">
        <v>10</v>
      </c>
      <c r="E12" s="28">
        <v>369301</v>
      </c>
      <c r="F12" s="13">
        <v>1144.4637990000001</v>
      </c>
      <c r="G12" s="14">
        <f t="shared" si="0"/>
        <v>2.9000000000000001E-2</v>
      </c>
      <c r="H12" s="15" t="s">
        <v>381</v>
      </c>
      <c r="J12" s="14" t="s">
        <v>20</v>
      </c>
      <c r="K12" s="48">
        <f t="shared" si="1"/>
        <v>5.5600000000000004E-2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234</v>
      </c>
      <c r="C13" t="s">
        <v>79</v>
      </c>
      <c r="D13" t="s">
        <v>26</v>
      </c>
      <c r="E13" s="28">
        <v>30366</v>
      </c>
      <c r="F13" s="13">
        <v>1114.082991</v>
      </c>
      <c r="G13" s="14">
        <f t="shared" si="0"/>
        <v>2.8199999999999999E-2</v>
      </c>
      <c r="H13" s="15" t="s">
        <v>381</v>
      </c>
      <c r="J13" s="14" t="s">
        <v>28</v>
      </c>
      <c r="K13" s="48">
        <f t="shared" si="1"/>
        <v>5.4899999999999997E-2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195</v>
      </c>
      <c r="C14" t="s">
        <v>15</v>
      </c>
      <c r="D14" t="s">
        <v>14</v>
      </c>
      <c r="E14" s="28">
        <v>96097</v>
      </c>
      <c r="F14" s="13">
        <v>1001.3787884999999</v>
      </c>
      <c r="G14" s="14">
        <f t="shared" si="0"/>
        <v>2.5399999999999999E-2</v>
      </c>
      <c r="H14" s="15" t="s">
        <v>381</v>
      </c>
      <c r="J14" s="14" t="s">
        <v>18</v>
      </c>
      <c r="K14" s="48">
        <f t="shared" si="1"/>
        <v>5.45E-2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227</v>
      </c>
      <c r="C15" t="s">
        <v>66</v>
      </c>
      <c r="D15" t="s">
        <v>28</v>
      </c>
      <c r="E15" s="28">
        <v>238268</v>
      </c>
      <c r="F15" s="13">
        <v>913.51951200000008</v>
      </c>
      <c r="G15" s="14">
        <f t="shared" si="0"/>
        <v>2.3099999999999999E-2</v>
      </c>
      <c r="H15" s="15" t="s">
        <v>381</v>
      </c>
      <c r="J15" s="14" t="s">
        <v>136</v>
      </c>
      <c r="K15" s="48">
        <f t="shared" si="1"/>
        <v>5.3800000000000001E-2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322</v>
      </c>
      <c r="C16" t="s">
        <v>323</v>
      </c>
      <c r="D16" t="s">
        <v>146</v>
      </c>
      <c r="E16" s="28">
        <v>174566</v>
      </c>
      <c r="F16" s="13">
        <v>868.81498199999999</v>
      </c>
      <c r="G16" s="14">
        <f t="shared" si="0"/>
        <v>2.1999999999999999E-2</v>
      </c>
      <c r="H16" s="15" t="s">
        <v>381</v>
      </c>
      <c r="J16" s="14" t="s">
        <v>14</v>
      </c>
      <c r="K16" s="48">
        <f t="shared" si="1"/>
        <v>5.3400000000000003E-2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228</v>
      </c>
      <c r="C17" t="s">
        <v>71</v>
      </c>
      <c r="D17" t="s">
        <v>28</v>
      </c>
      <c r="E17" s="28">
        <v>68362</v>
      </c>
      <c r="F17" s="13">
        <v>860.16486499999996</v>
      </c>
      <c r="G17" s="14">
        <f t="shared" si="0"/>
        <v>2.18E-2</v>
      </c>
      <c r="H17" s="15" t="s">
        <v>381</v>
      </c>
      <c r="J17" s="14" t="s">
        <v>36</v>
      </c>
      <c r="K17" s="48">
        <f t="shared" si="1"/>
        <v>4.6699999999999998E-2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314</v>
      </c>
      <c r="C18" t="s">
        <v>57</v>
      </c>
      <c r="D18" t="s">
        <v>26</v>
      </c>
      <c r="E18" s="28">
        <v>49662</v>
      </c>
      <c r="F18" s="13">
        <v>845.52038099999993</v>
      </c>
      <c r="G18" s="14">
        <f t="shared" si="0"/>
        <v>2.1399999999999999E-2</v>
      </c>
      <c r="H18" s="15" t="s">
        <v>381</v>
      </c>
      <c r="J18" s="14" t="s">
        <v>24</v>
      </c>
      <c r="K18" s="48">
        <f t="shared" si="1"/>
        <v>4.5499999999999999E-2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315</v>
      </c>
      <c r="C19" t="s">
        <v>77</v>
      </c>
      <c r="D19" t="s">
        <v>38</v>
      </c>
      <c r="E19" s="28">
        <v>224228</v>
      </c>
      <c r="F19" s="13">
        <v>826.39229400000011</v>
      </c>
      <c r="G19" s="14">
        <f t="shared" si="0"/>
        <v>2.0899999999999998E-2</v>
      </c>
      <c r="H19" s="15" t="s">
        <v>381</v>
      </c>
      <c r="J19" s="14" t="s">
        <v>30</v>
      </c>
      <c r="K19" s="48">
        <f t="shared" si="1"/>
        <v>3.9600000000000003E-2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404</v>
      </c>
      <c r="C20" t="s">
        <v>403</v>
      </c>
      <c r="D20" t="s">
        <v>26</v>
      </c>
      <c r="E20" s="28">
        <v>230229</v>
      </c>
      <c r="F20" s="13">
        <v>805.11081300000001</v>
      </c>
      <c r="G20" s="14">
        <f t="shared" si="0"/>
        <v>2.0400000000000001E-2</v>
      </c>
      <c r="H20" s="15" t="s">
        <v>381</v>
      </c>
      <c r="J20" s="14" t="s">
        <v>38</v>
      </c>
      <c r="K20" s="48">
        <f t="shared" si="1"/>
        <v>3.85E-2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212</v>
      </c>
      <c r="C21" t="s">
        <v>49</v>
      </c>
      <c r="D21" t="s">
        <v>20</v>
      </c>
      <c r="E21" s="28">
        <v>8177</v>
      </c>
      <c r="F21" s="13">
        <v>795.5853034999999</v>
      </c>
      <c r="G21" s="14">
        <f t="shared" si="0"/>
        <v>2.0199999999999999E-2</v>
      </c>
      <c r="H21" s="15" t="s">
        <v>381</v>
      </c>
      <c r="J21" t="s">
        <v>41</v>
      </c>
      <c r="K21" s="48">
        <f t="shared" si="1"/>
        <v>3.0599999999999999E-2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353</v>
      </c>
      <c r="C22" t="s">
        <v>423</v>
      </c>
      <c r="D22" t="s">
        <v>136</v>
      </c>
      <c r="E22" s="28">
        <v>79962</v>
      </c>
      <c r="F22" s="13">
        <v>779.86938599999996</v>
      </c>
      <c r="G22" s="14">
        <f t="shared" si="0"/>
        <v>1.9800000000000002E-2</v>
      </c>
      <c r="H22" s="15" t="s">
        <v>381</v>
      </c>
      <c r="J22" s="14" t="s">
        <v>146</v>
      </c>
      <c r="K22" s="48">
        <f t="shared" si="1"/>
        <v>2.1999999999999999E-2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209</v>
      </c>
      <c r="C23" t="s">
        <v>52</v>
      </c>
      <c r="D23" t="s">
        <v>41</v>
      </c>
      <c r="E23" s="28">
        <v>618703</v>
      </c>
      <c r="F23" s="13">
        <v>778.01902250000001</v>
      </c>
      <c r="G23" s="14">
        <f t="shared" si="0"/>
        <v>1.9699999999999999E-2</v>
      </c>
      <c r="H23" s="15" t="s">
        <v>381</v>
      </c>
      <c r="J23" s="14" t="s">
        <v>45</v>
      </c>
      <c r="K23" s="48">
        <f t="shared" si="1"/>
        <v>2.0799999999999999E-2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575</v>
      </c>
      <c r="C24" t="s">
        <v>576</v>
      </c>
      <c r="D24" t="s">
        <v>136</v>
      </c>
      <c r="E24" s="28">
        <v>207654</v>
      </c>
      <c r="F24" s="13">
        <v>769.04658900000004</v>
      </c>
      <c r="G24" s="14">
        <f t="shared" si="0"/>
        <v>1.95E-2</v>
      </c>
      <c r="H24" s="15" t="s">
        <v>381</v>
      </c>
      <c r="J24" s="14" t="s">
        <v>515</v>
      </c>
      <c r="K24" s="48">
        <f t="shared" si="1"/>
        <v>1.9799999999999998E-2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198</v>
      </c>
      <c r="C25" t="s">
        <v>21</v>
      </c>
      <c r="D25" t="s">
        <v>20</v>
      </c>
      <c r="E25" s="28">
        <v>170826</v>
      </c>
      <c r="F25" s="13">
        <v>737.7120809999999</v>
      </c>
      <c r="G25" s="14">
        <f t="shared" si="0"/>
        <v>1.8700000000000001E-2</v>
      </c>
      <c r="H25" s="15" t="s">
        <v>381</v>
      </c>
      <c r="J25" s="14" t="s">
        <v>422</v>
      </c>
      <c r="K25" s="48">
        <f t="shared" si="1"/>
        <v>1.7100000000000001E-2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253</v>
      </c>
      <c r="C26" t="s">
        <v>116</v>
      </c>
      <c r="D26" t="s">
        <v>36</v>
      </c>
      <c r="E26" s="28">
        <v>396200</v>
      </c>
      <c r="F26" s="13">
        <v>701.274</v>
      </c>
      <c r="G26" s="14">
        <f t="shared" si="0"/>
        <v>1.78E-2</v>
      </c>
      <c r="H26" s="15" t="s">
        <v>381</v>
      </c>
      <c r="J26" s="14" t="s">
        <v>51</v>
      </c>
      <c r="K26" s="48">
        <f t="shared" si="1"/>
        <v>1.2800000000000001E-2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376</v>
      </c>
      <c r="C27" t="s">
        <v>377</v>
      </c>
      <c r="D27" t="s">
        <v>38</v>
      </c>
      <c r="E27" s="28">
        <v>683360</v>
      </c>
      <c r="F27" s="13">
        <v>692.92704000000003</v>
      </c>
      <c r="G27" s="14">
        <f t="shared" si="0"/>
        <v>1.7600000000000001E-2</v>
      </c>
      <c r="H27" s="15" t="s">
        <v>381</v>
      </c>
      <c r="J27" s="14" t="s">
        <v>43</v>
      </c>
      <c r="K27" s="48">
        <f t="shared" si="1"/>
        <v>1.14E-2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420</v>
      </c>
      <c r="C28" t="s">
        <v>421</v>
      </c>
      <c r="D28" t="s">
        <v>422</v>
      </c>
      <c r="E28" s="28">
        <v>442400</v>
      </c>
      <c r="F28" s="13">
        <v>674.43880000000001</v>
      </c>
      <c r="G28" s="14">
        <f t="shared" si="0"/>
        <v>1.7100000000000001E-2</v>
      </c>
      <c r="H28" s="15" t="s">
        <v>381</v>
      </c>
      <c r="J28" t="s">
        <v>34</v>
      </c>
      <c r="K28" s="48">
        <f t="shared" si="1"/>
        <v>9.4999999999999998E-3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200</v>
      </c>
      <c r="C29" t="s">
        <v>27</v>
      </c>
      <c r="D29" t="s">
        <v>24</v>
      </c>
      <c r="E29" s="28">
        <v>39070</v>
      </c>
      <c r="F29" s="13">
        <v>668.25328000000002</v>
      </c>
      <c r="G29" s="14">
        <f t="shared" si="0"/>
        <v>1.6899999999999998E-2</v>
      </c>
      <c r="H29" s="15" t="s">
        <v>381</v>
      </c>
      <c r="J29" s="14" t="s">
        <v>32</v>
      </c>
      <c r="K29" s="48">
        <f t="shared" si="1"/>
        <v>6.3E-3</v>
      </c>
      <c r="L29" s="54">
        <f>+SUM($K$9:K27)</f>
        <v>0.9706999999999999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206</v>
      </c>
      <c r="C30" t="s">
        <v>48</v>
      </c>
      <c r="D30" t="s">
        <v>26</v>
      </c>
      <c r="E30" s="28">
        <v>14166</v>
      </c>
      <c r="F30" s="13">
        <v>667.11235499999998</v>
      </c>
      <c r="G30" s="14">
        <f t="shared" si="0"/>
        <v>1.6899999999999998E-2</v>
      </c>
      <c r="H30" s="15" t="s">
        <v>381</v>
      </c>
      <c r="J30" s="14" t="s">
        <v>447</v>
      </c>
      <c r="K30" s="48">
        <f t="shared" si="1"/>
        <v>4.1000000000000003E-3</v>
      </c>
      <c r="L30" s="54"/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251</v>
      </c>
      <c r="C31" t="s">
        <v>113</v>
      </c>
      <c r="D31" t="s">
        <v>20</v>
      </c>
      <c r="E31" s="28">
        <v>17448</v>
      </c>
      <c r="F31" s="13">
        <v>660.43297200000006</v>
      </c>
      <c r="G31" s="14">
        <f t="shared" si="0"/>
        <v>1.67E-2</v>
      </c>
      <c r="H31" s="15" t="s">
        <v>381</v>
      </c>
      <c r="J31" s="14" t="s">
        <v>103</v>
      </c>
      <c r="K31" s="48">
        <f t="shared" si="1"/>
        <v>0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204</v>
      </c>
      <c r="C32" t="s">
        <v>46</v>
      </c>
      <c r="D32" t="s">
        <v>26</v>
      </c>
      <c r="E32" s="28">
        <v>244866</v>
      </c>
      <c r="F32" s="13">
        <v>644.60974499999998</v>
      </c>
      <c r="G32" s="14">
        <f t="shared" si="0"/>
        <v>1.6299999999999999E-2</v>
      </c>
      <c r="H32" s="15" t="s">
        <v>381</v>
      </c>
      <c r="J32" s="14" t="s">
        <v>64</v>
      </c>
      <c r="K32" s="48">
        <f>+SUMIFS($G$5:$G$1000,$B$5:$B$1000,"CBLO / Reverse Repo Investments")+SUMIFS($G$5:$G$1000,$B$5:$B$1000,"Net Receivable/Payable")</f>
        <v>9.4000000000000004E-3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218</v>
      </c>
      <c r="C33" t="s">
        <v>61</v>
      </c>
      <c r="D33" t="s">
        <v>22</v>
      </c>
      <c r="E33" s="28">
        <v>93656</v>
      </c>
      <c r="F33" s="13">
        <v>644.30645200000004</v>
      </c>
      <c r="G33" s="14">
        <f t="shared" si="0"/>
        <v>1.6299999999999999E-2</v>
      </c>
      <c r="H33" s="15" t="s">
        <v>381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205</v>
      </c>
      <c r="C34" t="s">
        <v>44</v>
      </c>
      <c r="D34" t="s">
        <v>24</v>
      </c>
      <c r="E34" s="28">
        <v>105318</v>
      </c>
      <c r="F34" s="13">
        <v>613.68798600000002</v>
      </c>
      <c r="G34" s="14">
        <f t="shared" si="0"/>
        <v>1.55E-2</v>
      </c>
      <c r="H34" s="15" t="s">
        <v>381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219</v>
      </c>
      <c r="C35" t="s">
        <v>19</v>
      </c>
      <c r="D35" t="s">
        <v>14</v>
      </c>
      <c r="E35" s="28">
        <v>21720</v>
      </c>
      <c r="F35" s="13">
        <v>586.70064000000002</v>
      </c>
      <c r="G35" s="14">
        <f t="shared" si="0"/>
        <v>1.49E-2</v>
      </c>
      <c r="H35" s="15" t="s">
        <v>381</v>
      </c>
    </row>
    <row r="36" spans="1:16" ht="12.75" customHeight="1" x14ac:dyDescent="0.2">
      <c r="A36">
        <f>+MAX($A$8:A35)+1</f>
        <v>28</v>
      </c>
      <c r="B36" t="s">
        <v>604</v>
      </c>
      <c r="C36" t="s">
        <v>605</v>
      </c>
      <c r="D36" t="s">
        <v>136</v>
      </c>
      <c r="E36" s="28">
        <v>115849</v>
      </c>
      <c r="F36" s="13">
        <v>572.29405999999994</v>
      </c>
      <c r="G36" s="14">
        <f t="shared" si="0"/>
        <v>1.4500000000000001E-2</v>
      </c>
      <c r="H36" s="15" t="s">
        <v>381</v>
      </c>
    </row>
    <row r="37" spans="1:16" ht="12.75" customHeight="1" x14ac:dyDescent="0.2">
      <c r="A37">
        <f>+MAX($A$8:A36)+1</f>
        <v>29</v>
      </c>
      <c r="B37" t="s">
        <v>215</v>
      </c>
      <c r="C37" t="s">
        <v>99</v>
      </c>
      <c r="D37" t="s">
        <v>10</v>
      </c>
      <c r="E37" s="28">
        <v>54915</v>
      </c>
      <c r="F37" s="13">
        <v>554.75133000000005</v>
      </c>
      <c r="G37" s="14">
        <f t="shared" si="0"/>
        <v>1.41E-2</v>
      </c>
      <c r="H37" s="15" t="s">
        <v>381</v>
      </c>
    </row>
    <row r="38" spans="1:16" ht="12.75" customHeight="1" x14ac:dyDescent="0.2">
      <c r="A38">
        <f>+MAX($A$8:A37)+1</f>
        <v>30</v>
      </c>
      <c r="B38" t="s">
        <v>664</v>
      </c>
      <c r="C38" t="s">
        <v>416</v>
      </c>
      <c r="D38" t="s">
        <v>10</v>
      </c>
      <c r="E38" s="28">
        <v>439203</v>
      </c>
      <c r="F38" s="13">
        <v>549.88215600000001</v>
      </c>
      <c r="G38" s="14">
        <f t="shared" si="0"/>
        <v>1.3899999999999999E-2</v>
      </c>
      <c r="H38" s="15" t="s">
        <v>381</v>
      </c>
    </row>
    <row r="39" spans="1:16" ht="12.75" customHeight="1" x14ac:dyDescent="0.2">
      <c r="A39">
        <f>+MAX($A$8:A38)+1</f>
        <v>31</v>
      </c>
      <c r="B39" t="s">
        <v>223</v>
      </c>
      <c r="C39" t="s">
        <v>63</v>
      </c>
      <c r="D39" t="s">
        <v>36</v>
      </c>
      <c r="E39" s="28">
        <v>112794</v>
      </c>
      <c r="F39" s="13">
        <v>533.12084100000004</v>
      </c>
      <c r="G39" s="14">
        <f t="shared" si="0"/>
        <v>1.35E-2</v>
      </c>
      <c r="H39" s="15" t="s">
        <v>381</v>
      </c>
    </row>
    <row r="40" spans="1:16" ht="12.75" customHeight="1" x14ac:dyDescent="0.2">
      <c r="A40">
        <f>+MAX($A$8:A39)+1</f>
        <v>32</v>
      </c>
      <c r="B40" t="s">
        <v>444</v>
      </c>
      <c r="C40" t="s">
        <v>68</v>
      </c>
      <c r="D40" t="s">
        <v>22</v>
      </c>
      <c r="E40" s="28">
        <v>90939</v>
      </c>
      <c r="F40" s="13">
        <v>519.39809850000006</v>
      </c>
      <c r="G40" s="14">
        <f t="shared" si="0"/>
        <v>1.32E-2</v>
      </c>
      <c r="H40" s="15" t="s">
        <v>381</v>
      </c>
    </row>
    <row r="41" spans="1:16" ht="12.75" customHeight="1" x14ac:dyDescent="0.2">
      <c r="A41">
        <f>+MAX($A$8:A40)+1</f>
        <v>33</v>
      </c>
      <c r="B41" t="s">
        <v>199</v>
      </c>
      <c r="C41" t="s">
        <v>25</v>
      </c>
      <c r="D41" t="s">
        <v>14</v>
      </c>
      <c r="E41" s="28">
        <v>58069</v>
      </c>
      <c r="F41" s="13">
        <v>517.10444500000006</v>
      </c>
      <c r="G41" s="14">
        <f t="shared" ref="G41:G73" si="2">+ROUND(F41/VLOOKUP("Grand Total",$B$4:$F$279,5,0),4)</f>
        <v>1.3100000000000001E-2</v>
      </c>
      <c r="H41" s="15" t="s">
        <v>381</v>
      </c>
    </row>
    <row r="42" spans="1:16" ht="12.75" customHeight="1" x14ac:dyDescent="0.2">
      <c r="A42">
        <f>+MAX($A$8:A41)+1</f>
        <v>34</v>
      </c>
      <c r="B42" t="s">
        <v>518</v>
      </c>
      <c r="C42" t="s">
        <v>519</v>
      </c>
      <c r="D42" t="s">
        <v>24</v>
      </c>
      <c r="E42" s="28">
        <v>34774</v>
      </c>
      <c r="F42" s="13">
        <v>515.14203599999996</v>
      </c>
      <c r="G42" s="14">
        <f t="shared" si="2"/>
        <v>1.3100000000000001E-2</v>
      </c>
      <c r="H42" s="15" t="s">
        <v>381</v>
      </c>
    </row>
    <row r="43" spans="1:16" ht="12.75" customHeight="1" x14ac:dyDescent="0.2">
      <c r="A43">
        <f>+MAX($A$8:A42)+1</f>
        <v>35</v>
      </c>
      <c r="B43" t="s">
        <v>231</v>
      </c>
      <c r="C43" t="s">
        <v>80</v>
      </c>
      <c r="D43" t="s">
        <v>51</v>
      </c>
      <c r="E43" s="28">
        <v>191412</v>
      </c>
      <c r="F43" s="13">
        <v>503.31785400000001</v>
      </c>
      <c r="G43" s="14">
        <f t="shared" si="2"/>
        <v>1.2800000000000001E-2</v>
      </c>
      <c r="H43" s="15" t="s">
        <v>381</v>
      </c>
    </row>
    <row r="44" spans="1:16" ht="12.75" customHeight="1" x14ac:dyDescent="0.2">
      <c r="A44">
        <f>+MAX($A$8:A43)+1</f>
        <v>36</v>
      </c>
      <c r="B44" t="s">
        <v>345</v>
      </c>
      <c r="C44" t="s">
        <v>346</v>
      </c>
      <c r="D44" t="s">
        <v>18</v>
      </c>
      <c r="E44" s="28">
        <v>41973</v>
      </c>
      <c r="F44" s="13">
        <v>483.71783850000003</v>
      </c>
      <c r="G44" s="14">
        <f t="shared" si="2"/>
        <v>1.23E-2</v>
      </c>
      <c r="H44" s="15" t="s">
        <v>381</v>
      </c>
    </row>
    <row r="45" spans="1:16" ht="12.75" customHeight="1" x14ac:dyDescent="0.2">
      <c r="A45">
        <f>+MAX($A$8:A44)+1</f>
        <v>37</v>
      </c>
      <c r="B45" t="s">
        <v>574</v>
      </c>
      <c r="C45" t="s">
        <v>490</v>
      </c>
      <c r="D45" t="s">
        <v>22</v>
      </c>
      <c r="E45" s="28">
        <v>142801</v>
      </c>
      <c r="F45" s="13">
        <v>464.17465049999998</v>
      </c>
      <c r="G45" s="14">
        <f t="shared" si="2"/>
        <v>1.18E-2</v>
      </c>
      <c r="H45" s="15" t="s">
        <v>381</v>
      </c>
    </row>
    <row r="46" spans="1:16" ht="12.75" customHeight="1" x14ac:dyDescent="0.2">
      <c r="A46">
        <f>+MAX($A$8:A45)+1</f>
        <v>38</v>
      </c>
      <c r="B46" t="s">
        <v>40</v>
      </c>
      <c r="C46" t="s">
        <v>42</v>
      </c>
      <c r="D46" t="s">
        <v>10</v>
      </c>
      <c r="E46" s="28">
        <v>288565</v>
      </c>
      <c r="F46" s="13">
        <v>463.57967250000002</v>
      </c>
      <c r="G46" s="14">
        <f t="shared" si="2"/>
        <v>1.17E-2</v>
      </c>
      <c r="H46" s="15" t="s">
        <v>381</v>
      </c>
    </row>
    <row r="47" spans="1:16" ht="12.75" customHeight="1" x14ac:dyDescent="0.2">
      <c r="A47">
        <f>+MAX($A$8:A46)+1</f>
        <v>39</v>
      </c>
      <c r="B47" t="s">
        <v>516</v>
      </c>
      <c r="C47" t="s">
        <v>517</v>
      </c>
      <c r="D47" t="s">
        <v>43</v>
      </c>
      <c r="E47" s="28">
        <v>42585</v>
      </c>
      <c r="F47" s="13">
        <v>450.31508250000002</v>
      </c>
      <c r="G47" s="14">
        <f t="shared" si="2"/>
        <v>1.14E-2</v>
      </c>
      <c r="H47" s="15" t="s">
        <v>381</v>
      </c>
    </row>
    <row r="48" spans="1:16" ht="12.75" customHeight="1" x14ac:dyDescent="0.2">
      <c r="A48">
        <f>+MAX($A$8:A47)+1</f>
        <v>40</v>
      </c>
      <c r="B48" t="s">
        <v>623</v>
      </c>
      <c r="C48" t="s">
        <v>624</v>
      </c>
      <c r="D48" t="s">
        <v>26</v>
      </c>
      <c r="E48" s="28">
        <v>6673</v>
      </c>
      <c r="F48" s="13">
        <v>436.28073999999998</v>
      </c>
      <c r="G48" s="14">
        <f t="shared" si="2"/>
        <v>1.11E-2</v>
      </c>
      <c r="H48" s="15" t="s">
        <v>381</v>
      </c>
    </row>
    <row r="49" spans="1:8" ht="12.75" customHeight="1" x14ac:dyDescent="0.2">
      <c r="A49">
        <f>+MAX($A$8:A48)+1</f>
        <v>41</v>
      </c>
      <c r="B49" t="s">
        <v>233</v>
      </c>
      <c r="C49" t="s">
        <v>82</v>
      </c>
      <c r="D49" t="s">
        <v>45</v>
      </c>
      <c r="E49" s="28">
        <v>139426</v>
      </c>
      <c r="F49" s="13">
        <v>430.61720100000002</v>
      </c>
      <c r="G49" s="14">
        <f t="shared" si="2"/>
        <v>1.09E-2</v>
      </c>
      <c r="H49" s="15" t="s">
        <v>381</v>
      </c>
    </row>
    <row r="50" spans="1:8" ht="12.75" customHeight="1" x14ac:dyDescent="0.2">
      <c r="A50">
        <f>+MAX($A$8:A49)+1</f>
        <v>42</v>
      </c>
      <c r="B50" t="s">
        <v>282</v>
      </c>
      <c r="C50" t="s">
        <v>149</v>
      </c>
      <c r="D50" t="s">
        <v>41</v>
      </c>
      <c r="E50" s="28">
        <v>50000</v>
      </c>
      <c r="F50" s="13">
        <v>430.15</v>
      </c>
      <c r="G50" s="14">
        <f t="shared" si="2"/>
        <v>1.09E-2</v>
      </c>
      <c r="H50" s="15" t="s">
        <v>381</v>
      </c>
    </row>
    <row r="51" spans="1:8" ht="12.75" customHeight="1" x14ac:dyDescent="0.2">
      <c r="A51">
        <f>+MAX($A$8:A50)+1</f>
        <v>43</v>
      </c>
      <c r="B51" t="s">
        <v>214</v>
      </c>
      <c r="C51" t="s">
        <v>75</v>
      </c>
      <c r="D51" t="s">
        <v>515</v>
      </c>
      <c r="E51" s="28">
        <v>364687</v>
      </c>
      <c r="F51" s="13">
        <v>429.60128600000002</v>
      </c>
      <c r="G51" s="14">
        <f t="shared" si="2"/>
        <v>1.09E-2</v>
      </c>
      <c r="H51" s="15" t="s">
        <v>381</v>
      </c>
    </row>
    <row r="52" spans="1:8" ht="12.75" customHeight="1" x14ac:dyDescent="0.2">
      <c r="A52">
        <f>+MAX($A$8:A51)+1</f>
        <v>44</v>
      </c>
      <c r="B52" t="s">
        <v>207</v>
      </c>
      <c r="C52" t="s">
        <v>53</v>
      </c>
      <c r="D52" t="s">
        <v>18</v>
      </c>
      <c r="E52" s="28">
        <v>9782</v>
      </c>
      <c r="F52" s="13">
        <v>422.64109200000001</v>
      </c>
      <c r="G52" s="14">
        <f t="shared" si="2"/>
        <v>1.0699999999999999E-2</v>
      </c>
      <c r="H52" s="15" t="s">
        <v>381</v>
      </c>
    </row>
    <row r="53" spans="1:8" ht="12.75" customHeight="1" x14ac:dyDescent="0.2">
      <c r="A53">
        <f>+MAX($A$8:A52)+1</f>
        <v>45</v>
      </c>
      <c r="B53" s="65" t="s">
        <v>316</v>
      </c>
      <c r="C53" s="65" t="s">
        <v>67</v>
      </c>
      <c r="D53" t="s">
        <v>18</v>
      </c>
      <c r="E53" s="28">
        <v>227899</v>
      </c>
      <c r="F53" s="13">
        <v>418.0807155</v>
      </c>
      <c r="G53" s="14">
        <f t="shared" si="2"/>
        <v>1.06E-2</v>
      </c>
      <c r="H53" s="15" t="s">
        <v>381</v>
      </c>
    </row>
    <row r="54" spans="1:8" ht="12.75" customHeight="1" x14ac:dyDescent="0.2">
      <c r="A54">
        <f>+MAX($A$8:A53)+1</f>
        <v>46</v>
      </c>
      <c r="B54" t="s">
        <v>210</v>
      </c>
      <c r="C54" t="s">
        <v>33</v>
      </c>
      <c r="D54" t="s">
        <v>18</v>
      </c>
      <c r="E54" s="28">
        <v>37195</v>
      </c>
      <c r="F54" s="13">
        <v>413.124865</v>
      </c>
      <c r="G54" s="14">
        <f t="shared" si="2"/>
        <v>1.0500000000000001E-2</v>
      </c>
      <c r="H54" s="15" t="s">
        <v>381</v>
      </c>
    </row>
    <row r="55" spans="1:8" ht="12.75" customHeight="1" x14ac:dyDescent="0.2">
      <c r="A55">
        <f>+MAX($A$8:A54)+1</f>
        <v>47</v>
      </c>
      <c r="B55" t="s">
        <v>203</v>
      </c>
      <c r="C55" t="s">
        <v>35</v>
      </c>
      <c r="D55" t="s">
        <v>18</v>
      </c>
      <c r="E55" s="28">
        <v>28649</v>
      </c>
      <c r="F55" s="13">
        <v>411.800726</v>
      </c>
      <c r="G55" s="14">
        <f t="shared" si="2"/>
        <v>1.04E-2</v>
      </c>
      <c r="H55" s="15" t="s">
        <v>381</v>
      </c>
    </row>
    <row r="56" spans="1:8" ht="12.75" customHeight="1" x14ac:dyDescent="0.2">
      <c r="A56">
        <f>+MAX($A$8:A55)+1</f>
        <v>48</v>
      </c>
      <c r="B56" t="s">
        <v>621</v>
      </c>
      <c r="C56" t="s">
        <v>622</v>
      </c>
      <c r="D56" t="s">
        <v>36</v>
      </c>
      <c r="E56" s="28">
        <v>440000</v>
      </c>
      <c r="F56" s="13">
        <v>411.4</v>
      </c>
      <c r="G56" s="14">
        <f t="shared" si="2"/>
        <v>1.04E-2</v>
      </c>
      <c r="H56" s="15" t="s">
        <v>381</v>
      </c>
    </row>
    <row r="57" spans="1:8" ht="12.75" customHeight="1" x14ac:dyDescent="0.2">
      <c r="A57">
        <f>+MAX($A$8:A56)+1</f>
        <v>49</v>
      </c>
      <c r="B57" t="s">
        <v>208</v>
      </c>
      <c r="C57" t="s">
        <v>50</v>
      </c>
      <c r="D57" t="s">
        <v>22</v>
      </c>
      <c r="E57" s="28">
        <v>7446</v>
      </c>
      <c r="F57" s="13">
        <v>411.38777700000003</v>
      </c>
      <c r="G57" s="14">
        <f t="shared" si="2"/>
        <v>1.04E-2</v>
      </c>
      <c r="H57" s="15" t="s">
        <v>381</v>
      </c>
    </row>
    <row r="58" spans="1:8" ht="12.75" customHeight="1" x14ac:dyDescent="0.2">
      <c r="A58">
        <f>+MAX($A$8:A57)+1</f>
        <v>50</v>
      </c>
      <c r="B58" t="s">
        <v>326</v>
      </c>
      <c r="C58" t="s">
        <v>327</v>
      </c>
      <c r="D58" t="s">
        <v>10</v>
      </c>
      <c r="E58" s="28">
        <v>226331</v>
      </c>
      <c r="F58" s="13">
        <v>406.94313799999998</v>
      </c>
      <c r="G58" s="14">
        <f t="shared" si="2"/>
        <v>1.03E-2</v>
      </c>
      <c r="H58" s="15" t="s">
        <v>381</v>
      </c>
    </row>
    <row r="59" spans="1:8" ht="12.75" customHeight="1" x14ac:dyDescent="0.2">
      <c r="A59">
        <f>+MAX($A$8:A58)+1</f>
        <v>51</v>
      </c>
      <c r="B59" t="s">
        <v>579</v>
      </c>
      <c r="C59" t="s">
        <v>580</v>
      </c>
      <c r="D59" t="s">
        <v>10</v>
      </c>
      <c r="E59" s="28">
        <v>588497</v>
      </c>
      <c r="F59" s="13">
        <v>402.23769950000002</v>
      </c>
      <c r="G59" s="14">
        <f t="shared" si="2"/>
        <v>1.0200000000000001E-2</v>
      </c>
      <c r="H59" s="15" t="s">
        <v>381</v>
      </c>
    </row>
    <row r="60" spans="1:8" ht="12.75" customHeight="1" x14ac:dyDescent="0.2">
      <c r="A60">
        <f>+MAX($A$8:A59)+1</f>
        <v>52</v>
      </c>
      <c r="B60" t="s">
        <v>324</v>
      </c>
      <c r="C60" t="s">
        <v>73</v>
      </c>
      <c r="D60" t="s">
        <v>28</v>
      </c>
      <c r="E60" s="28">
        <v>961315</v>
      </c>
      <c r="F60" s="13">
        <v>394.13914999999997</v>
      </c>
      <c r="G60" s="14">
        <f t="shared" si="2"/>
        <v>0.01</v>
      </c>
      <c r="H60" s="15" t="s">
        <v>381</v>
      </c>
    </row>
    <row r="61" spans="1:8" ht="12.75" customHeight="1" x14ac:dyDescent="0.2">
      <c r="A61">
        <f>+MAX($A$8:A60)+1</f>
        <v>53</v>
      </c>
      <c r="B61" t="s">
        <v>577</v>
      </c>
      <c r="C61" t="s">
        <v>578</v>
      </c>
      <c r="D61" t="s">
        <v>45</v>
      </c>
      <c r="E61" s="28">
        <v>454547</v>
      </c>
      <c r="F61" s="13">
        <v>390.91041999999999</v>
      </c>
      <c r="G61" s="14">
        <f t="shared" si="2"/>
        <v>9.9000000000000008E-3</v>
      </c>
      <c r="H61" s="15" t="s">
        <v>381</v>
      </c>
    </row>
    <row r="62" spans="1:8" ht="12.75" customHeight="1" x14ac:dyDescent="0.2">
      <c r="A62">
        <f>+MAX($A$8:A61)+1</f>
        <v>54</v>
      </c>
      <c r="B62" t="s">
        <v>220</v>
      </c>
      <c r="C62" t="s">
        <v>29</v>
      </c>
      <c r="D62" t="s">
        <v>10</v>
      </c>
      <c r="E62" s="28">
        <v>67240</v>
      </c>
      <c r="F62" s="13">
        <v>379.19997999999998</v>
      </c>
      <c r="G62" s="14">
        <f t="shared" si="2"/>
        <v>9.5999999999999992E-3</v>
      </c>
      <c r="H62" s="15" t="s">
        <v>381</v>
      </c>
    </row>
    <row r="63" spans="1:8" ht="12.75" customHeight="1" x14ac:dyDescent="0.2">
      <c r="A63">
        <f>+MAX($A$8:A62)+1</f>
        <v>55</v>
      </c>
      <c r="B63" t="s">
        <v>217</v>
      </c>
      <c r="C63" t="s">
        <v>65</v>
      </c>
      <c r="D63" t="s">
        <v>34</v>
      </c>
      <c r="E63" s="28">
        <v>70471</v>
      </c>
      <c r="F63" s="13">
        <v>373.24965149999997</v>
      </c>
      <c r="G63" s="14">
        <f t="shared" si="2"/>
        <v>9.4999999999999998E-3</v>
      </c>
      <c r="H63" s="15" t="s">
        <v>381</v>
      </c>
    </row>
    <row r="64" spans="1:8" ht="12.75" customHeight="1" x14ac:dyDescent="0.2">
      <c r="A64">
        <f>+MAX($A$8:A63)+1</f>
        <v>56</v>
      </c>
      <c r="B64" t="s">
        <v>254</v>
      </c>
      <c r="C64" t="s">
        <v>573</v>
      </c>
      <c r="D64" t="s">
        <v>10</v>
      </c>
      <c r="E64" s="28">
        <v>117820</v>
      </c>
      <c r="F64" s="13">
        <v>371.30973</v>
      </c>
      <c r="G64" s="14">
        <f t="shared" si="2"/>
        <v>9.4000000000000004E-3</v>
      </c>
      <c r="H64" s="15" t="s">
        <v>381</v>
      </c>
    </row>
    <row r="65" spans="1:9" ht="12.75" customHeight="1" x14ac:dyDescent="0.2">
      <c r="A65">
        <f>+MAX($A$8:A64)+1</f>
        <v>57</v>
      </c>
      <c r="B65" t="s">
        <v>168</v>
      </c>
      <c r="C65" t="s">
        <v>184</v>
      </c>
      <c r="D65" t="s">
        <v>10</v>
      </c>
      <c r="E65" s="28">
        <v>99524</v>
      </c>
      <c r="F65" s="13">
        <v>358.68449600000002</v>
      </c>
      <c r="G65" s="14">
        <f t="shared" si="2"/>
        <v>9.1000000000000004E-3</v>
      </c>
      <c r="H65" s="15" t="s">
        <v>381</v>
      </c>
    </row>
    <row r="66" spans="1:9" ht="12.75" customHeight="1" x14ac:dyDescent="0.2">
      <c r="A66">
        <f>+MAX($A$8:A65)+1</f>
        <v>58</v>
      </c>
      <c r="B66" t="s">
        <v>665</v>
      </c>
      <c r="C66" t="s">
        <v>666</v>
      </c>
      <c r="D66" t="s">
        <v>10</v>
      </c>
      <c r="E66" s="28">
        <v>442985</v>
      </c>
      <c r="F66" s="13">
        <v>355.05247750000001</v>
      </c>
      <c r="G66" s="14">
        <f t="shared" si="2"/>
        <v>8.9999999999999993E-3</v>
      </c>
      <c r="H66" s="15" t="s">
        <v>381</v>
      </c>
    </row>
    <row r="67" spans="1:9" ht="12.75" customHeight="1" x14ac:dyDescent="0.2">
      <c r="A67">
        <f>+MAX($A$8:A66)+1</f>
        <v>59</v>
      </c>
      <c r="B67" t="s">
        <v>202</v>
      </c>
      <c r="C67" t="s">
        <v>23</v>
      </c>
      <c r="D67" t="s">
        <v>515</v>
      </c>
      <c r="E67" s="28">
        <v>104515</v>
      </c>
      <c r="F67" s="13">
        <v>353.20844249999999</v>
      </c>
      <c r="G67" s="14">
        <f t="shared" si="2"/>
        <v>8.8999999999999999E-3</v>
      </c>
      <c r="H67" s="15" t="s">
        <v>381</v>
      </c>
    </row>
    <row r="68" spans="1:9" ht="12.75" customHeight="1" x14ac:dyDescent="0.2">
      <c r="A68">
        <f>+MAX($A$8:A67)+1</f>
        <v>60</v>
      </c>
      <c r="B68" t="s">
        <v>226</v>
      </c>
      <c r="C68" t="s">
        <v>70</v>
      </c>
      <c r="D68" t="s">
        <v>10</v>
      </c>
      <c r="E68" s="28">
        <v>298135</v>
      </c>
      <c r="F68" s="13">
        <v>323.47647499999999</v>
      </c>
      <c r="G68" s="14">
        <f t="shared" si="2"/>
        <v>8.2000000000000007E-3</v>
      </c>
      <c r="H68" s="15" t="s">
        <v>381</v>
      </c>
    </row>
    <row r="69" spans="1:9" ht="12.75" customHeight="1" x14ac:dyDescent="0.2">
      <c r="A69">
        <f>+MAX($A$8:A68)+1</f>
        <v>61</v>
      </c>
      <c r="B69" t="s">
        <v>216</v>
      </c>
      <c r="C69" t="s">
        <v>59</v>
      </c>
      <c r="D69" t="s">
        <v>22</v>
      </c>
      <c r="E69" s="28">
        <v>30445</v>
      </c>
      <c r="F69" s="13">
        <v>292.78956499999998</v>
      </c>
      <c r="G69" s="14">
        <f t="shared" si="2"/>
        <v>7.4000000000000003E-3</v>
      </c>
      <c r="H69" s="15" t="s">
        <v>381</v>
      </c>
    </row>
    <row r="70" spans="1:9" ht="12.75" customHeight="1" x14ac:dyDescent="0.2">
      <c r="A70">
        <f>+MAX($A$8:A69)+1</f>
        <v>62</v>
      </c>
      <c r="B70" t="s">
        <v>268</v>
      </c>
      <c r="C70" t="s">
        <v>134</v>
      </c>
      <c r="D70" t="s">
        <v>30</v>
      </c>
      <c r="E70" s="28">
        <v>148398</v>
      </c>
      <c r="F70" s="13">
        <v>286.70493600000003</v>
      </c>
      <c r="G70" s="14">
        <f t="shared" si="2"/>
        <v>7.3000000000000001E-3</v>
      </c>
      <c r="H70" s="15" t="s">
        <v>381</v>
      </c>
    </row>
    <row r="71" spans="1:9" ht="12.75" customHeight="1" x14ac:dyDescent="0.2">
      <c r="A71">
        <f>+MAX($A$8:A70)+1</f>
        <v>63</v>
      </c>
      <c r="B71" t="s">
        <v>221</v>
      </c>
      <c r="C71" t="s">
        <v>74</v>
      </c>
      <c r="D71" t="s">
        <v>32</v>
      </c>
      <c r="E71" s="28">
        <v>105000</v>
      </c>
      <c r="F71" s="13">
        <v>249.9</v>
      </c>
      <c r="G71" s="14">
        <f t="shared" si="2"/>
        <v>6.3E-3</v>
      </c>
      <c r="H71" s="15" t="s">
        <v>381</v>
      </c>
    </row>
    <row r="72" spans="1:9" ht="12.75" customHeight="1" x14ac:dyDescent="0.2">
      <c r="A72">
        <f>+MAX($A$8:A71)+1</f>
        <v>64</v>
      </c>
      <c r="B72" s="65" t="s">
        <v>222</v>
      </c>
      <c r="C72" t="s">
        <v>76</v>
      </c>
      <c r="D72" t="s">
        <v>36</v>
      </c>
      <c r="E72" s="28">
        <v>2533170</v>
      </c>
      <c r="F72" s="13">
        <v>198.85384500000001</v>
      </c>
      <c r="G72" s="14">
        <f t="shared" si="2"/>
        <v>5.0000000000000001E-3</v>
      </c>
      <c r="H72" s="15" t="s">
        <v>381</v>
      </c>
    </row>
    <row r="73" spans="1:9" ht="12.75" customHeight="1" x14ac:dyDescent="0.2">
      <c r="A73">
        <f>+MAX($A$8:A72)+1</f>
        <v>65</v>
      </c>
      <c r="B73" t="s">
        <v>445</v>
      </c>
      <c r="C73" s="121" t="s">
        <v>446</v>
      </c>
      <c r="D73" t="s">
        <v>447</v>
      </c>
      <c r="E73" s="28">
        <v>56242</v>
      </c>
      <c r="F73" s="13">
        <v>163.073679</v>
      </c>
      <c r="G73" s="14">
        <f t="shared" si="2"/>
        <v>4.1000000000000003E-3</v>
      </c>
      <c r="H73" s="15" t="s">
        <v>381</v>
      </c>
    </row>
    <row r="74" spans="1:9" ht="12.75" customHeight="1" x14ac:dyDescent="0.2">
      <c r="A74">
        <f>+MAX($A$8:A73)+1</f>
        <v>66</v>
      </c>
      <c r="B74" t="s">
        <v>606</v>
      </c>
      <c r="C74" s="121" t="s">
        <v>85</v>
      </c>
      <c r="D74" t="s">
        <v>103</v>
      </c>
      <c r="E74" s="28">
        <v>374002</v>
      </c>
      <c r="F74" s="13">
        <v>0</v>
      </c>
      <c r="G74" s="108" t="s">
        <v>571</v>
      </c>
      <c r="H74" s="15" t="s">
        <v>381</v>
      </c>
    </row>
    <row r="75" spans="1:9" ht="12.75" customHeight="1" x14ac:dyDescent="0.2">
      <c r="A75">
        <f>+MAX($A$8:A74)+1</f>
        <v>67</v>
      </c>
      <c r="B75" t="s">
        <v>474</v>
      </c>
      <c r="C75" s="121" t="s">
        <v>570</v>
      </c>
      <c r="D75" t="s">
        <v>38</v>
      </c>
      <c r="E75" s="28">
        <v>2250</v>
      </c>
      <c r="F75" s="13">
        <v>0</v>
      </c>
      <c r="G75" s="108" t="s">
        <v>571</v>
      </c>
      <c r="H75" s="15" t="s">
        <v>381</v>
      </c>
    </row>
    <row r="76" spans="1:9" ht="12.75" customHeight="1" x14ac:dyDescent="0.2">
      <c r="B76" s="18" t="s">
        <v>86</v>
      </c>
      <c r="C76" s="18"/>
      <c r="D76" s="18"/>
      <c r="E76" s="29"/>
      <c r="F76" s="19">
        <f>SUM(F9:F75)</f>
        <v>39095.426011500036</v>
      </c>
      <c r="G76" s="20">
        <f>SUM(G9:G75)</f>
        <v>0.99059999999999981</v>
      </c>
      <c r="H76" s="21"/>
      <c r="I76" s="49"/>
    </row>
    <row r="77" spans="1:9" ht="12.75" customHeight="1" x14ac:dyDescent="0.2">
      <c r="F77" s="13"/>
      <c r="G77" s="14"/>
      <c r="H77" s="15"/>
    </row>
    <row r="78" spans="1:9" ht="12.75" customHeight="1" x14ac:dyDescent="0.2">
      <c r="A78" s="95" t="s">
        <v>380</v>
      </c>
      <c r="B78" s="16" t="s">
        <v>94</v>
      </c>
      <c r="C78" s="16"/>
      <c r="F78" s="13">
        <v>234.4771944</v>
      </c>
      <c r="G78" s="14">
        <f>+ROUND(F78/VLOOKUP("Grand Total",$B$4:$F$279,5,0),4)</f>
        <v>5.8999999999999999E-3</v>
      </c>
      <c r="H78" s="15">
        <v>43101</v>
      </c>
    </row>
    <row r="79" spans="1:9" ht="12.75" customHeight="1" x14ac:dyDescent="0.2">
      <c r="B79" s="18" t="s">
        <v>86</v>
      </c>
      <c r="C79" s="18"/>
      <c r="D79" s="18"/>
      <c r="E79" s="29"/>
      <c r="F79" s="19">
        <f>SUM(F78)</f>
        <v>234.4771944</v>
      </c>
      <c r="G79" s="20">
        <f>SUM(G78)</f>
        <v>5.8999999999999999E-3</v>
      </c>
      <c r="H79" s="21"/>
      <c r="I79" s="35"/>
    </row>
    <row r="80" spans="1:9" ht="12.75" customHeight="1" x14ac:dyDescent="0.2">
      <c r="F80" s="13"/>
      <c r="G80" s="14"/>
      <c r="H80" s="15"/>
    </row>
    <row r="81" spans="2:9" ht="12.75" customHeight="1" x14ac:dyDescent="0.2">
      <c r="B81" s="16" t="s">
        <v>95</v>
      </c>
      <c r="C81" s="16"/>
      <c r="F81" s="13"/>
      <c r="G81" s="14"/>
      <c r="H81" s="15"/>
    </row>
    <row r="82" spans="2:9" ht="12.75" customHeight="1" x14ac:dyDescent="0.2">
      <c r="B82" s="16" t="s">
        <v>96</v>
      </c>
      <c r="C82" s="16"/>
      <c r="F82" s="13">
        <v>141.72170689998893</v>
      </c>
      <c r="G82" s="14">
        <f>+ROUND(F82/VLOOKUP("Grand Total",$B$4:$F$279,5,0),4)-0.01%</f>
        <v>3.5000000000000001E-3</v>
      </c>
      <c r="H82" s="15"/>
    </row>
    <row r="83" spans="2:9" ht="12.75" customHeight="1" x14ac:dyDescent="0.2">
      <c r="B83" s="18" t="s">
        <v>86</v>
      </c>
      <c r="C83" s="18"/>
      <c r="D83" s="18"/>
      <c r="E83" s="29"/>
      <c r="F83" s="19">
        <f>SUM(F82)</f>
        <v>141.72170689998893</v>
      </c>
      <c r="G83" s="20">
        <f>SUM(G82)</f>
        <v>3.5000000000000001E-3</v>
      </c>
      <c r="H83" s="21"/>
      <c r="I83" s="35"/>
    </row>
    <row r="84" spans="2:9" ht="12.75" customHeight="1" x14ac:dyDescent="0.2">
      <c r="B84" s="22" t="s">
        <v>97</v>
      </c>
      <c r="C84" s="22"/>
      <c r="D84" s="22"/>
      <c r="E84" s="30"/>
      <c r="F84" s="23">
        <f>+SUMIF($B$5:B83,"Total",$F$5:F83)</f>
        <v>39471.624912800027</v>
      </c>
      <c r="G84" s="24">
        <f>+SUMIF($B$5:B83,"Total",$G$5:G83)</f>
        <v>0.99999999999999978</v>
      </c>
      <c r="H84" s="25"/>
      <c r="I84" s="35"/>
    </row>
    <row r="85" spans="2:9" ht="12.75" customHeight="1" x14ac:dyDescent="0.2"/>
    <row r="86" spans="2:9" ht="12.75" customHeight="1" x14ac:dyDescent="0.2">
      <c r="B86" s="16" t="s">
        <v>190</v>
      </c>
      <c r="C86" s="16"/>
    </row>
    <row r="87" spans="2:9" ht="12.75" customHeight="1" x14ac:dyDescent="0.2">
      <c r="B87" s="16" t="s">
        <v>192</v>
      </c>
      <c r="C87" s="16"/>
      <c r="F87" s="43"/>
      <c r="G87" s="43"/>
    </row>
    <row r="88" spans="2:9" ht="12.75" customHeight="1" x14ac:dyDescent="0.2">
      <c r="B88" s="16" t="s">
        <v>189</v>
      </c>
      <c r="C88" s="16"/>
    </row>
    <row r="89" spans="2:9" ht="12.75" customHeight="1" x14ac:dyDescent="0.2">
      <c r="B89" s="53" t="s">
        <v>313</v>
      </c>
    </row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</sheetData>
  <sheetProtection password="EDB3" sheet="1" objects="1" scenarios="1"/>
  <sortState ref="J8:K28">
    <sortCondition descending="1" ref="K10:K3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3" ht="18.75" x14ac:dyDescent="0.2">
      <c r="A1" s="94" t="s">
        <v>389</v>
      </c>
      <c r="B1" s="123" t="s">
        <v>166</v>
      </c>
      <c r="C1" s="124"/>
      <c r="D1" s="124"/>
      <c r="E1" s="124"/>
      <c r="F1" s="124"/>
      <c r="G1" s="124"/>
      <c r="H1" s="125"/>
    </row>
    <row r="2" spans="1:13" x14ac:dyDescent="0.2">
      <c r="A2" s="96" t="s">
        <v>1</v>
      </c>
      <c r="B2" s="3" t="s">
        <v>663</v>
      </c>
      <c r="C2" s="3"/>
      <c r="D2" s="4"/>
      <c r="E2" s="27"/>
      <c r="F2" s="5"/>
      <c r="G2" s="6"/>
      <c r="H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3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3" ht="12.75" customHeight="1" x14ac:dyDescent="0.2">
      <c r="F5" s="13"/>
      <c r="G5" s="14"/>
      <c r="H5" s="15"/>
    </row>
    <row r="6" spans="1:13" ht="12.75" customHeight="1" x14ac:dyDescent="0.2">
      <c r="F6" s="13"/>
      <c r="G6" s="14"/>
      <c r="H6" s="15"/>
    </row>
    <row r="7" spans="1:13" ht="12.75" customHeight="1" x14ac:dyDescent="0.2">
      <c r="B7" s="31" t="s">
        <v>187</v>
      </c>
      <c r="F7" s="13"/>
      <c r="G7" s="14"/>
      <c r="H7" s="15"/>
    </row>
    <row r="8" spans="1:13" ht="12.75" customHeight="1" x14ac:dyDescent="0.2">
      <c r="B8" s="31" t="s">
        <v>188</v>
      </c>
      <c r="C8" s="16"/>
      <c r="F8" s="13"/>
      <c r="G8" s="14"/>
      <c r="H8" s="15"/>
      <c r="J8" s="17" t="s">
        <v>4</v>
      </c>
      <c r="K8" s="37" t="s">
        <v>12</v>
      </c>
    </row>
    <row r="9" spans="1:13" ht="12.75" customHeight="1" x14ac:dyDescent="0.2">
      <c r="A9">
        <f>+MAX($A$8:A8)+1</f>
        <v>1</v>
      </c>
      <c r="B9" t="s">
        <v>167</v>
      </c>
      <c r="C9" s="121" t="s">
        <v>570</v>
      </c>
      <c r="D9" t="s">
        <v>325</v>
      </c>
      <c r="E9" s="28">
        <v>39643.476999999999</v>
      </c>
      <c r="F9" s="13">
        <v>1650.3364608000002</v>
      </c>
      <c r="G9" s="14">
        <f>+ROUND(F9/VLOOKUP("Grand Total",$B$4:$F$288,5,0),4)</f>
        <v>0.99319999999999997</v>
      </c>
      <c r="H9" s="15" t="s">
        <v>381</v>
      </c>
      <c r="J9" s="14" t="s">
        <v>325</v>
      </c>
      <c r="K9" s="48">
        <f>SUMIFS($G$5:$G$321,$D$5:$D$321,J9)</f>
        <v>0.99319999999999997</v>
      </c>
    </row>
    <row r="10" spans="1:13" ht="12.75" customHeight="1" x14ac:dyDescent="0.2">
      <c r="B10" s="18" t="s">
        <v>86</v>
      </c>
      <c r="C10" s="18"/>
      <c r="D10" s="18"/>
      <c r="E10" s="29"/>
      <c r="F10" s="19">
        <f>SUM(F9)</f>
        <v>1650.3364608000002</v>
      </c>
      <c r="G10" s="20">
        <f>SUM(G9)</f>
        <v>0.99319999999999997</v>
      </c>
      <c r="H10" s="21"/>
      <c r="I10" s="35"/>
      <c r="J10" s="14" t="s">
        <v>64</v>
      </c>
      <c r="K10" s="48">
        <f>+SUMIFS($G$5:$G$1000,$B$5:$B$1000,"CBLO / Reverse Repo Investments")+SUMIFS($G$5:$G$1000,$B$5:$B$1000,"Net Receivable/Payable")</f>
        <v>6.8000000000000005E-3</v>
      </c>
    </row>
    <row r="11" spans="1:13" ht="12.75" customHeight="1" x14ac:dyDescent="0.2">
      <c r="F11" s="13"/>
      <c r="G11" s="14"/>
      <c r="H11" s="15"/>
      <c r="J11" s="14"/>
    </row>
    <row r="12" spans="1:13" ht="12.75" customHeight="1" x14ac:dyDescent="0.2">
      <c r="A12" s="95" t="s">
        <v>380</v>
      </c>
      <c r="B12" s="16" t="s">
        <v>94</v>
      </c>
      <c r="C12" s="16"/>
      <c r="F12" s="13">
        <v>64.728068399999998</v>
      </c>
      <c r="G12" s="14">
        <f>+ROUND(F12/VLOOKUP("Grand Total",$B$4:$F$288,5,0),4)</f>
        <v>3.9E-2</v>
      </c>
      <c r="H12" s="15">
        <v>43101</v>
      </c>
      <c r="J12" s="14"/>
      <c r="L12" s="54"/>
      <c r="M12" s="62"/>
    </row>
    <row r="13" spans="1:13" ht="12.75" customHeight="1" x14ac:dyDescent="0.2">
      <c r="B13" s="18" t="s">
        <v>86</v>
      </c>
      <c r="C13" s="18"/>
      <c r="D13" s="18"/>
      <c r="E13" s="29"/>
      <c r="F13" s="19">
        <f>SUM(F12)</f>
        <v>64.728068399999998</v>
      </c>
      <c r="G13" s="20">
        <f>SUM(G12)</f>
        <v>3.9E-2</v>
      </c>
      <c r="H13" s="21"/>
      <c r="I13" s="35"/>
    </row>
    <row r="14" spans="1:13" ht="12.75" customHeight="1" x14ac:dyDescent="0.2">
      <c r="F14" s="13"/>
      <c r="G14" s="14"/>
      <c r="H14" s="15"/>
    </row>
    <row r="15" spans="1:13" ht="12.75" customHeight="1" x14ac:dyDescent="0.2">
      <c r="B15" s="16" t="s">
        <v>95</v>
      </c>
      <c r="C15" s="16"/>
      <c r="F15" s="13"/>
      <c r="G15" s="14"/>
      <c r="H15" s="15"/>
    </row>
    <row r="16" spans="1:13" ht="12.75" customHeight="1" x14ac:dyDescent="0.2">
      <c r="B16" s="16" t="s">
        <v>96</v>
      </c>
      <c r="C16" s="16"/>
      <c r="F16" s="43">
        <v>-53.415271299999858</v>
      </c>
      <c r="G16" s="14">
        <f>+ROUND(F16/VLOOKUP("Grand Total",$B$4:$F$288,5,0),4)-0.01%</f>
        <v>-3.2199999999999999E-2</v>
      </c>
      <c r="H16" s="15"/>
    </row>
    <row r="17" spans="2:9" ht="12.75" customHeight="1" x14ac:dyDescent="0.2">
      <c r="B17" s="18" t="s">
        <v>86</v>
      </c>
      <c r="C17" s="18"/>
      <c r="D17" s="18"/>
      <c r="E17" s="29"/>
      <c r="F17" s="50">
        <f>SUM(F16)</f>
        <v>-53.415271299999858</v>
      </c>
      <c r="G17" s="20">
        <f>SUM(G16)</f>
        <v>-3.2199999999999999E-2</v>
      </c>
      <c r="H17" s="21"/>
      <c r="I17" s="35"/>
    </row>
    <row r="18" spans="2:9" ht="12.75" customHeight="1" x14ac:dyDescent="0.2">
      <c r="B18" s="22" t="s">
        <v>97</v>
      </c>
      <c r="C18" s="22"/>
      <c r="D18" s="22"/>
      <c r="E18" s="30"/>
      <c r="F18" s="23">
        <f>+SUMIF($B$5:B17,"Total",$F$5:F17)</f>
        <v>1661.6492579000003</v>
      </c>
      <c r="G18" s="24">
        <f>+SUMIF($B$5:B17,"Total",$G$5:G17)</f>
        <v>1</v>
      </c>
      <c r="H18" s="25"/>
      <c r="I18" s="35"/>
    </row>
    <row r="19" spans="2:9" ht="12.75" customHeight="1" x14ac:dyDescent="0.2"/>
    <row r="20" spans="2:9" ht="12.75" customHeight="1" x14ac:dyDescent="0.2">
      <c r="B20" s="16"/>
      <c r="C20" s="16"/>
      <c r="G20" s="88"/>
    </row>
    <row r="21" spans="2:9" ht="12.75" customHeight="1" x14ac:dyDescent="0.2">
      <c r="B21" s="16"/>
      <c r="C21" s="16"/>
    </row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DYNAMIC BOND</vt:lpstr>
      <vt:lpstr>SHORT TERM</vt:lpstr>
      <vt:lpstr>Equity Savings</vt:lpstr>
      <vt:lpstr>DEBT SAVINGS</vt:lpstr>
      <vt:lpstr>BALANCED</vt:lpstr>
      <vt:lpstr>CASH MANAGEMENT</vt:lpstr>
      <vt:lpstr>MONEY MANAGER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2018-01-09T05:02:15Z</dcterms:modified>
</cp:coreProperties>
</file>