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7-2018\Nov 2017\"/>
    </mc:Choice>
  </mc:AlternateContent>
  <bookViews>
    <workbookView xWindow="0" yWindow="315" windowWidth="15480" windowHeight="113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DYNAMIC BOND" sheetId="14" r:id="rId12"/>
    <sheet name="SHORT TERM" sheetId="16" r:id="rId13"/>
    <sheet name="Equity Savings" sheetId="17" r:id="rId14"/>
    <sheet name="DEBT SAVINGS" sheetId="18" r:id="rId15"/>
    <sheet name="BALANCED" sheetId="19" r:id="rId16"/>
    <sheet name="CASH MANAGEMENT" sheetId="20" r:id="rId17"/>
    <sheet name="MONEY MANAGER" sheetId="21" r:id="rId18"/>
    <sheet name="ASSET ALLOCATION FOF-MP" sheetId="31" r:id="rId19"/>
    <sheet name="ASSET ALLOCATION FOF-CP" sheetId="34" r:id="rId20"/>
    <sheet name="ASSET ALLOCATION FOF-AP" sheetId="35" r:id="rId21"/>
    <sheet name="ARBITRAGE FUND" sheetId="36" r:id="rId22"/>
  </sheets>
  <definedNames>
    <definedName name="_xlnm._FilterDatabase" localSheetId="21" hidden="1">'ARBITRAGE FUND'!#REF!</definedName>
    <definedName name="_xlnm._FilterDatabase" localSheetId="13" hidden="1">'Equity Savings'!$A$34:$Q$65</definedName>
    <definedName name="_xlnm._FilterDatabase" localSheetId="0" hidden="1">GROWTH!$D$4:$D$149</definedName>
    <definedName name="_xlnm._FilterDatabase" localSheetId="6" hidden="1">'SMART EQUITY'!$A$44:$R$87</definedName>
  </definedNames>
  <calcPr calcId="152511"/>
</workbook>
</file>

<file path=xl/calcChain.xml><?xml version="1.0" encoding="utf-8"?>
<calcChain xmlns="http://schemas.openxmlformats.org/spreadsheetml/2006/main">
  <c r="K47" i="19" l="1"/>
  <c r="K23" i="16"/>
  <c r="K18" i="14"/>
  <c r="K27" i="11"/>
  <c r="H27" i="36" l="1"/>
  <c r="A11" i="36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10" i="36"/>
  <c r="H65" i="17"/>
  <c r="A37" i="17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36" i="17"/>
  <c r="H87" i="8"/>
  <c r="A47" i="8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46" i="8"/>
  <c r="E27" i="36" l="1"/>
  <c r="L19" i="36"/>
  <c r="F27" i="36"/>
  <c r="H26" i="36"/>
  <c r="H24" i="36"/>
  <c r="H22" i="36"/>
  <c r="H20" i="36"/>
  <c r="H18" i="36"/>
  <c r="H16" i="36"/>
  <c r="H14" i="36"/>
  <c r="H12" i="36"/>
  <c r="H10" i="36"/>
  <c r="L33" i="17"/>
  <c r="F65" i="17"/>
  <c r="F32" i="17"/>
  <c r="G53" i="17"/>
  <c r="G37" i="17"/>
  <c r="G47" i="17"/>
  <c r="G51" i="17"/>
  <c r="G55" i="17"/>
  <c r="L24" i="17" s="1"/>
  <c r="G63" i="17"/>
  <c r="G59" i="17"/>
  <c r="L28" i="17" s="1"/>
  <c r="G57" i="17"/>
  <c r="G61" i="17"/>
  <c r="L31" i="17" s="1"/>
  <c r="G49" i="17"/>
  <c r="L22" i="17" s="1"/>
  <c r="G43" i="17"/>
  <c r="L20" i="17" s="1"/>
  <c r="G35" i="17"/>
  <c r="L13" i="17" s="1"/>
  <c r="G41" i="17"/>
  <c r="L19" i="17" s="1"/>
  <c r="G39" i="17"/>
  <c r="G45" i="17"/>
  <c r="L37" i="8"/>
  <c r="F87" i="8"/>
  <c r="F42" i="8"/>
  <c r="G55" i="8"/>
  <c r="G47" i="8"/>
  <c r="G57" i="8"/>
  <c r="G83" i="8"/>
  <c r="G51" i="8"/>
  <c r="G65" i="8"/>
  <c r="G53" i="8"/>
  <c r="G79" i="8"/>
  <c r="G73" i="8"/>
  <c r="G59" i="8"/>
  <c r="G85" i="8"/>
  <c r="G71" i="8"/>
  <c r="L30" i="8" s="1"/>
  <c r="G75" i="8"/>
  <c r="L32" i="8" s="1"/>
  <c r="G77" i="8"/>
  <c r="G49" i="8"/>
  <c r="L15" i="8" s="1"/>
  <c r="G69" i="8"/>
  <c r="G45" i="8"/>
  <c r="G67" i="8"/>
  <c r="G61" i="8"/>
  <c r="G81" i="8"/>
  <c r="G63" i="8"/>
  <c r="H64" i="17"/>
  <c r="H62" i="17"/>
  <c r="H60" i="17"/>
  <c r="H58" i="17"/>
  <c r="H56" i="17"/>
  <c r="H54" i="17"/>
  <c r="H52" i="17"/>
  <c r="H50" i="17"/>
  <c r="H48" i="17"/>
  <c r="H46" i="17"/>
  <c r="H44" i="17"/>
  <c r="H42" i="17"/>
  <c r="H40" i="17"/>
  <c r="H38" i="17"/>
  <c r="H36" i="17"/>
  <c r="H86" i="8"/>
  <c r="H84" i="8"/>
  <c r="H82" i="8"/>
  <c r="H80" i="8"/>
  <c r="H78" i="8"/>
  <c r="H76" i="8"/>
  <c r="H74" i="8"/>
  <c r="H72" i="8"/>
  <c r="H70" i="8"/>
  <c r="H68" i="8"/>
  <c r="H66" i="8"/>
  <c r="H64" i="8"/>
  <c r="H62" i="8"/>
  <c r="H60" i="8"/>
  <c r="H58" i="8"/>
  <c r="H56" i="8"/>
  <c r="H54" i="8"/>
  <c r="H52" i="8"/>
  <c r="H50" i="8"/>
  <c r="H48" i="8"/>
  <c r="H46" i="8"/>
  <c r="G65" i="17" l="1"/>
  <c r="G87" i="8"/>
  <c r="K45" i="19" l="1"/>
  <c r="F37" i="36" l="1"/>
  <c r="F80" i="17"/>
  <c r="F103" i="8"/>
  <c r="K38" i="2" l="1"/>
  <c r="F75" i="9"/>
  <c r="F65" i="7"/>
  <c r="A9" i="36"/>
  <c r="F19" i="16"/>
  <c r="F98" i="6"/>
  <c r="A9" i="14" l="1"/>
  <c r="F36" i="21"/>
  <c r="F11" i="21"/>
  <c r="F11" i="20"/>
  <c r="F85" i="19"/>
  <c r="F72" i="17"/>
  <c r="F10" i="14"/>
  <c r="F31" i="11"/>
  <c r="F66" i="4"/>
  <c r="F69" i="4"/>
  <c r="F73" i="4"/>
  <c r="A13" i="14" l="1"/>
  <c r="A14" i="14" s="1"/>
  <c r="A15" i="14" l="1"/>
  <c r="A16" i="14" l="1"/>
  <c r="F39" i="20"/>
  <c r="A9" i="20"/>
  <c r="F110" i="19"/>
  <c r="F37" i="12"/>
  <c r="F20" i="12"/>
  <c r="F57" i="11"/>
  <c r="A17" i="14" l="1"/>
  <c r="A18" i="14" s="1"/>
  <c r="A10" i="20"/>
  <c r="F50" i="16"/>
  <c r="A19" i="14" l="1"/>
  <c r="A24" i="14"/>
  <c r="A25" i="14" s="1"/>
  <c r="A26" i="14" l="1"/>
  <c r="A27" i="14" s="1"/>
  <c r="A28" i="14" l="1"/>
  <c r="A29" i="14" s="1"/>
  <c r="A30" i="14" s="1"/>
  <c r="A31" i="14" s="1"/>
  <c r="A32" i="14" s="1"/>
  <c r="A33" i="14" s="1"/>
  <c r="A34" i="14" s="1"/>
  <c r="A35" i="14" s="1"/>
  <c r="A36" i="14" s="1"/>
  <c r="F32" i="36"/>
  <c r="F89" i="2"/>
  <c r="F124" i="19" l="1"/>
  <c r="F121" i="19"/>
  <c r="F106" i="19"/>
  <c r="F77" i="19"/>
  <c r="F42" i="20"/>
  <c r="F33" i="20"/>
  <c r="F23" i="16" l="1"/>
  <c r="F10" i="18" l="1"/>
  <c r="A9" i="18"/>
  <c r="F44" i="36" l="1"/>
  <c r="F41" i="36"/>
  <c r="F47" i="36" s="1"/>
  <c r="F120" i="8" l="1"/>
  <c r="F75" i="2" l="1"/>
  <c r="F78" i="5" l="1"/>
  <c r="F75" i="5"/>
  <c r="F71" i="5"/>
  <c r="F63" i="5"/>
  <c r="F12" i="35" l="1"/>
  <c r="F11" i="34"/>
  <c r="F12" i="31"/>
  <c r="F39" i="21"/>
  <c r="F31" i="21"/>
  <c r="F29" i="18"/>
  <c r="F26" i="18"/>
  <c r="F14" i="18"/>
  <c r="F84" i="17"/>
  <c r="F53" i="16"/>
  <c r="F12" i="16"/>
  <c r="F40" i="14"/>
  <c r="F37" i="14"/>
  <c r="F20" i="14"/>
  <c r="F40" i="12"/>
  <c r="F33" i="12"/>
  <c r="F16" i="12"/>
  <c r="F60" i="11"/>
  <c r="F53" i="11"/>
  <c r="F25" i="11"/>
  <c r="F11" i="11"/>
  <c r="F13" i="10"/>
  <c r="F10" i="10"/>
  <c r="F78" i="9"/>
  <c r="F123" i="8"/>
  <c r="F116" i="8"/>
  <c r="F97" i="8"/>
  <c r="F93" i="8"/>
  <c r="F126" i="8" s="1"/>
  <c r="G126" i="8" s="1"/>
  <c r="F73" i="7"/>
  <c r="F70" i="7"/>
  <c r="F106" i="6"/>
  <c r="F103" i="6"/>
  <c r="F94" i="6"/>
  <c r="F62" i="4"/>
  <c r="F74" i="4" s="1"/>
  <c r="G72" i="4" s="1"/>
  <c r="F62" i="3"/>
  <c r="F59" i="3"/>
  <c r="F92" i="2"/>
  <c r="F85" i="2"/>
  <c r="G73" i="4" l="1"/>
  <c r="G60" i="4"/>
  <c r="G61" i="4"/>
  <c r="G59" i="4"/>
  <c r="K31" i="4" s="1"/>
  <c r="G68" i="4"/>
  <c r="K32" i="4" s="1"/>
  <c r="G65" i="4"/>
  <c r="G66" i="4" l="1"/>
  <c r="G69" i="4"/>
  <c r="F14" i="34"/>
  <c r="F22" i="31"/>
  <c r="F18" i="31"/>
  <c r="F43" i="21"/>
  <c r="F128" i="19"/>
  <c r="F33" i="18"/>
  <c r="F87" i="17"/>
  <c r="F90" i="17" s="1"/>
  <c r="G90" i="17" s="1"/>
  <c r="F57" i="16"/>
  <c r="F44" i="14"/>
  <c r="F44" i="12"/>
  <c r="F64" i="11"/>
  <c r="F65" i="11" s="1"/>
  <c r="G63" i="11" s="1"/>
  <c r="F17" i="10"/>
  <c r="F82" i="9"/>
  <c r="F77" i="7"/>
  <c r="F110" i="6"/>
  <c r="F111" i="6" s="1"/>
  <c r="F82" i="5"/>
  <c r="F83" i="5" s="1"/>
  <c r="G81" i="5" s="1"/>
  <c r="F66" i="3"/>
  <c r="F96" i="2"/>
  <c r="G28" i="11" l="1"/>
  <c r="G29" i="11"/>
  <c r="G30" i="11"/>
  <c r="G23" i="11"/>
  <c r="G24" i="11"/>
  <c r="G21" i="11"/>
  <c r="G22" i="11"/>
  <c r="G109" i="6"/>
  <c r="G93" i="6"/>
  <c r="G90" i="6"/>
  <c r="G92" i="6"/>
  <c r="G91" i="6"/>
  <c r="G52" i="11"/>
  <c r="G51" i="11"/>
  <c r="G97" i="6"/>
  <c r="G88" i="6"/>
  <c r="G89" i="6"/>
  <c r="G102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11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10" i="6"/>
  <c r="G110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4" i="6"/>
  <c r="G60" i="5"/>
  <c r="G61" i="5"/>
  <c r="G56" i="11"/>
  <c r="G41" i="11"/>
  <c r="G57" i="5"/>
  <c r="G59" i="5"/>
  <c r="G58" i="5"/>
  <c r="G10" i="11"/>
  <c r="G101" i="6"/>
  <c r="K35" i="6" s="1"/>
  <c r="G105" i="6"/>
  <c r="K36" i="6" s="1"/>
  <c r="G57" i="4"/>
  <c r="G56" i="4"/>
  <c r="G58" i="4"/>
  <c r="G55" i="4"/>
  <c r="G50" i="11"/>
  <c r="K24" i="11" s="1"/>
  <c r="G48" i="11"/>
  <c r="G49" i="11"/>
  <c r="G20" i="11"/>
  <c r="G19" i="11"/>
  <c r="G18" i="11"/>
  <c r="K21" i="11" s="1"/>
  <c r="G54" i="4"/>
  <c r="G52" i="4"/>
  <c r="G53" i="4"/>
  <c r="F127" i="8"/>
  <c r="G57" i="11" l="1"/>
  <c r="K14" i="11"/>
  <c r="K25" i="11"/>
  <c r="G100" i="8"/>
  <c r="G41" i="8"/>
  <c r="L36" i="8" s="1"/>
  <c r="G38" i="8"/>
  <c r="G35" i="8"/>
  <c r="G32" i="8"/>
  <c r="L34" i="8" s="1"/>
  <c r="G30" i="8"/>
  <c r="G115" i="8"/>
  <c r="G37" i="8"/>
  <c r="G34" i="8"/>
  <c r="G31" i="8"/>
  <c r="G28" i="8"/>
  <c r="G40" i="8"/>
  <c r="G39" i="8"/>
  <c r="G33" i="8"/>
  <c r="L21" i="8" s="1"/>
  <c r="G29" i="8"/>
  <c r="G102" i="8"/>
  <c r="G114" i="8"/>
  <c r="L27" i="8" s="1"/>
  <c r="G101" i="8"/>
  <c r="G36" i="8"/>
  <c r="L35" i="8" s="1"/>
  <c r="G27" i="8"/>
  <c r="G23" i="8"/>
  <c r="G19" i="8"/>
  <c r="G16" i="8"/>
  <c r="G14" i="8"/>
  <c r="G26" i="8"/>
  <c r="G22" i="8"/>
  <c r="G11" i="8"/>
  <c r="G25" i="8"/>
  <c r="G21" i="8"/>
  <c r="G18" i="8"/>
  <c r="G15" i="8"/>
  <c r="G13" i="8"/>
  <c r="G24" i="8"/>
  <c r="G20" i="8"/>
  <c r="G17" i="8"/>
  <c r="G12" i="8"/>
  <c r="G10" i="8"/>
  <c r="K30" i="4"/>
  <c r="G98" i="6"/>
  <c r="G92" i="8"/>
  <c r="G108" i="8"/>
  <c r="G113" i="8"/>
  <c r="G112" i="8"/>
  <c r="G111" i="8"/>
  <c r="G122" i="8"/>
  <c r="L38" i="8" s="1"/>
  <c r="G107" i="8"/>
  <c r="G110" i="8"/>
  <c r="G119" i="8"/>
  <c r="L20" i="8" s="1"/>
  <c r="G96" i="8"/>
  <c r="L13" i="8" s="1"/>
  <c r="G109" i="8"/>
  <c r="L26" i="8" s="1"/>
  <c r="G91" i="8"/>
  <c r="L12" i="8" s="1"/>
  <c r="G31" i="11"/>
  <c r="G103" i="6"/>
  <c r="K34" i="6"/>
  <c r="K29" i="4"/>
  <c r="G106" i="6"/>
  <c r="L22" i="8" l="1"/>
  <c r="L31" i="8"/>
  <c r="L25" i="8"/>
  <c r="L9" i="8"/>
  <c r="L28" i="8"/>
  <c r="L19" i="8"/>
  <c r="L16" i="8"/>
  <c r="L23" i="8"/>
  <c r="L33" i="8"/>
  <c r="L14" i="8"/>
  <c r="L10" i="8"/>
  <c r="L11" i="8"/>
  <c r="L24" i="8"/>
  <c r="L29" i="8"/>
  <c r="G103" i="8"/>
  <c r="G93" i="8"/>
  <c r="G120" i="8"/>
  <c r="G116" i="8"/>
  <c r="L17" i="8"/>
  <c r="G97" i="8"/>
  <c r="G123" i="8"/>
  <c r="A9" i="17"/>
  <c r="A9" i="11"/>
  <c r="A10" i="17" l="1"/>
  <c r="A11" i="17"/>
  <c r="A10" i="11"/>
  <c r="A12" i="17" l="1"/>
  <c r="G64" i="11"/>
  <c r="G38" i="11"/>
  <c r="G14" i="11"/>
  <c r="G40" i="11"/>
  <c r="G35" i="11"/>
  <c r="G46" i="11"/>
  <c r="K15" i="11" s="1"/>
  <c r="G15" i="11"/>
  <c r="K18" i="11" s="1"/>
  <c r="G43" i="11"/>
  <c r="K20" i="11" s="1"/>
  <c r="G37" i="11"/>
  <c r="K19" i="11" s="1"/>
  <c r="G17" i="11"/>
  <c r="K17" i="11" s="1"/>
  <c r="G47" i="11"/>
  <c r="K23" i="11" s="1"/>
  <c r="G36" i="11"/>
  <c r="K13" i="11" s="1"/>
  <c r="G39" i="11"/>
  <c r="G44" i="11"/>
  <c r="G45" i="11"/>
  <c r="K22" i="11" s="1"/>
  <c r="G9" i="11"/>
  <c r="G16" i="11"/>
  <c r="K16" i="11" s="1"/>
  <c r="G42" i="11"/>
  <c r="G59" i="11"/>
  <c r="K26" i="11" s="1"/>
  <c r="A14" i="17" l="1"/>
  <c r="A13" i="17"/>
  <c r="K10" i="11"/>
  <c r="K11" i="11"/>
  <c r="K9" i="11"/>
  <c r="K12" i="11"/>
  <c r="G60" i="11"/>
  <c r="G11" i="11"/>
  <c r="G53" i="11"/>
  <c r="G25" i="11"/>
  <c r="A15" i="17" l="1"/>
  <c r="G65" i="11"/>
  <c r="A16" i="17" l="1"/>
  <c r="A17" i="17"/>
  <c r="A14" i="11"/>
  <c r="A18" i="17" l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15" i="11"/>
  <c r="A16" i="11" l="1"/>
  <c r="A17" i="11" l="1"/>
  <c r="I139" i="7"/>
  <c r="I135" i="7"/>
  <c r="I131" i="7"/>
  <c r="I130" i="7"/>
  <c r="I125" i="7"/>
  <c r="I124" i="7"/>
  <c r="I120" i="7"/>
  <c r="I116" i="7"/>
  <c r="I115" i="7"/>
  <c r="I114" i="7"/>
  <c r="I113" i="7"/>
  <c r="I112" i="7"/>
  <c r="I111" i="7"/>
  <c r="A18" i="11" l="1"/>
  <c r="A19" i="11" s="1"/>
  <c r="A20" i="11" s="1"/>
  <c r="A21" i="11" s="1"/>
  <c r="A22" i="11" l="1"/>
  <c r="A23" i="11" s="1"/>
  <c r="A35" i="17"/>
  <c r="A24" i="11" l="1"/>
  <c r="A28" i="11" s="1"/>
  <c r="A29" i="11" s="1"/>
  <c r="A30" i="11" s="1"/>
  <c r="A35" i="11" l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F15" i="35"/>
  <c r="A51" i="11" l="1"/>
  <c r="A52" i="11" s="1"/>
  <c r="A56" i="11"/>
  <c r="A13" i="18"/>
  <c r="F15" i="31" l="1"/>
  <c r="A8" i="35"/>
  <c r="A8" i="34"/>
  <c r="A8" i="31"/>
  <c r="A9" i="31" s="1"/>
  <c r="A10" i="31" s="1"/>
  <c r="A11" i="31" s="1"/>
  <c r="F19" i="35"/>
  <c r="F18" i="34"/>
  <c r="A9" i="19"/>
  <c r="A9" i="12"/>
  <c r="A9" i="10"/>
  <c r="A9" i="9"/>
  <c r="A9" i="8"/>
  <c r="A9" i="7"/>
  <c r="A9" i="6"/>
  <c r="A9" i="5"/>
  <c r="A9" i="4"/>
  <c r="A9" i="3"/>
  <c r="A9" i="2"/>
  <c r="A9" i="21"/>
  <c r="F46" i="20"/>
  <c r="F47" i="20" s="1"/>
  <c r="F83" i="9"/>
  <c r="G81" i="9" s="1"/>
  <c r="F67" i="3"/>
  <c r="G65" i="3" s="1"/>
  <c r="A10" i="8" l="1"/>
  <c r="A11" i="8" s="1"/>
  <c r="G30" i="20"/>
  <c r="G31" i="20"/>
  <c r="G32" i="20"/>
  <c r="K31" i="9"/>
  <c r="G72" i="9"/>
  <c r="G71" i="9"/>
  <c r="G82" i="9"/>
  <c r="G70" i="9"/>
  <c r="G38" i="20"/>
  <c r="G27" i="20"/>
  <c r="K13" i="20" s="1"/>
  <c r="G29" i="20"/>
  <c r="K14" i="20" s="1"/>
  <c r="G28" i="20"/>
  <c r="G69" i="9"/>
  <c r="A10" i="21"/>
  <c r="G37" i="20"/>
  <c r="G10" i="20"/>
  <c r="K15" i="20" s="1"/>
  <c r="G67" i="9"/>
  <c r="G68" i="9"/>
  <c r="G66" i="9"/>
  <c r="G65" i="9"/>
  <c r="G9" i="20"/>
  <c r="A10" i="12"/>
  <c r="G64" i="9"/>
  <c r="G63" i="9"/>
  <c r="G45" i="20"/>
  <c r="G82" i="5"/>
  <c r="G55" i="5"/>
  <c r="G56" i="5"/>
  <c r="G66" i="3"/>
  <c r="A9" i="35"/>
  <c r="A9" i="34"/>
  <c r="A10" i="34" s="1"/>
  <c r="A10" i="6"/>
  <c r="A10" i="5"/>
  <c r="A10" i="19"/>
  <c r="A10" i="9"/>
  <c r="F58" i="16"/>
  <c r="G56" i="16" s="1"/>
  <c r="F97" i="2"/>
  <c r="G95" i="2" s="1"/>
  <c r="A10" i="3"/>
  <c r="A11" i="3" s="1"/>
  <c r="F20" i="35"/>
  <c r="G18" i="35" s="1"/>
  <c r="A10" i="4"/>
  <c r="A10" i="2"/>
  <c r="G35" i="3"/>
  <c r="F45" i="12"/>
  <c r="G43" i="12" s="1"/>
  <c r="F45" i="14"/>
  <c r="G43" i="14" s="1"/>
  <c r="F129" i="19"/>
  <c r="F19" i="34"/>
  <c r="F44" i="21"/>
  <c r="A10" i="7"/>
  <c r="F34" i="18"/>
  <c r="G32" i="18" s="1"/>
  <c r="F23" i="31"/>
  <c r="G21" i="31" s="1"/>
  <c r="G27" i="3"/>
  <c r="G36" i="3"/>
  <c r="G29" i="3"/>
  <c r="G12" i="3"/>
  <c r="G17" i="3"/>
  <c r="F18" i="10"/>
  <c r="G16" i="10" s="1"/>
  <c r="G25" i="3"/>
  <c r="G10" i="3"/>
  <c r="G14" i="3"/>
  <c r="G61" i="3"/>
  <c r="K30" i="3" s="1"/>
  <c r="G51" i="3"/>
  <c r="G33" i="3"/>
  <c r="G13" i="3"/>
  <c r="G26" i="3"/>
  <c r="G32" i="3"/>
  <c r="G34" i="3"/>
  <c r="G23" i="3"/>
  <c r="G54" i="3"/>
  <c r="G41" i="3"/>
  <c r="G31" i="3"/>
  <c r="F78" i="7"/>
  <c r="G76" i="7" s="1"/>
  <c r="G53" i="3"/>
  <c r="G58" i="3"/>
  <c r="K29" i="3" s="1"/>
  <c r="G55" i="3"/>
  <c r="G56" i="3"/>
  <c r="G57" i="3"/>
  <c r="A13" i="8" l="1"/>
  <c r="A12" i="8"/>
  <c r="A15" i="8" s="1"/>
  <c r="A14" i="8"/>
  <c r="K30" i="9"/>
  <c r="G42" i="21"/>
  <c r="G30" i="21"/>
  <c r="G27" i="21"/>
  <c r="G29" i="21"/>
  <c r="G28" i="21"/>
  <c r="G26" i="21"/>
  <c r="G120" i="19"/>
  <c r="G119" i="19"/>
  <c r="G105" i="19"/>
  <c r="K43" i="19" s="1"/>
  <c r="G104" i="19"/>
  <c r="G84" i="19"/>
  <c r="K40" i="19" s="1"/>
  <c r="G83" i="19"/>
  <c r="K39" i="19" s="1"/>
  <c r="G18" i="16"/>
  <c r="G17" i="16"/>
  <c r="G34" i="14"/>
  <c r="G35" i="14"/>
  <c r="G36" i="14"/>
  <c r="G44" i="14"/>
  <c r="G19" i="14"/>
  <c r="G18" i="14"/>
  <c r="G44" i="12"/>
  <c r="G31" i="12"/>
  <c r="G32" i="12"/>
  <c r="K37" i="2"/>
  <c r="G60" i="7"/>
  <c r="G63" i="7"/>
  <c r="G59" i="7"/>
  <c r="G62" i="7"/>
  <c r="G61" i="7"/>
  <c r="G123" i="19"/>
  <c r="G116" i="19"/>
  <c r="G109" i="19"/>
  <c r="K36" i="19" s="1"/>
  <c r="G101" i="19"/>
  <c r="G97" i="19"/>
  <c r="G93" i="19"/>
  <c r="K26" i="19" s="1"/>
  <c r="G89" i="19"/>
  <c r="G72" i="19"/>
  <c r="G68" i="19"/>
  <c r="G64" i="19"/>
  <c r="G60" i="19"/>
  <c r="K41" i="19" s="1"/>
  <c r="G56" i="19"/>
  <c r="G52" i="19"/>
  <c r="G48" i="19"/>
  <c r="G44" i="19"/>
  <c r="G40" i="19"/>
  <c r="G36" i="19"/>
  <c r="G32" i="19"/>
  <c r="G28" i="19"/>
  <c r="G24" i="19"/>
  <c r="G20" i="19"/>
  <c r="G16" i="19"/>
  <c r="G12" i="19"/>
  <c r="G15" i="19"/>
  <c r="G10" i="19"/>
  <c r="G115" i="19"/>
  <c r="G100" i="19"/>
  <c r="G96" i="19"/>
  <c r="G92" i="19"/>
  <c r="G75" i="19"/>
  <c r="G71" i="19"/>
  <c r="K42" i="19" s="1"/>
  <c r="G67" i="19"/>
  <c r="G63" i="19"/>
  <c r="G59" i="19"/>
  <c r="G55" i="19"/>
  <c r="G51" i="19"/>
  <c r="K31" i="19" s="1"/>
  <c r="G47" i="19"/>
  <c r="G43" i="19"/>
  <c r="K35" i="19" s="1"/>
  <c r="G39" i="19"/>
  <c r="K32" i="19" s="1"/>
  <c r="G35" i="19"/>
  <c r="K29" i="19" s="1"/>
  <c r="G31" i="19"/>
  <c r="G27" i="19"/>
  <c r="G23" i="19"/>
  <c r="G19" i="19"/>
  <c r="G11" i="19"/>
  <c r="G118" i="19"/>
  <c r="G114" i="19"/>
  <c r="G103" i="19"/>
  <c r="G99" i="19"/>
  <c r="G95" i="19"/>
  <c r="G91" i="19"/>
  <c r="G82" i="19"/>
  <c r="K38" i="19" s="1"/>
  <c r="G74" i="19"/>
  <c r="K44" i="19" s="1"/>
  <c r="G70" i="19"/>
  <c r="G66" i="19"/>
  <c r="G62" i="19"/>
  <c r="G58" i="19"/>
  <c r="G54" i="19"/>
  <c r="G50" i="19"/>
  <c r="G46" i="19"/>
  <c r="G42" i="19"/>
  <c r="K33" i="19" s="1"/>
  <c r="G38" i="19"/>
  <c r="G34" i="19"/>
  <c r="G30" i="19"/>
  <c r="G26" i="19"/>
  <c r="G22" i="19"/>
  <c r="G18" i="19"/>
  <c r="G14" i="19"/>
  <c r="K23" i="19" s="1"/>
  <c r="G127" i="19"/>
  <c r="G128" i="19" s="1"/>
  <c r="G117" i="19"/>
  <c r="G113" i="19"/>
  <c r="G102" i="19"/>
  <c r="G98" i="19"/>
  <c r="K37" i="19" s="1"/>
  <c r="G94" i="19"/>
  <c r="G90" i="19"/>
  <c r="G81" i="19"/>
  <c r="K34" i="19" s="1"/>
  <c r="G73" i="19"/>
  <c r="G69" i="19"/>
  <c r="G65" i="19"/>
  <c r="G61" i="19"/>
  <c r="G57" i="19"/>
  <c r="G53" i="19"/>
  <c r="G49" i="19"/>
  <c r="G45" i="19"/>
  <c r="G41" i="19"/>
  <c r="G37" i="19"/>
  <c r="G33" i="19"/>
  <c r="K28" i="19" s="1"/>
  <c r="G29" i="19"/>
  <c r="K27" i="19" s="1"/>
  <c r="G25" i="19"/>
  <c r="G21" i="19"/>
  <c r="G17" i="19"/>
  <c r="G13" i="19"/>
  <c r="G22" i="18"/>
  <c r="K14" i="18" s="1"/>
  <c r="G20" i="18"/>
  <c r="G23" i="18"/>
  <c r="G25" i="18"/>
  <c r="G21" i="18"/>
  <c r="G24" i="18"/>
  <c r="G19" i="18"/>
  <c r="G22" i="21"/>
  <c r="G25" i="21"/>
  <c r="G23" i="21"/>
  <c r="G24" i="21"/>
  <c r="G15" i="16"/>
  <c r="G16" i="16"/>
  <c r="G57" i="16"/>
  <c r="G48" i="16"/>
  <c r="G49" i="16"/>
  <c r="G15" i="12"/>
  <c r="G14" i="12"/>
  <c r="G73" i="2"/>
  <c r="G72" i="2"/>
  <c r="G71" i="2"/>
  <c r="G35" i="21"/>
  <c r="G10" i="21"/>
  <c r="G11" i="20"/>
  <c r="G11" i="16"/>
  <c r="G10" i="16"/>
  <c r="G9" i="14"/>
  <c r="G58" i="7"/>
  <c r="G68" i="2"/>
  <c r="G70" i="2"/>
  <c r="G66" i="2"/>
  <c r="G69" i="2"/>
  <c r="G67" i="2"/>
  <c r="G36" i="12"/>
  <c r="G37" i="12" s="1"/>
  <c r="G110" i="19"/>
  <c r="A11" i="12"/>
  <c r="A12" i="12" s="1"/>
  <c r="G19" i="12"/>
  <c r="K20" i="12" s="1"/>
  <c r="G57" i="7"/>
  <c r="K33" i="2"/>
  <c r="K35" i="2"/>
  <c r="K34" i="2"/>
  <c r="K32" i="2"/>
  <c r="G38" i="16"/>
  <c r="G72" i="7"/>
  <c r="K31" i="7" s="1"/>
  <c r="G53" i="7"/>
  <c r="G49" i="7"/>
  <c r="G45" i="7"/>
  <c r="G41" i="7"/>
  <c r="G37" i="7"/>
  <c r="G33" i="7"/>
  <c r="G29" i="7"/>
  <c r="G25" i="7"/>
  <c r="G21" i="7"/>
  <c r="G17" i="7"/>
  <c r="G13" i="7"/>
  <c r="G11" i="7"/>
  <c r="K30" i="7"/>
  <c r="G56" i="7"/>
  <c r="G52" i="7"/>
  <c r="G48" i="7"/>
  <c r="G44" i="7"/>
  <c r="G40" i="7"/>
  <c r="G36" i="7"/>
  <c r="G32" i="7"/>
  <c r="G28" i="7"/>
  <c r="G24" i="7"/>
  <c r="G20" i="7"/>
  <c r="G16" i="7"/>
  <c r="G12" i="7"/>
  <c r="G55" i="7"/>
  <c r="G51" i="7"/>
  <c r="G47" i="7"/>
  <c r="G43" i="7"/>
  <c r="G39" i="7"/>
  <c r="G35" i="7"/>
  <c r="G31" i="7"/>
  <c r="G27" i="7"/>
  <c r="G23" i="7"/>
  <c r="G19" i="7"/>
  <c r="G15" i="7"/>
  <c r="G54" i="7"/>
  <c r="G50" i="7"/>
  <c r="G46" i="7"/>
  <c r="G42" i="7"/>
  <c r="G38" i="7"/>
  <c r="G34" i="7"/>
  <c r="G30" i="7"/>
  <c r="G26" i="7"/>
  <c r="G22" i="7"/>
  <c r="G18" i="7"/>
  <c r="G14" i="7"/>
  <c r="G10" i="7"/>
  <c r="G96" i="2"/>
  <c r="G21" i="21"/>
  <c r="G20" i="21"/>
  <c r="K12" i="21" s="1"/>
  <c r="G17" i="14"/>
  <c r="G30" i="12"/>
  <c r="K19" i="12" s="1"/>
  <c r="G11" i="12"/>
  <c r="G12" i="12"/>
  <c r="G13" i="12"/>
  <c r="G17" i="34"/>
  <c r="G18" i="34" s="1"/>
  <c r="G9" i="34"/>
  <c r="G8" i="34"/>
  <c r="G10" i="34"/>
  <c r="G34" i="21"/>
  <c r="K14" i="21" s="1"/>
  <c r="K16" i="18"/>
  <c r="G16" i="14"/>
  <c r="G19" i="21"/>
  <c r="G9" i="18"/>
  <c r="G88" i="2"/>
  <c r="G91" i="2"/>
  <c r="K39" i="2" s="1"/>
  <c r="G47" i="16"/>
  <c r="G29" i="12"/>
  <c r="G22" i="16"/>
  <c r="G33" i="14"/>
  <c r="G32" i="14"/>
  <c r="G31" i="14"/>
  <c r="G9" i="12"/>
  <c r="G10" i="12"/>
  <c r="G62" i="3"/>
  <c r="G30" i="14"/>
  <c r="G29" i="14"/>
  <c r="G22" i="31"/>
  <c r="G43" i="21"/>
  <c r="K13" i="18"/>
  <c r="G14" i="14"/>
  <c r="G13" i="14"/>
  <c r="G15" i="14"/>
  <c r="G28" i="14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56" i="2"/>
  <c r="G44" i="2"/>
  <c r="G32" i="2"/>
  <c r="G20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0" i="2"/>
  <c r="G48" i="2"/>
  <c r="G36" i="2"/>
  <c r="G24" i="2"/>
  <c r="G12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64" i="2"/>
  <c r="G52" i="2"/>
  <c r="G40" i="2"/>
  <c r="G28" i="2"/>
  <c r="G16" i="2"/>
  <c r="G43" i="16"/>
  <c r="G39" i="16"/>
  <c r="G46" i="16"/>
  <c r="G42" i="16"/>
  <c r="G37" i="16"/>
  <c r="G33" i="16"/>
  <c r="G29" i="16"/>
  <c r="G45" i="16"/>
  <c r="G41" i="16"/>
  <c r="G36" i="16"/>
  <c r="G32" i="16"/>
  <c r="G28" i="16"/>
  <c r="G30" i="16"/>
  <c r="G52" i="16"/>
  <c r="K22" i="16" s="1"/>
  <c r="G44" i="16"/>
  <c r="G40" i="16"/>
  <c r="G35" i="16"/>
  <c r="G31" i="16"/>
  <c r="G27" i="16"/>
  <c r="G34" i="16"/>
  <c r="G9" i="16"/>
  <c r="G27" i="14"/>
  <c r="A10" i="35"/>
  <c r="A11" i="35" s="1"/>
  <c r="G10" i="35"/>
  <c r="G11" i="35"/>
  <c r="G13" i="34"/>
  <c r="K10" i="34" s="1"/>
  <c r="G18" i="21"/>
  <c r="G13" i="18"/>
  <c r="A11" i="6"/>
  <c r="G23" i="20"/>
  <c r="G20" i="20"/>
  <c r="G16" i="20"/>
  <c r="G22" i="20"/>
  <c r="G26" i="20"/>
  <c r="G21" i="20"/>
  <c r="G17" i="20"/>
  <c r="G24" i="20"/>
  <c r="A11" i="9"/>
  <c r="A12" i="9" s="1"/>
  <c r="A11" i="7"/>
  <c r="G77" i="5"/>
  <c r="K32" i="5" s="1"/>
  <c r="A11" i="5"/>
  <c r="A11" i="2"/>
  <c r="G14" i="35"/>
  <c r="K10" i="35" s="1"/>
  <c r="G27" i="12"/>
  <c r="G25" i="12"/>
  <c r="G28" i="12"/>
  <c r="G26" i="12"/>
  <c r="G28" i="5"/>
  <c r="A11" i="4"/>
  <c r="A11" i="19"/>
  <c r="G61" i="9"/>
  <c r="G18" i="9"/>
  <c r="G53" i="5"/>
  <c r="G48" i="5"/>
  <c r="G74" i="5"/>
  <c r="G31" i="5"/>
  <c r="G31" i="9"/>
  <c r="G38" i="9"/>
  <c r="G49" i="9"/>
  <c r="G42" i="9"/>
  <c r="G46" i="9"/>
  <c r="G9" i="35"/>
  <c r="G8" i="35"/>
  <c r="G15" i="20"/>
  <c r="G24" i="12"/>
  <c r="G39" i="9"/>
  <c r="G41" i="9"/>
  <c r="G50" i="9"/>
  <c r="G24" i="9"/>
  <c r="G53" i="9"/>
  <c r="G35" i="9"/>
  <c r="G26" i="9"/>
  <c r="G52" i="9"/>
  <c r="G23" i="9"/>
  <c r="G27" i="9"/>
  <c r="G30" i="9"/>
  <c r="G21" i="9"/>
  <c r="G44" i="5"/>
  <c r="G24" i="5"/>
  <c r="G27" i="5"/>
  <c r="G19" i="5"/>
  <c r="G21" i="5"/>
  <c r="G45" i="5"/>
  <c r="G46" i="5"/>
  <c r="G26" i="5"/>
  <c r="G38" i="5"/>
  <c r="G10" i="5"/>
  <c r="G16" i="5"/>
  <c r="G11" i="5"/>
  <c r="G41" i="5"/>
  <c r="G35" i="5"/>
  <c r="G43" i="5"/>
  <c r="G20" i="5"/>
  <c r="G18" i="5"/>
  <c r="G12" i="5"/>
  <c r="G36" i="5"/>
  <c r="G37" i="5"/>
  <c r="G34" i="5"/>
  <c r="G40" i="5"/>
  <c r="G17" i="5"/>
  <c r="G47" i="5"/>
  <c r="G32" i="5"/>
  <c r="G9" i="5"/>
  <c r="G49" i="5"/>
  <c r="G50" i="5"/>
  <c r="G30" i="5"/>
  <c r="G29" i="5"/>
  <c r="G39" i="5"/>
  <c r="G42" i="5"/>
  <c r="G25" i="5"/>
  <c r="G14" i="5"/>
  <c r="G23" i="5"/>
  <c r="G52" i="5"/>
  <c r="G22" i="5"/>
  <c r="G13" i="5"/>
  <c r="G15" i="5"/>
  <c r="G33" i="5"/>
  <c r="G51" i="5"/>
  <c r="G54" i="5"/>
  <c r="G59" i="9"/>
  <c r="G38" i="21"/>
  <c r="K15" i="21" s="1"/>
  <c r="G39" i="14"/>
  <c r="K17" i="14" s="1"/>
  <c r="G46" i="20"/>
  <c r="A12" i="3"/>
  <c r="A13" i="3" s="1"/>
  <c r="G14" i="31"/>
  <c r="G17" i="31"/>
  <c r="G18" i="31" s="1"/>
  <c r="G10" i="31"/>
  <c r="G14" i="20"/>
  <c r="G19" i="20"/>
  <c r="G18" i="20"/>
  <c r="G33" i="18"/>
  <c r="G26" i="14"/>
  <c r="G39" i="12"/>
  <c r="K21" i="12" s="1"/>
  <c r="G56" i="9"/>
  <c r="G54" i="9"/>
  <c r="G28" i="9"/>
  <c r="G16" i="3"/>
  <c r="G21" i="3"/>
  <c r="G49" i="3"/>
  <c r="G9" i="3"/>
  <c r="G44" i="3"/>
  <c r="G37" i="3"/>
  <c r="G24" i="3"/>
  <c r="G43" i="3"/>
  <c r="G42" i="3"/>
  <c r="G38" i="3"/>
  <c r="G39" i="3"/>
  <c r="G50" i="3"/>
  <c r="G45" i="3"/>
  <c r="G15" i="3"/>
  <c r="G19" i="3"/>
  <c r="G48" i="3"/>
  <c r="G30" i="3"/>
  <c r="G11" i="3"/>
  <c r="G22" i="3"/>
  <c r="G46" i="3"/>
  <c r="G47" i="3"/>
  <c r="G28" i="3"/>
  <c r="G52" i="3"/>
  <c r="K28" i="3" s="1"/>
  <c r="G40" i="3"/>
  <c r="G9" i="2"/>
  <c r="G24" i="14"/>
  <c r="G9" i="31"/>
  <c r="G19" i="35"/>
  <c r="A14" i="3"/>
  <c r="A15" i="3" s="1"/>
  <c r="A16" i="3" s="1"/>
  <c r="G17" i="9"/>
  <c r="G77" i="9"/>
  <c r="K32" i="9" s="1"/>
  <c r="G17" i="10"/>
  <c r="G12" i="10"/>
  <c r="K10" i="10" s="1"/>
  <c r="G8" i="31"/>
  <c r="G11" i="31"/>
  <c r="G15" i="21"/>
  <c r="G14" i="21"/>
  <c r="G17" i="21"/>
  <c r="G16" i="21"/>
  <c r="K13" i="21" s="1"/>
  <c r="G9" i="21"/>
  <c r="G11" i="21" s="1"/>
  <c r="G41" i="20"/>
  <c r="K16" i="20" s="1"/>
  <c r="G9" i="19"/>
  <c r="G28" i="18"/>
  <c r="K17" i="18" s="1"/>
  <c r="G18" i="18"/>
  <c r="G25" i="14"/>
  <c r="G9" i="10"/>
  <c r="G10" i="10" s="1"/>
  <c r="G29" i="9"/>
  <c r="G37" i="9"/>
  <c r="G13" i="9"/>
  <c r="G40" i="9"/>
  <c r="G12" i="9"/>
  <c r="G33" i="9"/>
  <c r="G14" i="9"/>
  <c r="G25" i="9"/>
  <c r="G48" i="9"/>
  <c r="G16" i="9"/>
  <c r="G55" i="9"/>
  <c r="G22" i="9"/>
  <c r="G62" i="9"/>
  <c r="G15" i="9"/>
  <c r="G57" i="9"/>
  <c r="G11" i="9"/>
  <c r="G58" i="9"/>
  <c r="G47" i="9"/>
  <c r="G19" i="9"/>
  <c r="G9" i="9"/>
  <c r="G32" i="9"/>
  <c r="K29" i="9" s="1"/>
  <c r="G60" i="9"/>
  <c r="G44" i="9"/>
  <c r="G36" i="9"/>
  <c r="G20" i="9"/>
  <c r="G51" i="9"/>
  <c r="G43" i="9"/>
  <c r="G34" i="9"/>
  <c r="G18" i="3"/>
  <c r="G20" i="3"/>
  <c r="G36" i="20"/>
  <c r="G39" i="20" s="1"/>
  <c r="G25" i="20"/>
  <c r="G9" i="7"/>
  <c r="G45" i="9"/>
  <c r="G10" i="9"/>
  <c r="A18" i="18"/>
  <c r="K30" i="19" l="1"/>
  <c r="K10" i="31"/>
  <c r="K12" i="16"/>
  <c r="K31" i="2"/>
  <c r="K14" i="19"/>
  <c r="A16" i="8"/>
  <c r="K14" i="16"/>
  <c r="A17" i="8"/>
  <c r="A12" i="7"/>
  <c r="A13" i="7" s="1"/>
  <c r="K28" i="7"/>
  <c r="A19" i="8"/>
  <c r="A18" i="8"/>
  <c r="A20" i="8" s="1"/>
  <c r="K31" i="5"/>
  <c r="K22" i="19"/>
  <c r="K15" i="19"/>
  <c r="K46" i="19"/>
  <c r="K19" i="19"/>
  <c r="K18" i="19"/>
  <c r="K24" i="19"/>
  <c r="K17" i="19"/>
  <c r="K16" i="19"/>
  <c r="K20" i="19"/>
  <c r="K25" i="19"/>
  <c r="K21" i="19"/>
  <c r="K20" i="16"/>
  <c r="K19" i="16"/>
  <c r="K21" i="16"/>
  <c r="K13" i="16"/>
  <c r="K16" i="16"/>
  <c r="K18" i="16"/>
  <c r="K17" i="16"/>
  <c r="K28" i="2"/>
  <c r="K30" i="2"/>
  <c r="G75" i="9"/>
  <c r="G65" i="7"/>
  <c r="G75" i="5"/>
  <c r="K30" i="5"/>
  <c r="K11" i="16"/>
  <c r="K15" i="14"/>
  <c r="K10" i="16"/>
  <c r="K15" i="16"/>
  <c r="K9" i="16"/>
  <c r="K12" i="20"/>
  <c r="G19" i="16"/>
  <c r="K13" i="14"/>
  <c r="K16" i="14"/>
  <c r="K14" i="14"/>
  <c r="K12" i="14"/>
  <c r="K14" i="12"/>
  <c r="K15" i="12"/>
  <c r="K20" i="3"/>
  <c r="K21" i="3"/>
  <c r="K22" i="2"/>
  <c r="K17" i="12"/>
  <c r="G36" i="21"/>
  <c r="K8" i="16"/>
  <c r="K11" i="14"/>
  <c r="K20" i="2"/>
  <c r="K29" i="2"/>
  <c r="K26" i="2"/>
  <c r="K11" i="18"/>
  <c r="K10" i="21"/>
  <c r="K11" i="20"/>
  <c r="G85" i="19"/>
  <c r="K12" i="18"/>
  <c r="K15" i="18"/>
  <c r="G10" i="14"/>
  <c r="K18" i="12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A13" i="12"/>
  <c r="A14" i="12" s="1"/>
  <c r="A15" i="12" s="1"/>
  <c r="G20" i="12"/>
  <c r="G89" i="2"/>
  <c r="K9" i="20"/>
  <c r="K10" i="20"/>
  <c r="G77" i="7"/>
  <c r="K10" i="18"/>
  <c r="K10" i="14"/>
  <c r="K12" i="12"/>
  <c r="K11" i="12"/>
  <c r="K13" i="12"/>
  <c r="G42" i="20"/>
  <c r="G23" i="16"/>
  <c r="G77" i="19"/>
  <c r="G106" i="19"/>
  <c r="G124" i="19"/>
  <c r="G121" i="19"/>
  <c r="K29" i="7"/>
  <c r="G33" i="20"/>
  <c r="G10" i="18"/>
  <c r="K9" i="18"/>
  <c r="K16" i="12"/>
  <c r="K27" i="7"/>
  <c r="K28" i="9"/>
  <c r="K23" i="3"/>
  <c r="K26" i="7"/>
  <c r="K25" i="7"/>
  <c r="K9" i="35"/>
  <c r="K9" i="34"/>
  <c r="G14" i="34"/>
  <c r="K10" i="12"/>
  <c r="K24" i="7"/>
  <c r="K24" i="3"/>
  <c r="K17" i="3"/>
  <c r="G75" i="2"/>
  <c r="A12" i="2"/>
  <c r="G73" i="7"/>
  <c r="G13" i="10"/>
  <c r="K9" i="5"/>
  <c r="G63" i="5"/>
  <c r="G78" i="5"/>
  <c r="G39" i="21"/>
  <c r="G29" i="18"/>
  <c r="G53" i="16"/>
  <c r="G40" i="14"/>
  <c r="G40" i="12"/>
  <c r="K26" i="9"/>
  <c r="K14" i="3"/>
  <c r="A12" i="4"/>
  <c r="A13" i="4" s="1"/>
  <c r="K17" i="7"/>
  <c r="G78" i="9"/>
  <c r="G92" i="2"/>
  <c r="G12" i="35"/>
  <c r="G11" i="34"/>
  <c r="G12" i="31"/>
  <c r="G26" i="18"/>
  <c r="K11" i="3"/>
  <c r="G31" i="21"/>
  <c r="G14" i="18"/>
  <c r="G12" i="16"/>
  <c r="G50" i="16"/>
  <c r="G37" i="14"/>
  <c r="G20" i="14"/>
  <c r="G33" i="12"/>
  <c r="G16" i="12"/>
  <c r="G59" i="3"/>
  <c r="K9" i="19"/>
  <c r="K23" i="9"/>
  <c r="K22" i="7"/>
  <c r="K16" i="7"/>
  <c r="A12" i="5"/>
  <c r="K25" i="3"/>
  <c r="K22" i="3"/>
  <c r="K18" i="3"/>
  <c r="K16" i="3"/>
  <c r="K15" i="3"/>
  <c r="K26" i="3"/>
  <c r="K16" i="5"/>
  <c r="K25" i="5"/>
  <c r="K29" i="5"/>
  <c r="K21" i="9"/>
  <c r="K26" i="5"/>
  <c r="G15" i="35"/>
  <c r="L13" i="35"/>
  <c r="K9" i="31"/>
  <c r="G15" i="31"/>
  <c r="K9" i="21"/>
  <c r="K11" i="21"/>
  <c r="K10" i="19"/>
  <c r="K9" i="12"/>
  <c r="K9" i="10"/>
  <c r="K13" i="9"/>
  <c r="K27" i="9"/>
  <c r="K25" i="9"/>
  <c r="K18" i="9"/>
  <c r="K13" i="7"/>
  <c r="K21" i="7"/>
  <c r="K20" i="7"/>
  <c r="K18" i="7"/>
  <c r="A12" i="6"/>
  <c r="K27" i="5"/>
  <c r="K24" i="5"/>
  <c r="K17" i="5"/>
  <c r="K19" i="5"/>
  <c r="K28" i="5"/>
  <c r="K27" i="3"/>
  <c r="K19" i="3"/>
  <c r="K9" i="2"/>
  <c r="K14" i="9"/>
  <c r="K24" i="9"/>
  <c r="K10" i="3"/>
  <c r="K13" i="19"/>
  <c r="K11" i="19"/>
  <c r="K12" i="19"/>
  <c r="K20" i="9"/>
  <c r="K12" i="3"/>
  <c r="K13" i="3"/>
  <c r="K9" i="3"/>
  <c r="K13" i="5"/>
  <c r="K12" i="9"/>
  <c r="K19" i="9"/>
  <c r="K10" i="9"/>
  <c r="K15" i="9"/>
  <c r="K17" i="9"/>
  <c r="K9" i="9"/>
  <c r="K16" i="9"/>
  <c r="K11" i="9"/>
  <c r="K22" i="9"/>
  <c r="K9" i="7"/>
  <c r="K11" i="7"/>
  <c r="K19" i="7"/>
  <c r="K10" i="7"/>
  <c r="K15" i="7"/>
  <c r="K23" i="7"/>
  <c r="K12" i="7"/>
  <c r="K14" i="7"/>
  <c r="K14" i="5"/>
  <c r="K20" i="5"/>
  <c r="K23" i="5"/>
  <c r="K18" i="5"/>
  <c r="K10" i="5"/>
  <c r="K15" i="5"/>
  <c r="K22" i="5"/>
  <c r="K12" i="5"/>
  <c r="K11" i="5"/>
  <c r="K21" i="5"/>
  <c r="G127" i="8"/>
  <c r="G9" i="8"/>
  <c r="L18" i="8" s="1"/>
  <c r="A19" i="18"/>
  <c r="A20" i="18" s="1"/>
  <c r="A12" i="19"/>
  <c r="A13" i="9"/>
  <c r="A14" i="7"/>
  <c r="A17" i="3"/>
  <c r="A18" i="3" s="1"/>
  <c r="A21" i="8" l="1"/>
  <c r="A22" i="8"/>
  <c r="A23" i="8"/>
  <c r="A24" i="8" s="1"/>
  <c r="G42" i="8"/>
  <c r="A13" i="5"/>
  <c r="A19" i="12"/>
  <c r="G19" i="34"/>
  <c r="L22" i="16"/>
  <c r="A13" i="2"/>
  <c r="A21" i="18"/>
  <c r="A22" i="18" s="1"/>
  <c r="G23" i="31"/>
  <c r="L16" i="18"/>
  <c r="L12" i="34"/>
  <c r="L12" i="31"/>
  <c r="L31" i="21"/>
  <c r="L32" i="19"/>
  <c r="G58" i="16"/>
  <c r="G18" i="10"/>
  <c r="G83" i="9"/>
  <c r="A13" i="6"/>
  <c r="L32" i="3"/>
  <c r="G129" i="19"/>
  <c r="L29" i="9"/>
  <c r="L26" i="7"/>
  <c r="G83" i="5"/>
  <c r="A14" i="9"/>
  <c r="G97" i="2"/>
  <c r="A13" i="19"/>
  <c r="A15" i="7"/>
  <c r="A14" i="4"/>
  <c r="G20" i="35"/>
  <c r="G44" i="21"/>
  <c r="G45" i="12"/>
  <c r="G45" i="14"/>
  <c r="G47" i="20"/>
  <c r="A14" i="21"/>
  <c r="G67" i="3"/>
  <c r="G34" i="18"/>
  <c r="G78" i="7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25" i="8" l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14" i="5"/>
  <c r="A23" i="18"/>
  <c r="A24" i="18" s="1"/>
  <c r="A25" i="18" s="1"/>
  <c r="G128" i="8"/>
  <c r="A14" i="2"/>
  <c r="A15" i="9"/>
  <c r="A16" i="9" s="1"/>
  <c r="A17" i="9" s="1"/>
  <c r="A18" i="9" s="1"/>
  <c r="A14" i="6"/>
  <c r="A15" i="21"/>
  <c r="A14" i="19"/>
  <c r="A16" i="7"/>
  <c r="A15" i="4"/>
  <c r="A9" i="16"/>
  <c r="A15" i="5" l="1"/>
  <c r="A16" i="5" s="1"/>
  <c r="A10" i="16"/>
  <c r="A11" i="16" s="1"/>
  <c r="A24" i="12"/>
  <c r="A15" i="6"/>
  <c r="A16" i="6" s="1"/>
  <c r="A17" i="6" s="1"/>
  <c r="A15" i="2"/>
  <c r="A16" i="2" s="1"/>
  <c r="A16" i="21"/>
  <c r="A15" i="19"/>
  <c r="A19" i="9"/>
  <c r="A17" i="7"/>
  <c r="A16" i="4"/>
  <c r="A17" i="16" l="1"/>
  <c r="A18" i="16" s="1"/>
  <c r="A17" i="5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5" i="16"/>
  <c r="A16" i="16" s="1"/>
  <c r="A25" i="12"/>
  <c r="A26" i="12" s="1"/>
  <c r="A27" i="12" s="1"/>
  <c r="A28" i="12" s="1"/>
  <c r="A29" i="12" s="1"/>
  <c r="A30" i="12" s="1"/>
  <c r="A18" i="6"/>
  <c r="A19" i="6" s="1"/>
  <c r="A17" i="21"/>
  <c r="A16" i="19"/>
  <c r="A17" i="19" s="1"/>
  <c r="A20" i="9"/>
  <c r="A18" i="7"/>
  <c r="A17" i="4"/>
  <c r="A18" i="4" s="1"/>
  <c r="A17" i="2"/>
  <c r="A18" i="2" s="1"/>
  <c r="A31" i="12" l="1"/>
  <c r="A32" i="12" s="1"/>
  <c r="A45" i="8"/>
  <c r="A18" i="2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22" i="16"/>
  <c r="A56" i="5"/>
  <c r="A57" i="5" s="1"/>
  <c r="A20" i="6"/>
  <c r="A21" i="6" s="1"/>
  <c r="A18" i="19"/>
  <c r="A19" i="19" s="1"/>
  <c r="A21" i="9"/>
  <c r="A19" i="7"/>
  <c r="A19" i="4"/>
  <c r="A19" i="2"/>
  <c r="A36" i="12" l="1"/>
  <c r="A58" i="5"/>
  <c r="A59" i="5" s="1"/>
  <c r="A60" i="5" s="1"/>
  <c r="A61" i="5" s="1"/>
  <c r="A62" i="5" s="1"/>
  <c r="A22" i="6"/>
  <c r="A23" i="6" s="1"/>
  <c r="A34" i="21"/>
  <c r="A35" i="21" s="1"/>
  <c r="A20" i="19"/>
  <c r="A27" i="16"/>
  <c r="A22" i="9"/>
  <c r="A20" i="7"/>
  <c r="A20" i="4"/>
  <c r="A20" i="2"/>
  <c r="A28" i="16" l="1"/>
  <c r="A29" i="16" s="1"/>
  <c r="A30" i="16" s="1"/>
  <c r="A31" i="16" s="1"/>
  <c r="A32" i="16" s="1"/>
  <c r="A24" i="6"/>
  <c r="A25" i="6" s="1"/>
  <c r="A21" i="19"/>
  <c r="A23" i="9"/>
  <c r="A21" i="7"/>
  <c r="A21" i="4"/>
  <c r="A21" i="2"/>
  <c r="A33" i="16" l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14" i="20"/>
  <c r="A22" i="19"/>
  <c r="A24" i="9"/>
  <c r="A22" i="7"/>
  <c r="A26" i="6"/>
  <c r="A22" i="4"/>
  <c r="A22" i="2"/>
  <c r="A48" i="16" l="1"/>
  <c r="A49" i="16" s="1"/>
  <c r="A15" i="20"/>
  <c r="A16" i="20" s="1"/>
  <c r="A17" i="20" s="1"/>
  <c r="A18" i="20" s="1"/>
  <c r="A23" i="19"/>
  <c r="A25" i="9"/>
  <c r="A23" i="7"/>
  <c r="A27" i="6"/>
  <c r="A23" i="4"/>
  <c r="A23" i="2"/>
  <c r="A19" i="20" l="1"/>
  <c r="A24" i="19"/>
  <c r="A26" i="9"/>
  <c r="A24" i="7"/>
  <c r="A28" i="6"/>
  <c r="A24" i="4"/>
  <c r="A24" i="2"/>
  <c r="A20" i="20" l="1"/>
  <c r="A25" i="19"/>
  <c r="A27" i="9"/>
  <c r="A25" i="7"/>
  <c r="A29" i="6"/>
  <c r="A25" i="4"/>
  <c r="A25" i="2"/>
  <c r="A21" i="20" l="1"/>
  <c r="A22" i="20" s="1"/>
  <c r="A23" i="20" s="1"/>
  <c r="A24" i="20" s="1"/>
  <c r="A25" i="20" s="1"/>
  <c r="A26" i="19"/>
  <c r="A28" i="9"/>
  <c r="A26" i="7"/>
  <c r="A30" i="6"/>
  <c r="A26" i="4"/>
  <c r="A26" i="2"/>
  <c r="A26" i="20" l="1"/>
  <c r="A27" i="20" s="1"/>
  <c r="A27" i="19"/>
  <c r="A29" i="9"/>
  <c r="A27" i="7"/>
  <c r="A31" i="6"/>
  <c r="A27" i="4"/>
  <c r="A27" i="2"/>
  <c r="A28" i="20" l="1"/>
  <c r="A29" i="20" s="1"/>
  <c r="A30" i="20" s="1"/>
  <c r="A31" i="20" s="1"/>
  <c r="A32" i="20" s="1"/>
  <c r="A28" i="19"/>
  <c r="A30" i="9"/>
  <c r="A28" i="7"/>
  <c r="A32" i="6"/>
  <c r="A28" i="4"/>
  <c r="A28" i="2"/>
  <c r="A36" i="20" l="1"/>
  <c r="A37" i="20" s="1"/>
  <c r="A38" i="20" s="1"/>
  <c r="A29" i="19"/>
  <c r="A31" i="9"/>
  <c r="A29" i="7"/>
  <c r="A33" i="6"/>
  <c r="A29" i="4"/>
  <c r="A29" i="2"/>
  <c r="G51" i="4" l="1"/>
  <c r="G50" i="4"/>
  <c r="A30" i="19"/>
  <c r="A32" i="9"/>
  <c r="A30" i="7"/>
  <c r="A34" i="6"/>
  <c r="A30" i="4"/>
  <c r="A30" i="2"/>
  <c r="G49" i="4"/>
  <c r="G46" i="4"/>
  <c r="G12" i="4"/>
  <c r="G33" i="4"/>
  <c r="G21" i="4"/>
  <c r="G36" i="4"/>
  <c r="G14" i="4"/>
  <c r="G41" i="4"/>
  <c r="G38" i="4"/>
  <c r="G35" i="4"/>
  <c r="G40" i="4"/>
  <c r="G26" i="4"/>
  <c r="G18" i="4"/>
  <c r="G42" i="4"/>
  <c r="G25" i="4"/>
  <c r="G28" i="4"/>
  <c r="G9" i="4"/>
  <c r="G44" i="4"/>
  <c r="G19" i="4"/>
  <c r="G47" i="4"/>
  <c r="G16" i="4"/>
  <c r="G24" i="4"/>
  <c r="G39" i="4"/>
  <c r="G30" i="4"/>
  <c r="G34" i="4"/>
  <c r="G29" i="4"/>
  <c r="G43" i="4"/>
  <c r="G45" i="4"/>
  <c r="G13" i="4"/>
  <c r="G20" i="4"/>
  <c r="G17" i="4"/>
  <c r="G48" i="4"/>
  <c r="G32" i="4"/>
  <c r="G31" i="4"/>
  <c r="G37" i="4"/>
  <c r="G10" i="4"/>
  <c r="G15" i="4"/>
  <c r="G22" i="4"/>
  <c r="G27" i="4"/>
  <c r="G23" i="4"/>
  <c r="G11" i="4"/>
  <c r="K27" i="4" l="1"/>
  <c r="K28" i="4"/>
  <c r="K25" i="4"/>
  <c r="K26" i="4"/>
  <c r="K24" i="4"/>
  <c r="G62" i="4"/>
  <c r="G74" i="4" s="1"/>
  <c r="K20" i="4"/>
  <c r="K18" i="4"/>
  <c r="K17" i="4"/>
  <c r="K16" i="4"/>
  <c r="K23" i="4"/>
  <c r="K13" i="4"/>
  <c r="K21" i="4"/>
  <c r="K15" i="4"/>
  <c r="K10" i="4"/>
  <c r="K14" i="4"/>
  <c r="K9" i="4"/>
  <c r="K19" i="4"/>
  <c r="K12" i="4"/>
  <c r="K11" i="4"/>
  <c r="K22" i="4"/>
  <c r="A31" i="19"/>
  <c r="A33" i="9"/>
  <c r="A31" i="7"/>
  <c r="A35" i="6"/>
  <c r="A31" i="4"/>
  <c r="A31" i="2"/>
  <c r="A32" i="19" l="1"/>
  <c r="A34" i="9"/>
  <c r="A32" i="7"/>
  <c r="A36" i="6"/>
  <c r="A32" i="4"/>
  <c r="A32" i="2"/>
  <c r="A33" i="19" l="1"/>
  <c r="A35" i="9"/>
  <c r="A33" i="7"/>
  <c r="A37" i="6"/>
  <c r="A33" i="4"/>
  <c r="A33" i="2"/>
  <c r="A34" i="19" l="1"/>
  <c r="A36" i="9"/>
  <c r="A34" i="7"/>
  <c r="A38" i="6"/>
  <c r="A34" i="4"/>
  <c r="A34" i="2"/>
  <c r="A35" i="19" l="1"/>
  <c r="A37" i="9"/>
  <c r="A35" i="7"/>
  <c r="A39" i="6"/>
  <c r="A35" i="4"/>
  <c r="A35" i="2"/>
  <c r="A36" i="19" l="1"/>
  <c r="A38" i="9"/>
  <c r="A36" i="7"/>
  <c r="A40" i="6"/>
  <c r="A36" i="4"/>
  <c r="A36" i="2"/>
  <c r="A37" i="19" l="1"/>
  <c r="A39" i="9"/>
  <c r="A37" i="7"/>
  <c r="A41" i="6"/>
  <c r="A37" i="4"/>
  <c r="A37" i="2"/>
  <c r="A38" i="19" l="1"/>
  <c r="A40" i="9"/>
  <c r="A38" i="7"/>
  <c r="A42" i="6"/>
  <c r="A38" i="4"/>
  <c r="A38" i="2"/>
  <c r="A39" i="19" l="1"/>
  <c r="A41" i="9"/>
  <c r="A39" i="7"/>
  <c r="A43" i="6"/>
  <c r="A39" i="4"/>
  <c r="A39" i="2"/>
  <c r="A40" i="19" l="1"/>
  <c r="A42" i="9"/>
  <c r="A40" i="7"/>
  <c r="A44" i="6"/>
  <c r="A40" i="4"/>
  <c r="A40" i="2"/>
  <c r="A41" i="19" l="1"/>
  <c r="A43" i="9"/>
  <c r="A41" i="7"/>
  <c r="A45" i="6"/>
  <c r="A41" i="4"/>
  <c r="A41" i="2"/>
  <c r="A42" i="19" l="1"/>
  <c r="A44" i="9"/>
  <c r="A42" i="7"/>
  <c r="A46" i="6"/>
  <c r="A42" i="4"/>
  <c r="A42" i="2"/>
  <c r="G9" i="6"/>
  <c r="G94" i="6" s="1"/>
  <c r="K33" i="6" l="1"/>
  <c r="K31" i="6"/>
  <c r="K20" i="6"/>
  <c r="K19" i="6"/>
  <c r="K29" i="6"/>
  <c r="K30" i="6"/>
  <c r="K32" i="6"/>
  <c r="K23" i="6"/>
  <c r="K28" i="6"/>
  <c r="K16" i="6"/>
  <c r="K24" i="6"/>
  <c r="K27" i="6"/>
  <c r="K12" i="6"/>
  <c r="K18" i="6"/>
  <c r="K17" i="6"/>
  <c r="K25" i="6"/>
  <c r="K26" i="6"/>
  <c r="K11" i="6"/>
  <c r="K13" i="6"/>
  <c r="K21" i="6"/>
  <c r="K22" i="6"/>
  <c r="K10" i="6"/>
  <c r="K15" i="6"/>
  <c r="K14" i="6"/>
  <c r="K9" i="6"/>
  <c r="A43" i="19"/>
  <c r="A45" i="9"/>
  <c r="A43" i="7"/>
  <c r="A47" i="6"/>
  <c r="A43" i="4"/>
  <c r="A43" i="2"/>
  <c r="L36" i="6" l="1"/>
  <c r="A44" i="19"/>
  <c r="A46" i="9"/>
  <c r="A44" i="7"/>
  <c r="G111" i="6"/>
  <c r="A48" i="6"/>
  <c r="A44" i="4"/>
  <c r="A44" i="2"/>
  <c r="A45" i="19" l="1"/>
  <c r="A47" i="9"/>
  <c r="A45" i="7"/>
  <c r="A49" i="6"/>
  <c r="A45" i="4"/>
  <c r="A45" i="2"/>
  <c r="A46" i="19" l="1"/>
  <c r="A48" i="9"/>
  <c r="A46" i="7"/>
  <c r="A50" i="6"/>
  <c r="A46" i="4"/>
  <c r="A46" i="2"/>
  <c r="A47" i="19" l="1"/>
  <c r="A49" i="9"/>
  <c r="A47" i="7"/>
  <c r="A51" i="6"/>
  <c r="A47" i="4"/>
  <c r="A47" i="2"/>
  <c r="A48" i="19" l="1"/>
  <c r="A50" i="9"/>
  <c r="A48" i="7"/>
  <c r="A52" i="6"/>
  <c r="A48" i="4"/>
  <c r="A48" i="2"/>
  <c r="A49" i="19" l="1"/>
  <c r="A51" i="9"/>
  <c r="A49" i="7"/>
  <c r="A50" i="7" s="1"/>
  <c r="A51" i="7" s="1"/>
  <c r="A52" i="7" s="1"/>
  <c r="A53" i="6"/>
  <c r="A49" i="4"/>
  <c r="A50" i="4" s="1"/>
  <c r="A51" i="4" s="1"/>
  <c r="A52" i="4" s="1"/>
  <c r="A49" i="2"/>
  <c r="A53" i="7" l="1"/>
  <c r="A54" i="7" s="1"/>
  <c r="A55" i="7" s="1"/>
  <c r="A56" i="7" s="1"/>
  <c r="A57" i="7" s="1"/>
  <c r="A58" i="7" s="1"/>
  <c r="A53" i="4"/>
  <c r="A54" i="4" s="1"/>
  <c r="A55" i="4" s="1"/>
  <c r="A56" i="4" s="1"/>
  <c r="A57" i="4" s="1"/>
  <c r="A58" i="4" s="1"/>
  <c r="A50" i="19"/>
  <c r="A52" i="9"/>
  <c r="A54" i="6"/>
  <c r="A50" i="2"/>
  <c r="A59" i="4" l="1"/>
  <c r="A60" i="4" s="1"/>
  <c r="A61" i="4" s="1"/>
  <c r="A59" i="7"/>
  <c r="A60" i="7" s="1"/>
  <c r="A61" i="7" s="1"/>
  <c r="A62" i="7" s="1"/>
  <c r="A63" i="7" s="1"/>
  <c r="A64" i="7" s="1"/>
  <c r="A51" i="19"/>
  <c r="A53" i="9"/>
  <c r="A55" i="6"/>
  <c r="A51" i="2"/>
  <c r="A65" i="4" l="1"/>
  <c r="A52" i="19"/>
  <c r="A54" i="9"/>
  <c r="A56" i="6"/>
  <c r="A52" i="2"/>
  <c r="A68" i="7" l="1"/>
  <c r="A53" i="19"/>
  <c r="A55" i="9"/>
  <c r="A57" i="6"/>
  <c r="A53" i="2"/>
  <c r="A69" i="7" l="1"/>
  <c r="A54" i="19"/>
  <c r="A56" i="9"/>
  <c r="A58" i="6"/>
  <c r="A54" i="2"/>
  <c r="A55" i="19" l="1"/>
  <c r="A57" i="9"/>
  <c r="A59" i="6"/>
  <c r="A55" i="2"/>
  <c r="A56" i="19" l="1"/>
  <c r="A58" i="9"/>
  <c r="A60" i="6"/>
  <c r="A56" i="2"/>
  <c r="A57" i="19" l="1"/>
  <c r="A59" i="9"/>
  <c r="A61" i="6"/>
  <c r="A57" i="2"/>
  <c r="A58" i="19" l="1"/>
  <c r="A60" i="9"/>
  <c r="A62" i="6"/>
  <c r="A58" i="2"/>
  <c r="A59" i="19" l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61" i="9"/>
  <c r="A63" i="6"/>
  <c r="A59" i="2"/>
  <c r="A70" i="19" l="1"/>
  <c r="A71" i="19" s="1"/>
  <c r="A62" i="9"/>
  <c r="A64" i="6"/>
  <c r="A60" i="2"/>
  <c r="A72" i="19" l="1"/>
  <c r="A73" i="19" s="1"/>
  <c r="A74" i="19" s="1"/>
  <c r="A75" i="19" s="1"/>
  <c r="A76" i="19" s="1"/>
  <c r="A63" i="9"/>
  <c r="A65" i="6"/>
  <c r="A61" i="2"/>
  <c r="A81" i="19" l="1"/>
  <c r="A82" i="19" s="1"/>
  <c r="A83" i="19" s="1"/>
  <c r="A84" i="19" s="1"/>
  <c r="A64" i="9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66" i="6"/>
  <c r="A62" i="2"/>
  <c r="A89" i="19" l="1"/>
  <c r="A67" i="6"/>
  <c r="A63" i="2"/>
  <c r="A90" i="19" l="1"/>
  <c r="A91" i="19" s="1"/>
  <c r="A68" i="6"/>
  <c r="A64" i="2"/>
  <c r="A92" i="19" l="1"/>
  <c r="A93" i="19" s="1"/>
  <c r="A69" i="6"/>
  <c r="A65" i="2"/>
  <c r="A66" i="2" s="1"/>
  <c r="A67" i="2" s="1"/>
  <c r="A68" i="2" s="1"/>
  <c r="A69" i="2" s="1"/>
  <c r="A70" i="2" s="1"/>
  <c r="A71" i="2" s="1"/>
  <c r="A72" i="2" l="1"/>
  <c r="A73" i="2" s="1"/>
  <c r="A74" i="2" s="1"/>
  <c r="A94" i="19"/>
  <c r="A70" i="6"/>
  <c r="A95" i="19" l="1"/>
  <c r="A71" i="6"/>
  <c r="A96" i="19" l="1"/>
  <c r="A72" i="6"/>
  <c r="A97" i="19" l="1"/>
  <c r="A98" i="19" s="1"/>
  <c r="A99" i="19" s="1"/>
  <c r="A73" i="6"/>
  <c r="A100" i="19" l="1"/>
  <c r="A101" i="19" s="1"/>
  <c r="A102" i="19" s="1"/>
  <c r="A103" i="19" s="1"/>
  <c r="A104" i="19" s="1"/>
  <c r="A105" i="19" s="1"/>
  <c r="A74" i="6"/>
  <c r="A109" i="19" l="1"/>
  <c r="A113" i="19" s="1"/>
  <c r="A114" i="19" s="1"/>
  <c r="A115" i="19" s="1"/>
  <c r="A116" i="19" s="1"/>
  <c r="A117" i="19" s="1"/>
  <c r="A75" i="6"/>
  <c r="A118" i="19" l="1"/>
  <c r="A119" i="19" s="1"/>
  <c r="A120" i="19" s="1"/>
  <c r="A76" i="6"/>
  <c r="A77" i="6" s="1"/>
  <c r="A78" i="6" s="1"/>
  <c r="A79" i="6" s="1"/>
  <c r="A80" i="6" s="1"/>
  <c r="A81" i="6" l="1"/>
  <c r="A82" i="6" s="1"/>
  <c r="A83" i="6" s="1"/>
  <c r="A84" i="6" s="1"/>
  <c r="A85" i="6" s="1"/>
  <c r="A86" i="6" l="1"/>
  <c r="A87" i="6" s="1"/>
  <c r="A88" i="6" s="1"/>
  <c r="A89" i="6" s="1"/>
  <c r="A66" i="5"/>
  <c r="A67" i="5" s="1"/>
  <c r="A68" i="5" s="1"/>
  <c r="A69" i="5" s="1"/>
  <c r="A70" i="5" s="1"/>
  <c r="A90" i="6" l="1"/>
  <c r="A91" i="6" l="1"/>
  <c r="A92" i="6" s="1"/>
  <c r="A93" i="6" s="1"/>
  <c r="A74" i="5"/>
  <c r="A97" i="6" l="1"/>
  <c r="A101" i="6" s="1"/>
  <c r="A102" i="6" s="1"/>
  <c r="A78" i="2"/>
  <c r="A79" i="2" s="1"/>
  <c r="A80" i="2" s="1"/>
  <c r="A81" i="2" s="1"/>
  <c r="A82" i="2" s="1"/>
  <c r="A83" i="2" l="1"/>
  <c r="A84" i="2" s="1"/>
  <c r="A88" i="2" s="1"/>
  <c r="F91" i="17" l="1"/>
  <c r="G77" i="17" l="1"/>
  <c r="G28" i="17"/>
  <c r="L32" i="17" s="1"/>
  <c r="G25" i="17"/>
  <c r="G21" i="17"/>
  <c r="G30" i="17"/>
  <c r="L23" i="17" s="1"/>
  <c r="G31" i="17"/>
  <c r="G27" i="17"/>
  <c r="L11" i="17" s="1"/>
  <c r="G24" i="17"/>
  <c r="G20" i="17"/>
  <c r="L29" i="17" s="1"/>
  <c r="G79" i="17"/>
  <c r="L26" i="17" s="1"/>
  <c r="G78" i="17"/>
  <c r="L25" i="17" s="1"/>
  <c r="G29" i="17"/>
  <c r="G26" i="17"/>
  <c r="G22" i="17"/>
  <c r="L30" i="17" s="1"/>
  <c r="G23" i="17"/>
  <c r="L12" i="17" s="1"/>
  <c r="G15" i="17"/>
  <c r="G17" i="17"/>
  <c r="G19" i="17"/>
  <c r="G14" i="17"/>
  <c r="G16" i="17"/>
  <c r="G18" i="17"/>
  <c r="G91" i="17"/>
  <c r="G70" i="17"/>
  <c r="L15" i="17" s="1"/>
  <c r="G71" i="17"/>
  <c r="G12" i="17"/>
  <c r="G11" i="17"/>
  <c r="G13" i="17"/>
  <c r="G10" i="17"/>
  <c r="G69" i="17"/>
  <c r="L14" i="17" s="1"/>
  <c r="G86" i="17"/>
  <c r="L34" i="17" s="1"/>
  <c r="G76" i="17"/>
  <c r="L17" i="17" s="1"/>
  <c r="G83" i="17"/>
  <c r="L16" i="17" s="1"/>
  <c r="G9" i="17"/>
  <c r="L10" i="17" l="1"/>
  <c r="G32" i="17"/>
  <c r="L27" i="17"/>
  <c r="L21" i="17"/>
  <c r="G80" i="17"/>
  <c r="L9" i="17"/>
  <c r="L18" i="17"/>
  <c r="G72" i="17"/>
  <c r="G84" i="17"/>
  <c r="G87" i="17"/>
  <c r="G92" i="17" l="1"/>
  <c r="A69" i="17" l="1"/>
  <c r="A70" i="17" l="1"/>
  <c r="A71" i="17" s="1"/>
  <c r="A76" i="17" l="1"/>
  <c r="A77" i="17" l="1"/>
  <c r="A78" i="17" l="1"/>
  <c r="A79" i="17" s="1"/>
  <c r="A83" i="17" l="1"/>
  <c r="A91" i="8"/>
  <c r="A92" i="8" s="1"/>
  <c r="A96" i="8" l="1"/>
  <c r="A100" i="8" s="1"/>
  <c r="A101" i="8" s="1"/>
  <c r="A102" i="8" s="1"/>
  <c r="A107" i="8" l="1"/>
  <c r="A108" i="8" l="1"/>
  <c r="A109" i="8" s="1"/>
  <c r="A110" i="8" s="1"/>
  <c r="A111" i="8" s="1"/>
  <c r="A112" i="8" s="1"/>
  <c r="A113" i="8" s="1"/>
  <c r="A114" i="8" l="1"/>
  <c r="A115" i="8" s="1"/>
  <c r="A119" i="8" l="1"/>
  <c r="A31" i="36"/>
  <c r="A36" i="36" s="1"/>
  <c r="A40" i="36" l="1"/>
  <c r="F48" i="36" l="1"/>
  <c r="G15" i="36" l="1"/>
  <c r="L13" i="36" s="1"/>
  <c r="G17" i="36"/>
  <c r="G40" i="36"/>
  <c r="L9" i="36" s="1"/>
  <c r="G31" i="36"/>
  <c r="G43" i="36"/>
  <c r="G19" i="36"/>
  <c r="L14" i="36" s="1"/>
  <c r="G9" i="36"/>
  <c r="G13" i="36"/>
  <c r="L12" i="36" s="1"/>
  <c r="G21" i="36"/>
  <c r="L15" i="36" s="1"/>
  <c r="G47" i="36"/>
  <c r="G48" i="36" s="1"/>
  <c r="G11" i="36"/>
  <c r="L10" i="36" s="1"/>
  <c r="G36" i="36"/>
  <c r="L18" i="36" s="1"/>
  <c r="G23" i="36"/>
  <c r="L16" i="36" s="1"/>
  <c r="G25" i="36"/>
  <c r="L17" i="36" s="1"/>
  <c r="L20" i="36" l="1"/>
  <c r="G32" i="36"/>
  <c r="L11" i="36"/>
  <c r="G27" i="36"/>
  <c r="G44" i="36"/>
  <c r="G37" i="36"/>
  <c r="L8" i="36"/>
  <c r="G41" i="36"/>
  <c r="G49" i="36" l="1"/>
</calcChain>
</file>

<file path=xl/sharedStrings.xml><?xml version="1.0" encoding="utf-8"?>
<sst xmlns="http://schemas.openxmlformats.org/spreadsheetml/2006/main" count="4050" uniqueCount="762">
  <si>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</si>
  <si>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</si>
  <si>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</si>
  <si>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</si>
  <si>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</si>
  <si>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</si>
  <si>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</si>
  <si>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</si>
  <si>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</si>
  <si>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</si>
  <si>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</si>
  <si>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</si>
  <si>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</si>
  <si>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</si>
  <si>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</si>
  <si>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</si>
  <si>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</si>
  <si>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</si>
  <si>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</si>
  <si>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</si>
  <si>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</si>
  <si>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</si>
  <si>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</si>
  <si>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</si>
  <si>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</si>
  <si>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</si>
  <si>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</si>
  <si>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</si>
  <si>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</si>
  <si>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</si>
  <si>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</si>
  <si>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</si>
  <si>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</si>
  <si>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</si>
  <si>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</si>
  <si>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</si>
  <si>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</si>
  <si>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</si>
  <si>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</si>
  <si>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</si>
  <si>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</si>
  <si>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</si>
  <si>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</si>
  <si>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</si>
  <si>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</si>
  <si>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</si>
  <si>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</si>
  <si>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</si>
  <si>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</si>
  <si>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</si>
  <si>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</si>
  <si>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</si>
  <si>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</si>
  <si>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</si>
  <si>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</si>
  <si>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</si>
  <si>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</si>
  <si>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</si>
  <si>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</si>
  <si>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</si>
  <si>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</si>
  <si>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</si>
  <si>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</si>
  <si>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</si>
  <si>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</si>
  <si>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</si>
  <si>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INE389H01022</t>
  </si>
  <si>
    <t>INE383A01012</t>
  </si>
  <si>
    <t>INE044A01036</t>
  </si>
  <si>
    <t>INE059A01026</t>
  </si>
  <si>
    <t>INE171A01029</t>
  </si>
  <si>
    <t>INE018A01030</t>
  </si>
  <si>
    <t>INE498L01015</t>
  </si>
  <si>
    <t>INE549A01026</t>
  </si>
  <si>
    <t>INE821I01014</t>
  </si>
  <si>
    <t>INE053A01029</t>
  </si>
  <si>
    <t>INE399K01017</t>
  </si>
  <si>
    <t>INE439A01020</t>
  </si>
  <si>
    <t>INE775A01035</t>
  </si>
  <si>
    <t>INE854D01016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</si>
  <si>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</si>
  <si>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</si>
  <si>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</si>
  <si>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</si>
  <si>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</si>
  <si>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</si>
  <si>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</si>
  <si>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</si>
  <si>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</si>
  <si>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</si>
  <si>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</si>
  <si>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</si>
  <si>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</si>
  <si>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</si>
  <si>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</si>
  <si>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</si>
  <si>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</si>
  <si>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</si>
  <si>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</si>
  <si>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</si>
  <si>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</si>
  <si>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</si>
  <si>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</si>
  <si>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</si>
  <si>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</si>
  <si>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</si>
  <si>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</si>
  <si>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</si>
  <si>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</si>
  <si>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</si>
  <si>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</si>
  <si>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</si>
  <si>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</si>
  <si>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</si>
  <si>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</si>
  <si>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</si>
  <si>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</si>
  <si>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</si>
  <si>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</si>
  <si>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</si>
  <si>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</si>
  <si>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INE323A01026</t>
  </si>
  <si>
    <t>INE079A01024</t>
  </si>
  <si>
    <t>INE081A01012</t>
  </si>
  <si>
    <t>INE012A01025</t>
  </si>
  <si>
    <t>INE038A01020</t>
  </si>
  <si>
    <t>BONDS &amp; NCDs</t>
  </si>
  <si>
    <t>Principal Large Cap Fund</t>
  </si>
  <si>
    <t>INE361B01024</t>
  </si>
  <si>
    <t>INE070A01015</t>
  </si>
  <si>
    <t>INE259A01022</t>
  </si>
  <si>
    <t>IN9155A01020</t>
  </si>
  <si>
    <t>Principal Dividend Yield Fund</t>
  </si>
  <si>
    <t>INE118A01012</t>
  </si>
  <si>
    <t>INE172A01027</t>
  </si>
  <si>
    <t>Pesticides</t>
  </si>
  <si>
    <t>Chemicals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</si>
  <si>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</si>
  <si>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</si>
  <si>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</si>
  <si>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</si>
  <si>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</si>
  <si>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</si>
  <si>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</si>
  <si>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</si>
  <si>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</si>
  <si>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</si>
  <si>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</si>
  <si>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</si>
  <si>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</si>
  <si>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</si>
  <si>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</si>
  <si>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</si>
  <si>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</si>
  <si>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</si>
  <si>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</si>
  <si>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</si>
  <si>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</si>
  <si>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</si>
  <si>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</si>
  <si>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</si>
  <si>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</si>
  <si>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</si>
  <si>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</si>
  <si>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</si>
  <si>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</si>
  <si>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</si>
  <si>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</si>
  <si>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</si>
  <si>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</si>
  <si>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</si>
  <si>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CENTRAL GOVERNMENT SECURITIES</t>
  </si>
  <si>
    <t>CRISIL A+</t>
  </si>
  <si>
    <t>INE658R07042</t>
  </si>
  <si>
    <t>Principal Balanced Fund</t>
  </si>
  <si>
    <t>Principal Cash Management Fund</t>
  </si>
  <si>
    <t>CARE AA+</t>
  </si>
  <si>
    <t>INE242A01010</t>
  </si>
  <si>
    <t>Healthcare Services</t>
  </si>
  <si>
    <t>INE584A01023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</si>
  <si>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</si>
  <si>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</si>
  <si>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</si>
  <si>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</si>
  <si>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</si>
  <si>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</si>
  <si>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</si>
  <si>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</si>
  <si>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</si>
  <si>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</si>
  <si>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</si>
  <si>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</si>
  <si>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</si>
  <si>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</si>
  <si>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</si>
  <si>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</si>
  <si>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</si>
  <si>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</si>
  <si>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</si>
  <si>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</si>
  <si>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</si>
  <si>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</si>
  <si>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</si>
  <si>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Mahindra Holidays &amp; Resorts India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</si>
  <si>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</si>
  <si>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</si>
  <si>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</si>
  <si>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</si>
  <si>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</si>
  <si>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</si>
  <si>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</si>
  <si>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</si>
  <si>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</si>
  <si>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</si>
  <si>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</si>
  <si>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</si>
  <si>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</si>
  <si>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</si>
  <si>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</si>
  <si>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</si>
  <si>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</si>
  <si>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</si>
  <si>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</si>
  <si>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</si>
  <si>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</si>
  <si>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</si>
  <si>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</si>
  <si>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</si>
  <si>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</si>
  <si>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</si>
  <si>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</si>
  <si>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</si>
  <si>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</si>
  <si>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</si>
  <si>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</si>
  <si>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</si>
  <si>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</si>
  <si>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</si>
  <si>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</si>
  <si>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</si>
  <si>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</si>
  <si>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</si>
  <si>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</si>
  <si>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</si>
  <si>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</si>
  <si>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</si>
  <si>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</si>
  <si>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</si>
  <si>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</si>
  <si>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</si>
  <si>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</si>
  <si>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</si>
  <si>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</si>
  <si>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</si>
  <si>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</si>
  <si>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</si>
  <si>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</si>
  <si>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</si>
  <si>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</si>
  <si>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</si>
  <si>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</si>
  <si>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Bosch Ltd.</t>
  </si>
  <si>
    <t>Ambuja Cements Ltd.</t>
  </si>
  <si>
    <t>ACC Ltd.</t>
  </si>
  <si>
    <t>Hindalco Industries Ltd.</t>
  </si>
  <si>
    <t>Divi's Laboratories Ltd.</t>
  </si>
  <si>
    <t>Shree Cements Ltd.</t>
  </si>
  <si>
    <t>Colgate Palmolive (India) Ltd.</t>
  </si>
  <si>
    <t>Bharat Electronics Ltd.</t>
  </si>
  <si>
    <t>Castrol India Ltd.</t>
  </si>
  <si>
    <t>Dalmia Bharat Ltd.</t>
  </si>
  <si>
    <t>VST Industries Ltd.</t>
  </si>
  <si>
    <t>Gujarat State Petronet Ltd.</t>
  </si>
  <si>
    <t>PI Industries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</si>
  <si>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</si>
  <si>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</si>
  <si>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</si>
  <si>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</si>
  <si>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</si>
  <si>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</si>
  <si>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</si>
  <si>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</si>
  <si>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</si>
  <si>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</si>
  <si>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</si>
  <si>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</si>
  <si>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</si>
  <si>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</si>
  <si>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</si>
  <si>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Finolex Industries Ltd.</t>
  </si>
  <si>
    <t>INE183A01016</t>
  </si>
  <si>
    <t>Petronet LNG Ltd.</t>
  </si>
  <si>
    <t>INE513A01014</t>
  </si>
  <si>
    <t>Indian Oil Corporation Ltd.</t>
  </si>
  <si>
    <t>Finolex Cables Ltd.</t>
  </si>
  <si>
    <t>Punjab Wireless Systems Ltd.</t>
  </si>
  <si>
    <t>[ICRA]A1+</t>
  </si>
  <si>
    <t>Cox &amp; Kings Ltd.</t>
  </si>
  <si>
    <t>[ICRA]AA</t>
  </si>
  <si>
    <t>[ICRA]AA-</t>
  </si>
  <si>
    <t>IN0020120054</t>
  </si>
  <si>
    <t>NMDC Ltd.</t>
  </si>
  <si>
    <t>Reliance Infrastructure Ltd.</t>
  </si>
  <si>
    <t>Exide Industries Ltd.</t>
  </si>
  <si>
    <t>The Karur Vysya Bank Ltd.</t>
  </si>
  <si>
    <t>Sun TV Network Ltd.</t>
  </si>
  <si>
    <t>Reliance Power Ltd.</t>
  </si>
  <si>
    <t>INF173K01GP0</t>
  </si>
  <si>
    <t>INF173K01EK6</t>
  </si>
  <si>
    <t>INF173K01FS6</t>
  </si>
  <si>
    <t>INF173K01EG4</t>
  </si>
  <si>
    <t>Principal Emerging Bluechip Fund - Direct Plan - Growth Option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</si>
  <si>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</si>
  <si>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</si>
  <si>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</si>
  <si>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</si>
  <si>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</si>
  <si>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</si>
  <si>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</si>
  <si>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</si>
  <si>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</si>
  <si>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</si>
  <si>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</si>
  <si>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10.85% Aspire Home Finance Corporation Ltd.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</si>
  <si>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</si>
  <si>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</si>
  <si>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</si>
  <si>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</si>
  <si>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</si>
  <si>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</si>
  <si>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</si>
  <si>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</si>
  <si>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Bharti Infratel Ltd.</t>
  </si>
  <si>
    <t>INE121J01017</t>
  </si>
  <si>
    <t>IND A1+</t>
  </si>
  <si>
    <t>INE020B08799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</si>
  <si>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</si>
  <si>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</si>
  <si>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</si>
  <si>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</si>
  <si>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</si>
  <si>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</si>
  <si>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INE658R07141</t>
  </si>
  <si>
    <t>INE001A07NU8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</si>
  <si>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</si>
  <si>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</si>
  <si>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</si>
  <si>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</si>
  <si>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</si>
  <si>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</si>
  <si>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</si>
  <si>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</si>
  <si>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</si>
  <si>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</si>
  <si>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</si>
  <si>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</si>
  <si>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</si>
  <si>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</si>
  <si>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Certificate of Deposit **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</si>
  <si>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</si>
  <si>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</si>
  <si>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</si>
  <si>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</si>
  <si>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</si>
  <si>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10.30% Manappuram Finance Ltd.</t>
  </si>
  <si>
    <t>INE522D07941</t>
  </si>
  <si>
    <t>INE155A08290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</si>
  <si>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</si>
  <si>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</si>
  <si>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</si>
  <si>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</si>
  <si>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</si>
  <si>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</si>
  <si>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</si>
  <si>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</si>
  <si>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</si>
  <si>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</si>
  <si>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INE202B07HB2</t>
  </si>
  <si>
    <t>INE296A01024</t>
  </si>
  <si>
    <t>INE586V01016</t>
  </si>
  <si>
    <t>12.55% Manappuram Finance Ltd.</t>
  </si>
  <si>
    <t>INE522D07479</t>
  </si>
  <si>
    <t>BWR AA-</t>
  </si>
  <si>
    <t>Rico Auto Industries Ltd.</t>
  </si>
  <si>
    <t>INE209B01025</t>
  </si>
  <si>
    <t>L&amp;T Finance Holdings Ltd.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</si>
  <si>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</si>
  <si>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</si>
  <si>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</si>
  <si>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</si>
  <si>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</si>
  <si>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</si>
  <si>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</si>
  <si>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</si>
  <si>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</si>
  <si>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</si>
  <si>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</si>
  <si>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</si>
  <si>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</si>
  <si>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</si>
  <si>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</si>
  <si>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</si>
  <si>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</si>
  <si>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</si>
  <si>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</si>
  <si>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</si>
  <si>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</si>
  <si>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</si>
  <si>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</si>
  <si>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</si>
  <si>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</si>
  <si>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</si>
  <si>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</si>
  <si>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</si>
  <si>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</si>
  <si>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</si>
  <si>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</si>
  <si>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</si>
  <si>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</si>
  <si>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</si>
  <si>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</si>
  <si>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INE001A07PU3</t>
  </si>
  <si>
    <t>INE752E07NJ1</t>
  </si>
  <si>
    <t>Aadhar Housing Finance Ltd.</t>
  </si>
  <si>
    <t>INE036D01028</t>
  </si>
  <si>
    <t>Listed / awaiting listing on the stock exchanges</t>
  </si>
  <si>
    <t>TBILL 91 DAYS 2017</t>
  </si>
  <si>
    <t>INE115A07IE0</t>
  </si>
  <si>
    <t>INE733E07KB4</t>
  </si>
  <si>
    <t>Chambal Fertilisers and Chemicals Ltd.</t>
  </si>
  <si>
    <t>INE085A01013</t>
  </si>
  <si>
    <t>Fertilisers</t>
  </si>
  <si>
    <t>INE118H01025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</si>
  <si>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</si>
  <si>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</si>
  <si>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</si>
  <si>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</si>
  <si>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</si>
  <si>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</si>
  <si>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Asian Granito India Ltd.</t>
  </si>
  <si>
    <t>INE022I01019</t>
  </si>
  <si>
    <t>8.80% Indiabulls Housing Finance Ltd.</t>
  </si>
  <si>
    <t>INE148I07FQ4</t>
  </si>
  <si>
    <t>INE202B07IJ3</t>
  </si>
  <si>
    <t>Spicejet Ltd.</t>
  </si>
  <si>
    <t>INE285B01017</t>
  </si>
  <si>
    <t>BSE Ltd.</t>
  </si>
  <si>
    <t>Coromandel International Ltd.</t>
  </si>
  <si>
    <t>INE169A01031</t>
  </si>
  <si>
    <t>Sheela Foam Ltd.</t>
  </si>
  <si>
    <t>INE916U01025</t>
  </si>
  <si>
    <t>INE155A08316</t>
  </si>
  <si>
    <t>DCM Shriram Ltd.</t>
  </si>
  <si>
    <t>INE499A01024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</si>
  <si>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</si>
  <si>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</si>
  <si>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</si>
  <si>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</si>
  <si>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</si>
  <si>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</si>
  <si>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</si>
  <si>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</si>
  <si>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</si>
  <si>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STATE GOVERNMENT SECURITIES</t>
  </si>
  <si>
    <t>INE514E08BS9</t>
  </si>
  <si>
    <t>Vedanta Ltd.</t>
  </si>
  <si>
    <t>INE205A01025</t>
  </si>
  <si>
    <t>INE263A01024</t>
  </si>
  <si>
    <t>ICICI Prudential Life Insurance Company Ltd.</t>
  </si>
  <si>
    <t>INE726G01019</t>
  </si>
  <si>
    <t>Himadri Speciality Chemical Ltd.</t>
  </si>
  <si>
    <t>INE019C01026</t>
  </si>
  <si>
    <t>Principal Cash Management Fund - Growth Option</t>
  </si>
  <si>
    <t>INE155A08308</t>
  </si>
  <si>
    <t>INE261F08550</t>
  </si>
  <si>
    <t>INE414G07CB3</t>
  </si>
  <si>
    <t>CRISIL AA</t>
  </si>
  <si>
    <t>9.05% Dewan Housing Finance Corporation Ltd.</t>
  </si>
  <si>
    <t>Magma Fincorp Ltd.</t>
  </si>
  <si>
    <t>INE511C01022</t>
  </si>
  <si>
    <t>INE115A07LN5</t>
  </si>
  <si>
    <t>INE001A07QE5</t>
  </si>
  <si>
    <t>Principal Short Term Income Fund - Direct Plan - Growth Option</t>
  </si>
  <si>
    <t>Principal Large Cap Fund - Direct Plan - Growth Option</t>
  </si>
  <si>
    <t>Milestone Global Ltd. **</t>
  </si>
  <si>
    <t>Apollo Tyres Ltd. #</t>
  </si>
  <si>
    <t>Principal Debt Savings Fund</t>
  </si>
  <si>
    <t>Manpasand Beverages Ltd.</t>
  </si>
  <si>
    <t>INE122R01018</t>
  </si>
  <si>
    <t>Housing and Urban Development Corporation Ltd.</t>
  </si>
  <si>
    <t>INE031A01017</t>
  </si>
  <si>
    <t>Muthoot Finance Ltd.</t>
  </si>
  <si>
    <t>INE414G01012</t>
  </si>
  <si>
    <t>PSP Projects Ltd.</t>
  </si>
  <si>
    <t>INE488V01015</t>
  </si>
  <si>
    <t>INE087P07071</t>
  </si>
  <si>
    <t>6.84% Government of India Security</t>
  </si>
  <si>
    <t>IN0020160050</t>
  </si>
  <si>
    <t>INE040A08377</t>
  </si>
  <si>
    <t>CRISIL AA+</t>
  </si>
  <si>
    <t>Principal Money Manager Fund</t>
  </si>
  <si>
    <t>INE385W01011</t>
  </si>
  <si>
    <t>Engineers India Ltd.</t>
  </si>
  <si>
    <t>INE510A01028</t>
  </si>
  <si>
    <t>Syngene International Ltd.</t>
  </si>
  <si>
    <t>INE398R01022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</si>
  <si>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</si>
  <si>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</si>
  <si>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</si>
  <si>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</si>
  <si>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</si>
  <si>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</si>
  <si>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</si>
  <si>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Fortis Healthcare Ltd.</t>
  </si>
  <si>
    <t>INE061F01013</t>
  </si>
  <si>
    <t>Escorts Ltd.</t>
  </si>
  <si>
    <t>INE042A01014</t>
  </si>
  <si>
    <t>7.68% Government of India Security</t>
  </si>
  <si>
    <t>IN0020150010</t>
  </si>
  <si>
    <t>8.15% Piramal Enterprises Ltd.</t>
  </si>
  <si>
    <t>INE140A07344</t>
  </si>
  <si>
    <t>IND AAA</t>
  </si>
  <si>
    <t>8.17% Government of India Security</t>
  </si>
  <si>
    <t>IN0020140078</t>
  </si>
  <si>
    <t>Dwarikesh Sugar Industries Ltd.</t>
  </si>
  <si>
    <t>INE053F07983</t>
  </si>
  <si>
    <t>Principal Asset Allocation Fund of Funds - Moderate Plan</t>
  </si>
  <si>
    <t>Principal Asset Allocation Fund of Funds - Conservative Plan</t>
  </si>
  <si>
    <t>Principal Aseet Allocation Fund of Funds - Aggressive Plan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</si>
  <si>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</si>
  <si>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</si>
  <si>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</si>
  <si>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</si>
  <si>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</si>
  <si>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</si>
  <si>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</si>
  <si>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</si>
  <si>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</si>
  <si>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</si>
  <si>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</si>
  <si>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</si>
  <si>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Tamil Nadu Newsprint &amp; Papers Ltd.</t>
  </si>
  <si>
    <t>INE107A01015</t>
  </si>
  <si>
    <t>Paper</t>
  </si>
  <si>
    <t>Mahindra &amp; Mahindra Financial Services Ltd.</t>
  </si>
  <si>
    <t>INE774D01024</t>
  </si>
  <si>
    <t>SREI Equipment Finance Ltd.</t>
  </si>
  <si>
    <t>8.85% Power Grid Corporation of India Ltd.</t>
  </si>
  <si>
    <t>INE752E07KE8</t>
  </si>
  <si>
    <t>INE523H07841</t>
  </si>
  <si>
    <t>7.50% Power Finance Corporation Ltd.</t>
  </si>
  <si>
    <t>INE134E08IW3</t>
  </si>
  <si>
    <t>INE001A07QW7</t>
  </si>
  <si>
    <t>INE572E09460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</si>
  <si>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</si>
  <si>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</si>
  <si>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</si>
  <si>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</si>
  <si>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</si>
  <si>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</si>
  <si>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Deepak Fertilizers and Petrochemicals Corporation Ltd.</t>
  </si>
  <si>
    <t>INE501A01019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</si>
  <si>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</si>
  <si>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</si>
  <si>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</si>
  <si>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</si>
  <si>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</si>
  <si>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</si>
  <si>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INE366A01041</t>
  </si>
  <si>
    <t>Container Corporation of India Ltd.</t>
  </si>
  <si>
    <t>Balrampur Chini Mills Ltd.</t>
  </si>
  <si>
    <t>INE119A01028</t>
  </si>
  <si>
    <t>8.70% JM Financial Products Ltd.</t>
  </si>
  <si>
    <t>CARE AA</t>
  </si>
  <si>
    <t>INE202B07IK1</t>
  </si>
  <si>
    <t>INE202B14KF3</t>
  </si>
  <si>
    <t>INE148I14SU5</t>
  </si>
  <si>
    <t>7.63% PNB Housing Finance Ltd.</t>
  </si>
  <si>
    <t>BWR AA</t>
  </si>
  <si>
    <t>Sprit Textiles Private Ltd. (ZCB)</t>
  </si>
  <si>
    <t>INE069R07117</t>
  </si>
  <si>
    <t>7.16% Government of India Security</t>
  </si>
  <si>
    <t>IN0020130012</t>
  </si>
  <si>
    <t>INE155A08365</t>
  </si>
  <si>
    <t>-</t>
  </si>
  <si>
    <t>***</t>
  </si>
  <si>
    <t>Unlisted **</t>
  </si>
  <si>
    <t>7.40% Tata Motors Ltd. **</t>
  </si>
  <si>
    <t>9.10% Dewan Housing Finance Corporation Ltd. **</t>
  </si>
  <si>
    <t>9.20% Avanse Financial Services Ltd. **</t>
  </si>
  <si>
    <t>8.00% Tata Motors Ltd. **</t>
  </si>
  <si>
    <t>8.80% Indiabulls Housing Finance Ltd. **</t>
  </si>
  <si>
    <t>8.10% NTPC Ltd. **</t>
  </si>
  <si>
    <t>10.70% Aspire Home Finance Corporation Ltd. **</t>
  </si>
  <si>
    <t>Derivatives   % to Net Assets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</si>
  <si>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</si>
  <si>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</si>
  <si>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</si>
  <si>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</si>
  <si>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</si>
  <si>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</si>
  <si>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</si>
  <si>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</si>
  <si>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INE111A01017</t>
  </si>
  <si>
    <t>Graphite India Ltd.</t>
  </si>
  <si>
    <t>INE371A01025</t>
  </si>
  <si>
    <t>Dixon Technologies (India) Ltd.</t>
  </si>
  <si>
    <t>INE935N01012</t>
  </si>
  <si>
    <t>Power Finance Corporation Ltd.</t>
  </si>
  <si>
    <t>INE134E01011</t>
  </si>
  <si>
    <t>Chennai Petroleum Corporation Ltd.</t>
  </si>
  <si>
    <t>INE178A01016</t>
  </si>
  <si>
    <t>INE008I14JK1</t>
  </si>
  <si>
    <t>INE090A165L1</t>
  </si>
  <si>
    <t>The South Indian Bank Ltd.</t>
  </si>
  <si>
    <t>INE683A16JD8</t>
  </si>
  <si>
    <t>INE001A14RH2</t>
  </si>
  <si>
    <t>National Bank for Agriculture and Rural Development</t>
  </si>
  <si>
    <t>INE261F14BU8</t>
  </si>
  <si>
    <t>HCL Infosystems Ltd.</t>
  </si>
  <si>
    <t>[ICRA]A1</t>
  </si>
  <si>
    <t>IN002017X296</t>
  </si>
  <si>
    <t>INE556F09593</t>
  </si>
  <si>
    <t>INE148I07GR0</t>
  </si>
  <si>
    <t>APL Apollo Tubes Ltd.</t>
  </si>
  <si>
    <t>7.73% Government of India Security</t>
  </si>
  <si>
    <t>IN0020150051</t>
  </si>
  <si>
    <t>6.68% Government of India Security</t>
  </si>
  <si>
    <t>IN0020170042</t>
  </si>
  <si>
    <t>INE261F08907</t>
  </si>
  <si>
    <t>INE002A08476</t>
  </si>
  <si>
    <t>INE261F08527</t>
  </si>
  <si>
    <t>INE090A165K3</t>
  </si>
  <si>
    <t>IN002017X270</t>
  </si>
  <si>
    <t>IN002017X304</t>
  </si>
  <si>
    <t>8.55% Indiabulls Housing Finance Ltd. **</t>
  </si>
  <si>
    <t>8.15% Piramal Enterprises Ltd. **</t>
  </si>
  <si>
    <t>8.70% JM Financial Products Ltd. **</t>
  </si>
  <si>
    <t>9.05% Dewan Housing Finance Corporation Ltd. **</t>
  </si>
  <si>
    <t>10.30% Manappuram Finance Ltd. **</t>
  </si>
  <si>
    <t>8.50% Muthoot Finance Ltd. **</t>
  </si>
  <si>
    <t>7.50% Tata Motors Ltd. **</t>
  </si>
  <si>
    <t>12.55% Manappuram Finance Ltd. **</t>
  </si>
  <si>
    <t>8.88% Export-Import Bank of India **</t>
  </si>
  <si>
    <t>8.35% LIC Housing Finance Ltd. **</t>
  </si>
  <si>
    <t>8.49% Housing Development Finance Corporation Ltd. **</t>
  </si>
  <si>
    <t>10.85% Aspire Home Finance Corporation Ltd. **</t>
  </si>
  <si>
    <t>9.02% Rural Electrification Corporation Ltd. **</t>
  </si>
  <si>
    <t>7.80% Housing Development Finance Corporation Ltd. **</t>
  </si>
  <si>
    <t>7.25% Small Industries Development Bank of India **</t>
  </si>
  <si>
    <t>8.32% Power Grid Corporation of India Ltd. **</t>
  </si>
  <si>
    <t>Gujarat Narmada Valley Fertilizers &amp; Chemicals Ltd.</t>
  </si>
  <si>
    <t>INE113A01013</t>
  </si>
  <si>
    <t>Chennai Super Kings Ltd. @**</t>
  </si>
  <si>
    <t>Jindal Steel &amp; Power Ltd.</t>
  </si>
  <si>
    <t>INE749A01030</t>
  </si>
  <si>
    <t>Kesar Petroproducts Ltd.</t>
  </si>
  <si>
    <t>INE133C01033</t>
  </si>
  <si>
    <t>Union Bank of India</t>
  </si>
  <si>
    <t>BWR A1+</t>
  </si>
  <si>
    <t>Kribhco Fertilizers Ltd.</t>
  </si>
  <si>
    <t>INE486H14888</t>
  </si>
  <si>
    <t>TBILL 91 DAYS 2018</t>
  </si>
  <si>
    <t>IN002017X346</t>
  </si>
  <si>
    <t>8.06% Small Industries Development Bank of India</t>
  </si>
  <si>
    <t>INE001A07PT5</t>
  </si>
  <si>
    <t>8.13% Tata Motors Ltd.</t>
  </si>
  <si>
    <t>8.85% HDFC Bank Ltd.</t>
  </si>
  <si>
    <t>8.10% NTPC Ltd.</t>
  </si>
  <si>
    <t>INE134E08IH4</t>
  </si>
  <si>
    <t>INE486H14847</t>
  </si>
  <si>
    <t>INE702C14749</t>
  </si>
  <si>
    <t>INE692A01016</t>
  </si>
  <si>
    <t>INE202B14KQ0</t>
  </si>
  <si>
    <t>India Infoline Housing Finance Ltd.</t>
  </si>
  <si>
    <t>INE477L14BR4</t>
  </si>
  <si>
    <t>Magma Housing Finance Ltd.</t>
  </si>
  <si>
    <t>INE055I14BS2</t>
  </si>
  <si>
    <t>7.48% Housing Development Finance Corporation Ltd. **</t>
  </si>
  <si>
    <t>7.63% PNB Housing Finance Ltd. **</t>
  </si>
  <si>
    <t>Portfolio as on Nov 30, 2017</t>
  </si>
  <si>
    <t>Tata Power Company Ltd.</t>
  </si>
  <si>
    <t>INE245A01021</t>
  </si>
  <si>
    <t>GlaxoSmithKline Consumer Healthcare Ltd.</t>
  </si>
  <si>
    <t>INE264A01014</t>
  </si>
  <si>
    <t>Steel Authority of India Ltd.</t>
  </si>
  <si>
    <t>INE114A01011</t>
  </si>
  <si>
    <t>INE203G01027</t>
  </si>
  <si>
    <t>Shankara Building Products Ltd.</t>
  </si>
  <si>
    <t>INE274V01019</t>
  </si>
  <si>
    <t>Parag Milk Foods Ltd.</t>
  </si>
  <si>
    <t>INE883N01014</t>
  </si>
  <si>
    <t>Khadim India Ltd.</t>
  </si>
  <si>
    <t>INE834I01025</t>
  </si>
  <si>
    <t>INE008I14KF9</t>
  </si>
  <si>
    <t>TBILL 323 DAYS 2018</t>
  </si>
  <si>
    <t>IN002017X056</t>
  </si>
  <si>
    <t>8.00% Tata Motors Ltd.</t>
  </si>
  <si>
    <t>6.79% Government of India Security</t>
  </si>
  <si>
    <t>IN0020170026</t>
  </si>
  <si>
    <t>INE486H14896</t>
  </si>
  <si>
    <t>INE261F14CB6</t>
  </si>
  <si>
    <t>INE008I14KL7</t>
  </si>
  <si>
    <t>INE236A14HF9</t>
  </si>
  <si>
    <t>IN002017X379</t>
  </si>
  <si>
    <t>INE055I14BV6</t>
  </si>
  <si>
    <t>INE008I14KK9</t>
  </si>
  <si>
    <t>INE702C14764</t>
  </si>
  <si>
    <t>Supreme Industries Ltd.</t>
  </si>
  <si>
    <t>INE195A14BB9</t>
  </si>
  <si>
    <t>9.48% Rural Electrification Corporation Ltd.</t>
  </si>
  <si>
    <t>INE020B08591</t>
  </si>
  <si>
    <t>7.59% Government of India Security</t>
  </si>
  <si>
    <t>IN0020150069</t>
  </si>
  <si>
    <t>7.61% Government of India Security</t>
  </si>
  <si>
    <t>IN0020160019</t>
  </si>
  <si>
    <t>INE936D07067</t>
  </si>
  <si>
    <t>7.72% Government of India Security</t>
  </si>
  <si>
    <t>IN0020150036</t>
  </si>
  <si>
    <t>7.20% Maharashtra State Government Security</t>
  </si>
  <si>
    <t>IN2220170061</t>
  </si>
  <si>
    <t>6.98% National Bank for Agriculture and Rural Development</t>
  </si>
  <si>
    <t>9.25% Power Grid Corporation of India Ltd.</t>
  </si>
  <si>
    <t>INE752E07BB3</t>
  </si>
  <si>
    <t>INE511C14RB9</t>
  </si>
  <si>
    <t>7.88% Government of India Security</t>
  </si>
  <si>
    <t>IN0020150028</t>
  </si>
  <si>
    <t>INE881J14MN7</t>
  </si>
  <si>
    <t>INE538L14920</t>
  </si>
  <si>
    <t>INE389H14CM8</t>
  </si>
  <si>
    <t>INE002A14706</t>
  </si>
  <si>
    <t>Tata Capital Financial Services Ltd.</t>
  </si>
  <si>
    <t>INE306N14LV2</t>
  </si>
  <si>
    <t>INE134E14865</t>
  </si>
  <si>
    <t>7.90% National Bank For Agriculture and Rural Development **</t>
  </si>
  <si>
    <t>8.13% Tata Motors Ltd. **</t>
  </si>
  <si>
    <t>8.25% Indiabulls Housing Finance Ltd. **</t>
  </si>
  <si>
    <t>8.95% Reliance Utilities &amp; Power Private Ltd. **</t>
  </si>
  <si>
    <t>7.00% Reliance Industries Ltd. **</t>
  </si>
  <si>
    <t>7.33% Housing Development Finance Corporation Ltd. **</t>
  </si>
  <si>
    <t>7.40% Tata Motors Ltd.**</t>
  </si>
  <si>
    <t>7.00% Reliance Industries Ltd.**</t>
  </si>
  <si>
    <t>7.50% Power Finance Corporation Ltd.**</t>
  </si>
  <si>
    <t>8.95% Reliance Utilities &amp; Power Private Ltd.**</t>
  </si>
  <si>
    <t>8.37% National Bank for Agriculture and Rural Development**</t>
  </si>
  <si>
    <t>7.83% Indian Railway Finance Corporation Ltd.**</t>
  </si>
  <si>
    <t>7.78% LIC Housing Finance Ltd.**</t>
  </si>
  <si>
    <t>7.65% Housing Development Finance Corporation Ltd.**</t>
  </si>
  <si>
    <t>7.63% PNB Housing Finance Ltd.**</t>
  </si>
  <si>
    <t>9.10% Dewan Housing Finance Corporation Ltd.**</t>
  </si>
  <si>
    <t>9.20% Avanse Financial Services Ltd.**</t>
  </si>
  <si>
    <t>8.00% Tata Motors Ltd.**</t>
  </si>
  <si>
    <t>8.80% Indiabulls Housing Finance Ltd.**</t>
  </si>
  <si>
    <t>8.10% NTPC Ltd.**</t>
  </si>
  <si>
    <t>10.70% Aspire Home Finance Corporation Ltd.**</t>
  </si>
  <si>
    <t>Aggregate investments by other schemes of Principal Mutual Fund at the end of the period is Rs.1174.51 Lakhs</t>
  </si>
  <si>
    <t>Aggregate investments by other schemes of Principal Mutual Fund at the end of the period is Rs.50.34 Lakhs</t>
  </si>
  <si>
    <t>Aggregate investments by other schemes of Principal Mutual Fund at the end of the period is Rs.174.43 Lakhs</t>
  </si>
  <si>
    <t>Aggregate investments by other schemes of Principal Mutual Fund at the end of the period is Rs.105.74 Lakhs</t>
  </si>
  <si>
    <t>Aggregate investments by other schemes of Principal Mutual Fund at the end of the period is Rs.1397.87 Lakhs</t>
  </si>
  <si>
    <t>Cash Future Arbitrage</t>
  </si>
  <si>
    <t>CARE AA+(SO)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</si>
</sst>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10" fontId="12" fillId="3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10" fontId="5" fillId="2" borderId="2" xfId="4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9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  <col min="13" max="13" width="17.7109375" bestFit="1" customWidth="1"/>
  </cols>
  <sheetData>
    <row r="1" spans="1:15" ht="18.75" x14ac:dyDescent="0.2">
      <c r="A1" s="94" t="s">
        <v>386</v>
      </c>
      <c r="B1" s="124" t="s">
        <v>0</v>
      </c>
      <c r="C1" s="125"/>
      <c r="D1" s="125"/>
      <c r="E1" s="125"/>
      <c r="F1" s="125"/>
      <c r="G1" s="125"/>
      <c r="H1" s="126"/>
    </row>
    <row r="2" spans="1:15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5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5" ht="12.75" customHeight="1" x14ac:dyDescent="0.2">
      <c r="F5" s="13"/>
      <c r="G5" s="14"/>
      <c r="H5" s="15"/>
    </row>
    <row r="6" spans="1:15" ht="12.75" customHeight="1" x14ac:dyDescent="0.2">
      <c r="F6" s="13"/>
      <c r="G6" s="14"/>
      <c r="H6" s="15"/>
    </row>
    <row r="7" spans="1:15" ht="12.75" customHeight="1" x14ac:dyDescent="0.2">
      <c r="B7" s="16" t="s">
        <v>9</v>
      </c>
      <c r="C7" s="16"/>
      <c r="F7" s="13"/>
      <c r="G7" s="14"/>
      <c r="H7" s="15"/>
    </row>
    <row r="8" spans="1:15" ht="12.75" customHeight="1" x14ac:dyDescent="0.2">
      <c r="B8" s="16" t="s">
        <v>425</v>
      </c>
      <c r="C8" s="16"/>
      <c r="F8" s="13"/>
      <c r="G8" s="14"/>
      <c r="H8" s="15"/>
      <c r="J8" s="17" t="s">
        <v>4</v>
      </c>
      <c r="K8" s="37" t="s">
        <v>12</v>
      </c>
    </row>
    <row r="9" spans="1:15" ht="12.75" customHeight="1" x14ac:dyDescent="0.2">
      <c r="A9">
        <f>+MAX($A$8:A8)+1</f>
        <v>1</v>
      </c>
      <c r="B9" t="s">
        <v>195</v>
      </c>
      <c r="C9" t="s">
        <v>13</v>
      </c>
      <c r="D9" t="s">
        <v>10</v>
      </c>
      <c r="E9" s="28">
        <v>142365</v>
      </c>
      <c r="F9" s="13">
        <v>2639.0200049999999</v>
      </c>
      <c r="G9" s="14">
        <f t="shared" ref="G9:G40" si="0">+ROUND(F9/VLOOKUP("Grand Total",$B$4:$F$286,5,0),4)</f>
        <v>4.6300000000000001E-2</v>
      </c>
      <c r="H9" s="15"/>
      <c r="I9" s="15"/>
      <c r="J9" s="14" t="s">
        <v>10</v>
      </c>
      <c r="K9" s="48">
        <f>SUMIFS($G$5:$G$324,$D$5:$D$324,J9)</f>
        <v>0.21590000000000001</v>
      </c>
    </row>
    <row r="10" spans="1:15" ht="12.75" customHeight="1" x14ac:dyDescent="0.2">
      <c r="A10">
        <f>+MAX($A$8:A9)+1</f>
        <v>2</v>
      </c>
      <c r="B10" t="s">
        <v>198</v>
      </c>
      <c r="C10" t="s">
        <v>11</v>
      </c>
      <c r="D10" t="s">
        <v>10</v>
      </c>
      <c r="E10" s="28">
        <v>778587</v>
      </c>
      <c r="F10" s="13">
        <v>2394.5443184999999</v>
      </c>
      <c r="G10" s="14">
        <f t="shared" si="0"/>
        <v>4.2000000000000003E-2</v>
      </c>
      <c r="H10" s="15"/>
      <c r="J10" s="14" t="s">
        <v>26</v>
      </c>
      <c r="K10" s="48">
        <f t="shared" ref="K10:K38" si="1">SUMIFS($G$5:$G$324,$D$5:$D$324,J10)</f>
        <v>0.1024</v>
      </c>
    </row>
    <row r="11" spans="1:15" ht="12.75" customHeight="1" x14ac:dyDescent="0.2">
      <c r="A11">
        <f>+MAX($A$8:A10)+1</f>
        <v>3</v>
      </c>
      <c r="B11" t="s">
        <v>197</v>
      </c>
      <c r="C11" t="s">
        <v>31</v>
      </c>
      <c r="D11" t="s">
        <v>30</v>
      </c>
      <c r="E11" s="28">
        <v>207332</v>
      </c>
      <c r="F11" s="13">
        <v>1910.668046</v>
      </c>
      <c r="G11" s="14">
        <f t="shared" si="0"/>
        <v>3.3500000000000002E-2</v>
      </c>
      <c r="H11" s="15"/>
      <c r="J11" s="14" t="s">
        <v>22</v>
      </c>
      <c r="K11" s="48">
        <f t="shared" si="1"/>
        <v>5.7999999999999996E-2</v>
      </c>
      <c r="L11" s="36"/>
      <c r="M11" s="92"/>
      <c r="N11" s="36"/>
      <c r="O11" s="14"/>
    </row>
    <row r="12" spans="1:15" ht="12.75" customHeight="1" x14ac:dyDescent="0.2">
      <c r="A12">
        <f>+MAX($A$8:A11)+1</f>
        <v>4</v>
      </c>
      <c r="B12" t="s">
        <v>16</v>
      </c>
      <c r="C12" t="s">
        <v>17</v>
      </c>
      <c r="D12" t="s">
        <v>10</v>
      </c>
      <c r="E12" s="28">
        <v>543759</v>
      </c>
      <c r="F12" s="13">
        <v>1741.9319565000001</v>
      </c>
      <c r="G12" s="14">
        <f t="shared" si="0"/>
        <v>3.0599999999999999E-2</v>
      </c>
      <c r="H12" s="15"/>
      <c r="J12" s="14" t="s">
        <v>20</v>
      </c>
      <c r="K12" s="48">
        <f t="shared" si="1"/>
        <v>5.67E-2</v>
      </c>
      <c r="L12" s="36"/>
      <c r="M12" s="92"/>
      <c r="N12" s="36"/>
      <c r="O12" s="14"/>
    </row>
    <row r="13" spans="1:15" ht="12.75" customHeight="1" x14ac:dyDescent="0.2">
      <c r="A13">
        <f>+MAX($A$8:A12)+1</f>
        <v>5</v>
      </c>
      <c r="B13" t="s">
        <v>235</v>
      </c>
      <c r="C13" t="s">
        <v>79</v>
      </c>
      <c r="D13" t="s">
        <v>26</v>
      </c>
      <c r="E13" s="28">
        <v>46292</v>
      </c>
      <c r="F13" s="13">
        <v>1520.5301780000002</v>
      </c>
      <c r="G13" s="14">
        <f t="shared" si="0"/>
        <v>2.6700000000000002E-2</v>
      </c>
      <c r="H13" s="15"/>
      <c r="J13" s="14" t="s">
        <v>136</v>
      </c>
      <c r="K13" s="48">
        <f t="shared" si="1"/>
        <v>5.1900000000000002E-2</v>
      </c>
      <c r="L13" s="36"/>
      <c r="M13" s="92"/>
      <c r="N13" s="36"/>
      <c r="O13" s="14"/>
    </row>
    <row r="14" spans="1:15" ht="12.75" customHeight="1" x14ac:dyDescent="0.2">
      <c r="A14">
        <f>+MAX($A$8:A13)+1</f>
        <v>6</v>
      </c>
      <c r="B14" t="s">
        <v>199</v>
      </c>
      <c r="C14" t="s">
        <v>21</v>
      </c>
      <c r="D14" t="s">
        <v>20</v>
      </c>
      <c r="E14" s="28">
        <v>318596</v>
      </c>
      <c r="F14" s="13">
        <v>1287.605734</v>
      </c>
      <c r="G14" s="14">
        <f t="shared" si="0"/>
        <v>2.2599999999999999E-2</v>
      </c>
      <c r="H14" s="15"/>
      <c r="J14" s="14" t="s">
        <v>28</v>
      </c>
      <c r="K14" s="48">
        <f t="shared" si="1"/>
        <v>5.1299999999999998E-2</v>
      </c>
      <c r="L14" s="36"/>
      <c r="M14" s="92"/>
      <c r="N14" s="36"/>
      <c r="O14" s="14"/>
    </row>
    <row r="15" spans="1:15" ht="12.75" customHeight="1" x14ac:dyDescent="0.2">
      <c r="A15">
        <f>+MAX($A$8:A14)+1</f>
        <v>7</v>
      </c>
      <c r="B15" t="s">
        <v>229</v>
      </c>
      <c r="C15" t="s">
        <v>71</v>
      </c>
      <c r="D15" t="s">
        <v>28</v>
      </c>
      <c r="E15" s="28">
        <v>102696</v>
      </c>
      <c r="F15" s="13">
        <v>1249.3481879999999</v>
      </c>
      <c r="G15" s="14">
        <f t="shared" si="0"/>
        <v>2.1899999999999999E-2</v>
      </c>
      <c r="H15" s="15"/>
      <c r="J15" s="14" t="s">
        <v>18</v>
      </c>
      <c r="K15" s="48">
        <f t="shared" si="1"/>
        <v>5.0900000000000001E-2</v>
      </c>
      <c r="L15" s="36"/>
      <c r="M15" s="92"/>
      <c r="N15" s="36"/>
      <c r="O15" s="14"/>
    </row>
    <row r="16" spans="1:15" ht="12.75" customHeight="1" x14ac:dyDescent="0.2">
      <c r="A16">
        <f>+MAX($A$8:A15)+1</f>
        <v>8</v>
      </c>
      <c r="B16" t="s">
        <v>324</v>
      </c>
      <c r="C16" t="s">
        <v>325</v>
      </c>
      <c r="D16" t="s">
        <v>146</v>
      </c>
      <c r="E16" s="28">
        <v>262209</v>
      </c>
      <c r="F16" s="13">
        <v>1224.51603</v>
      </c>
      <c r="G16" s="14">
        <f t="shared" si="0"/>
        <v>2.1499999999999998E-2</v>
      </c>
      <c r="H16" s="15"/>
      <c r="J16" s="14" t="s">
        <v>14</v>
      </c>
      <c r="K16" s="48">
        <f t="shared" si="1"/>
        <v>4.9499999999999995E-2</v>
      </c>
      <c r="L16" s="36"/>
      <c r="M16" s="92"/>
      <c r="N16" s="36"/>
      <c r="O16" s="14"/>
    </row>
    <row r="17" spans="1:15" ht="12.75" customHeight="1" x14ac:dyDescent="0.2">
      <c r="A17">
        <f>+MAX($A$8:A16)+1</f>
        <v>9</v>
      </c>
      <c r="B17" t="s">
        <v>317</v>
      </c>
      <c r="C17" t="s">
        <v>77</v>
      </c>
      <c r="D17" t="s">
        <v>38</v>
      </c>
      <c r="E17" s="28">
        <v>323315</v>
      </c>
      <c r="F17" s="13">
        <v>1208.5514700000001</v>
      </c>
      <c r="G17" s="14">
        <f t="shared" si="0"/>
        <v>2.12E-2</v>
      </c>
      <c r="H17" s="15"/>
      <c r="J17" s="14" t="s">
        <v>36</v>
      </c>
      <c r="K17" s="48">
        <f t="shared" si="1"/>
        <v>4.6700000000000005E-2</v>
      </c>
      <c r="L17" s="36"/>
      <c r="M17" s="92"/>
      <c r="N17" s="36"/>
      <c r="O17" s="14"/>
    </row>
    <row r="18" spans="1:15" ht="12.75" customHeight="1" x14ac:dyDescent="0.2">
      <c r="A18">
        <f>+MAX($A$8:A17)+1</f>
        <v>10</v>
      </c>
      <c r="B18" t="s">
        <v>228</v>
      </c>
      <c r="C18" t="s">
        <v>66</v>
      </c>
      <c r="D18" t="s">
        <v>28</v>
      </c>
      <c r="E18" s="28">
        <v>357552</v>
      </c>
      <c r="F18" s="13">
        <v>1152.0325440000001</v>
      </c>
      <c r="G18" s="14">
        <f t="shared" si="0"/>
        <v>2.0199999999999999E-2</v>
      </c>
      <c r="H18" s="15"/>
      <c r="J18" s="14" t="s">
        <v>24</v>
      </c>
      <c r="K18" s="48">
        <f t="shared" si="1"/>
        <v>4.58E-2</v>
      </c>
      <c r="L18" s="36"/>
      <c r="M18" s="92"/>
      <c r="N18" s="36"/>
      <c r="O18" s="14"/>
    </row>
    <row r="19" spans="1:15" ht="12.75" customHeight="1" x14ac:dyDescent="0.2">
      <c r="A19">
        <f>+MAX($A$8:A18)+1</f>
        <v>11</v>
      </c>
      <c r="B19" t="s">
        <v>411</v>
      </c>
      <c r="C19" t="s">
        <v>410</v>
      </c>
      <c r="D19" t="s">
        <v>26</v>
      </c>
      <c r="E19" s="28">
        <v>329351</v>
      </c>
      <c r="F19" s="13">
        <v>1133.9554929999999</v>
      </c>
      <c r="G19" s="14">
        <f t="shared" si="0"/>
        <v>1.9900000000000001E-2</v>
      </c>
      <c r="H19" s="15"/>
      <c r="J19" s="14" t="s">
        <v>30</v>
      </c>
      <c r="K19" s="48">
        <f t="shared" si="1"/>
        <v>4.0900000000000006E-2</v>
      </c>
      <c r="L19" s="36"/>
      <c r="M19" s="92"/>
      <c r="N19" s="36"/>
      <c r="O19" s="14"/>
    </row>
    <row r="20" spans="1:15" ht="12.75" customHeight="1" x14ac:dyDescent="0.2">
      <c r="A20">
        <f>+MAX($A$8:A19)+1</f>
        <v>12</v>
      </c>
      <c r="B20" t="s">
        <v>210</v>
      </c>
      <c r="C20" t="s">
        <v>52</v>
      </c>
      <c r="D20" t="s">
        <v>41</v>
      </c>
      <c r="E20" s="28">
        <v>944272</v>
      </c>
      <c r="F20" s="13">
        <v>1131.7099920000001</v>
      </c>
      <c r="G20" s="14">
        <f t="shared" si="0"/>
        <v>1.9900000000000001E-2</v>
      </c>
      <c r="H20" s="15"/>
      <c r="J20" s="90" t="s">
        <v>38</v>
      </c>
      <c r="K20" s="48">
        <f t="shared" si="1"/>
        <v>3.8900000000000004E-2</v>
      </c>
      <c r="L20" s="36"/>
      <c r="M20" s="92"/>
      <c r="N20" s="36"/>
      <c r="O20" s="14"/>
    </row>
    <row r="21" spans="1:15" ht="12.75" customHeight="1" x14ac:dyDescent="0.2">
      <c r="A21">
        <f>+MAX($A$8:A20)+1</f>
        <v>13</v>
      </c>
      <c r="B21" t="s">
        <v>316</v>
      </c>
      <c r="C21" t="s">
        <v>57</v>
      </c>
      <c r="D21" t="s">
        <v>26</v>
      </c>
      <c r="E21" s="28">
        <v>71970</v>
      </c>
      <c r="F21" s="13">
        <v>1099.48569</v>
      </c>
      <c r="G21" s="14">
        <f t="shared" si="0"/>
        <v>1.9300000000000001E-2</v>
      </c>
      <c r="H21" s="15"/>
      <c r="J21" s="14" t="s">
        <v>146</v>
      </c>
      <c r="K21" s="48">
        <f t="shared" si="1"/>
        <v>2.1499999999999998E-2</v>
      </c>
      <c r="L21" s="36"/>
      <c r="M21" s="92"/>
      <c r="N21" s="36"/>
      <c r="O21" s="14"/>
    </row>
    <row r="22" spans="1:15" ht="12.75" customHeight="1" x14ac:dyDescent="0.2">
      <c r="A22">
        <f>+MAX($A$8:A21)+1</f>
        <v>14</v>
      </c>
      <c r="B22" t="s">
        <v>360</v>
      </c>
      <c r="C22" t="s">
        <v>433</v>
      </c>
      <c r="D22" t="s">
        <v>136</v>
      </c>
      <c r="E22" s="28">
        <v>113619</v>
      </c>
      <c r="F22" s="13">
        <v>1072.1656934999999</v>
      </c>
      <c r="G22" s="14">
        <f t="shared" si="0"/>
        <v>1.8800000000000001E-2</v>
      </c>
      <c r="H22" s="15"/>
      <c r="J22" s="14" t="s">
        <v>529</v>
      </c>
      <c r="K22" s="48">
        <f t="shared" si="1"/>
        <v>2.0500000000000001E-2</v>
      </c>
      <c r="L22" s="36"/>
      <c r="M22" s="92"/>
      <c r="N22" s="36"/>
      <c r="O22" s="14"/>
    </row>
    <row r="23" spans="1:15" ht="12.75" customHeight="1" x14ac:dyDescent="0.2">
      <c r="A23">
        <f>+MAX($A$8:A22)+1</f>
        <v>15</v>
      </c>
      <c r="B23" t="s">
        <v>597</v>
      </c>
      <c r="C23" t="s">
        <v>598</v>
      </c>
      <c r="D23" t="s">
        <v>136</v>
      </c>
      <c r="E23" s="28">
        <v>298963</v>
      </c>
      <c r="F23" s="13">
        <v>1060.2722795</v>
      </c>
      <c r="G23" s="14">
        <f t="shared" si="0"/>
        <v>1.8599999999999998E-2</v>
      </c>
      <c r="H23" s="15"/>
      <c r="J23" s="14" t="s">
        <v>45</v>
      </c>
      <c r="K23" s="48">
        <f t="shared" si="1"/>
        <v>0.02</v>
      </c>
      <c r="L23" s="36"/>
      <c r="M23" s="92"/>
      <c r="N23" s="36"/>
      <c r="O23" s="14"/>
    </row>
    <row r="24" spans="1:15" ht="12.75" customHeight="1" x14ac:dyDescent="0.2">
      <c r="A24">
        <f>+MAX($A$8:A23)+1</f>
        <v>16</v>
      </c>
      <c r="B24" t="s">
        <v>201</v>
      </c>
      <c r="C24" t="s">
        <v>27</v>
      </c>
      <c r="D24" t="s">
        <v>24</v>
      </c>
      <c r="E24" s="28">
        <v>62303</v>
      </c>
      <c r="F24" s="13">
        <v>1044.0113710000001</v>
      </c>
      <c r="G24" s="14">
        <f t="shared" si="0"/>
        <v>1.83E-2</v>
      </c>
      <c r="H24" s="15"/>
      <c r="J24" s="14" t="s">
        <v>41</v>
      </c>
      <c r="K24" s="48">
        <f t="shared" si="1"/>
        <v>1.9900000000000001E-2</v>
      </c>
      <c r="L24" s="36"/>
      <c r="M24" s="92"/>
      <c r="N24" s="36"/>
      <c r="O24" s="14"/>
    </row>
    <row r="25" spans="1:15" ht="12.75" customHeight="1" x14ac:dyDescent="0.2">
      <c r="A25">
        <f>+MAX($A$8:A24)+1</f>
        <v>17</v>
      </c>
      <c r="B25" t="s">
        <v>207</v>
      </c>
      <c r="C25" t="s">
        <v>48</v>
      </c>
      <c r="D25" t="s">
        <v>26</v>
      </c>
      <c r="E25" s="28">
        <v>21639</v>
      </c>
      <c r="F25" s="13">
        <v>1042.0476840000001</v>
      </c>
      <c r="G25" s="14">
        <f t="shared" si="0"/>
        <v>1.83E-2</v>
      </c>
      <c r="H25" s="15"/>
      <c r="J25" s="14" t="s">
        <v>431</v>
      </c>
      <c r="K25" s="48">
        <f t="shared" si="1"/>
        <v>1.66E-2</v>
      </c>
      <c r="L25" s="36"/>
      <c r="M25" s="92"/>
      <c r="N25" s="36"/>
      <c r="O25" s="14"/>
    </row>
    <row r="26" spans="1:15" ht="12.75" customHeight="1" x14ac:dyDescent="0.2">
      <c r="A26">
        <f>+MAX($A$8:A25)+1</f>
        <v>18</v>
      </c>
      <c r="B26" t="s">
        <v>213</v>
      </c>
      <c r="C26" t="s">
        <v>49</v>
      </c>
      <c r="D26" t="s">
        <v>20</v>
      </c>
      <c r="E26" s="28">
        <v>12016</v>
      </c>
      <c r="F26" s="13">
        <v>1033.2678559999999</v>
      </c>
      <c r="G26" s="14">
        <f t="shared" si="0"/>
        <v>1.8100000000000002E-2</v>
      </c>
      <c r="H26" s="15"/>
      <c r="J26" t="s">
        <v>51</v>
      </c>
      <c r="K26" s="48">
        <f t="shared" si="1"/>
        <v>1.34E-2</v>
      </c>
      <c r="L26" s="36"/>
      <c r="M26" s="92"/>
      <c r="N26" s="36"/>
      <c r="O26" s="14"/>
    </row>
    <row r="27" spans="1:15" ht="12.75" customHeight="1" x14ac:dyDescent="0.2">
      <c r="A27">
        <f>+MAX($A$8:A26)+1</f>
        <v>19</v>
      </c>
      <c r="B27" t="s">
        <v>254</v>
      </c>
      <c r="C27" t="s">
        <v>116</v>
      </c>
      <c r="D27" t="s">
        <v>36</v>
      </c>
      <c r="E27" s="28">
        <v>567700</v>
      </c>
      <c r="F27" s="13">
        <v>1028.3885499999999</v>
      </c>
      <c r="G27" s="14">
        <f t="shared" si="0"/>
        <v>1.8100000000000002E-2</v>
      </c>
      <c r="H27" s="15"/>
      <c r="J27" t="s">
        <v>327</v>
      </c>
      <c r="K27" s="48">
        <f t="shared" si="1"/>
        <v>1.0999999999999999E-2</v>
      </c>
      <c r="L27" s="36"/>
      <c r="M27" s="92"/>
      <c r="N27" s="36"/>
      <c r="O27" s="14"/>
    </row>
    <row r="28" spans="1:15" ht="12.75" customHeight="1" x14ac:dyDescent="0.2">
      <c r="A28">
        <f>+MAX($A$8:A27)+1</f>
        <v>20</v>
      </c>
      <c r="B28" t="s">
        <v>383</v>
      </c>
      <c r="C28" t="s">
        <v>384</v>
      </c>
      <c r="D28" t="s">
        <v>38</v>
      </c>
      <c r="E28" s="28">
        <v>1049033</v>
      </c>
      <c r="F28" s="13">
        <v>1009.6942625</v>
      </c>
      <c r="G28" s="14">
        <f t="shared" si="0"/>
        <v>1.77E-2</v>
      </c>
      <c r="H28" s="15"/>
      <c r="J28" t="s">
        <v>43</v>
      </c>
      <c r="K28" s="48">
        <f t="shared" si="1"/>
        <v>1.0800000000000001E-2</v>
      </c>
      <c r="L28" s="36"/>
      <c r="M28" s="92"/>
      <c r="N28" s="36"/>
      <c r="O28" s="14"/>
    </row>
    <row r="29" spans="1:15" ht="12.75" customHeight="1" x14ac:dyDescent="0.2">
      <c r="A29">
        <f>+MAX($A$8:A28)+1</f>
        <v>21</v>
      </c>
      <c r="B29" t="s">
        <v>219</v>
      </c>
      <c r="C29" t="s">
        <v>61</v>
      </c>
      <c r="D29" t="s">
        <v>22</v>
      </c>
      <c r="E29" s="28">
        <v>137828</v>
      </c>
      <c r="F29" s="13">
        <v>954.94129799999996</v>
      </c>
      <c r="G29" s="14">
        <f t="shared" si="0"/>
        <v>1.6799999999999999E-2</v>
      </c>
      <c r="H29" s="15"/>
      <c r="J29" t="s">
        <v>34</v>
      </c>
      <c r="K29" s="48">
        <f t="shared" si="1"/>
        <v>1.0699999999999999E-2</v>
      </c>
      <c r="M29" s="92"/>
      <c r="N29" s="36"/>
      <c r="O29" s="14"/>
    </row>
    <row r="30" spans="1:15" ht="12.75" customHeight="1" x14ac:dyDescent="0.2">
      <c r="A30">
        <f>+MAX($A$8:A29)+1</f>
        <v>22</v>
      </c>
      <c r="B30" t="s">
        <v>429</v>
      </c>
      <c r="C30" t="s">
        <v>430</v>
      </c>
      <c r="D30" t="s">
        <v>431</v>
      </c>
      <c r="E30" s="28">
        <v>663035</v>
      </c>
      <c r="F30" s="13">
        <v>946.81398000000002</v>
      </c>
      <c r="G30" s="14">
        <f t="shared" si="0"/>
        <v>1.66E-2</v>
      </c>
      <c r="H30" s="15"/>
      <c r="J30" t="s">
        <v>32</v>
      </c>
      <c r="K30" s="48">
        <f t="shared" si="1"/>
        <v>5.8999999999999999E-3</v>
      </c>
      <c r="M30" s="14"/>
      <c r="N30" s="36"/>
      <c r="O30" s="14"/>
    </row>
    <row r="31" spans="1:15" ht="12.75" customHeight="1" x14ac:dyDescent="0.2">
      <c r="A31">
        <f>+MAX($A$8:A30)+1</f>
        <v>23</v>
      </c>
      <c r="B31" t="s">
        <v>206</v>
      </c>
      <c r="C31" t="s">
        <v>44</v>
      </c>
      <c r="D31" t="s">
        <v>24</v>
      </c>
      <c r="E31" s="28">
        <v>150743</v>
      </c>
      <c r="F31" s="13">
        <v>929.40596650000009</v>
      </c>
      <c r="G31" s="14">
        <f t="shared" si="0"/>
        <v>1.6299999999999999E-2</v>
      </c>
      <c r="H31" s="15"/>
      <c r="J31" s="65" t="s">
        <v>458</v>
      </c>
      <c r="K31" s="48">
        <f t="shared" si="1"/>
        <v>4.5999999999999999E-3</v>
      </c>
      <c r="N31" s="36"/>
      <c r="O31" s="14"/>
    </row>
    <row r="32" spans="1:15" ht="12.75" customHeight="1" x14ac:dyDescent="0.2">
      <c r="A32">
        <f>+MAX($A$8:A31)+1</f>
        <v>24</v>
      </c>
      <c r="B32" t="s">
        <v>252</v>
      </c>
      <c r="C32" t="s">
        <v>113</v>
      </c>
      <c r="D32" t="s">
        <v>20</v>
      </c>
      <c r="E32" s="28">
        <v>25122</v>
      </c>
      <c r="F32" s="13">
        <v>912.845553</v>
      </c>
      <c r="G32" s="14">
        <f t="shared" si="0"/>
        <v>1.6E-2</v>
      </c>
      <c r="H32" s="15"/>
      <c r="J32" t="s">
        <v>54</v>
      </c>
      <c r="K32" s="48">
        <f t="shared" si="1"/>
        <v>0</v>
      </c>
      <c r="N32" s="36"/>
      <c r="O32" s="14"/>
    </row>
    <row r="33" spans="1:15" ht="12.75" customHeight="1" x14ac:dyDescent="0.2">
      <c r="A33">
        <f>+MAX($A$8:A32)+1</f>
        <v>25</v>
      </c>
      <c r="B33" t="s">
        <v>205</v>
      </c>
      <c r="C33" t="s">
        <v>46</v>
      </c>
      <c r="D33" t="s">
        <v>26</v>
      </c>
      <c r="E33" s="28">
        <v>346201</v>
      </c>
      <c r="F33" s="13">
        <v>886.44766049999998</v>
      </c>
      <c r="G33" s="14">
        <f t="shared" si="0"/>
        <v>1.5599999999999999E-2</v>
      </c>
      <c r="H33" s="15"/>
      <c r="J33" t="s">
        <v>62</v>
      </c>
      <c r="K33" s="48">
        <f t="shared" si="1"/>
        <v>0</v>
      </c>
      <c r="N33" s="36"/>
      <c r="O33" s="14"/>
    </row>
    <row r="34" spans="1:15" ht="12.75" customHeight="1" x14ac:dyDescent="0.2">
      <c r="A34">
        <f>+MAX($A$8:A33)+1</f>
        <v>26</v>
      </c>
      <c r="B34" t="s">
        <v>651</v>
      </c>
      <c r="C34" t="s">
        <v>652</v>
      </c>
      <c r="D34" t="s">
        <v>136</v>
      </c>
      <c r="E34" s="28">
        <v>186849</v>
      </c>
      <c r="F34" s="13">
        <v>826.71340049999992</v>
      </c>
      <c r="G34" s="14">
        <f t="shared" si="0"/>
        <v>1.4500000000000001E-2</v>
      </c>
      <c r="H34" s="15"/>
      <c r="J34" t="s">
        <v>103</v>
      </c>
      <c r="K34" s="48">
        <f t="shared" si="1"/>
        <v>0</v>
      </c>
      <c r="L34" s="87"/>
      <c r="N34" s="36"/>
      <c r="O34" s="14"/>
    </row>
    <row r="35" spans="1:15" ht="12.75" customHeight="1" x14ac:dyDescent="0.2">
      <c r="A35">
        <f>+MAX($A$8:A34)+1</f>
        <v>27</v>
      </c>
      <c r="B35" t="s">
        <v>216</v>
      </c>
      <c r="C35" t="s">
        <v>99</v>
      </c>
      <c r="D35" t="s">
        <v>10</v>
      </c>
      <c r="E35" s="28">
        <v>82252</v>
      </c>
      <c r="F35" s="13">
        <v>822.76675599999999</v>
      </c>
      <c r="G35" s="14">
        <f t="shared" si="0"/>
        <v>1.44E-2</v>
      </c>
      <c r="H35" s="15"/>
      <c r="J35" t="s">
        <v>60</v>
      </c>
      <c r="K35" s="48">
        <f t="shared" si="1"/>
        <v>0</v>
      </c>
    </row>
    <row r="36" spans="1:15" ht="12.75" customHeight="1" x14ac:dyDescent="0.2">
      <c r="A36">
        <f>+MAX($A$8:A35)+1</f>
        <v>28</v>
      </c>
      <c r="B36" t="s">
        <v>220</v>
      </c>
      <c r="C36" t="s">
        <v>19</v>
      </c>
      <c r="D36" t="s">
        <v>14</v>
      </c>
      <c r="E36" s="28">
        <v>30730</v>
      </c>
      <c r="F36" s="13">
        <v>810.3501</v>
      </c>
      <c r="G36" s="14">
        <f t="shared" si="0"/>
        <v>1.4200000000000001E-2</v>
      </c>
      <c r="H36" s="15"/>
      <c r="J36" t="s">
        <v>454</v>
      </c>
      <c r="K36" s="48">
        <f t="shared" si="1"/>
        <v>0</v>
      </c>
      <c r="M36" s="14"/>
    </row>
    <row r="37" spans="1:15" ht="12.75" customHeight="1" x14ac:dyDescent="0.2">
      <c r="A37">
        <f>+MAX($A$8:A36)+1</f>
        <v>29</v>
      </c>
      <c r="B37" t="s">
        <v>232</v>
      </c>
      <c r="C37" t="s">
        <v>80</v>
      </c>
      <c r="D37" t="s">
        <v>51</v>
      </c>
      <c r="E37" s="28">
        <v>276857</v>
      </c>
      <c r="F37" s="13">
        <v>763.57160599999997</v>
      </c>
      <c r="G37" s="14">
        <f t="shared" si="0"/>
        <v>1.34E-2</v>
      </c>
      <c r="H37" s="15"/>
      <c r="J37" s="14" t="s">
        <v>58</v>
      </c>
      <c r="K37" s="48">
        <f t="shared" si="1"/>
        <v>0</v>
      </c>
      <c r="M37" s="14"/>
    </row>
    <row r="38" spans="1:15" ht="12.75" customHeight="1" x14ac:dyDescent="0.2">
      <c r="A38">
        <f>+MAX($A$8:A37)+1</f>
        <v>30</v>
      </c>
      <c r="B38" t="s">
        <v>224</v>
      </c>
      <c r="C38" t="s">
        <v>63</v>
      </c>
      <c r="D38" t="s">
        <v>36</v>
      </c>
      <c r="E38" s="28">
        <v>169704</v>
      </c>
      <c r="F38" s="13">
        <v>753.14635199999998</v>
      </c>
      <c r="G38" s="14">
        <f t="shared" si="0"/>
        <v>1.32E-2</v>
      </c>
      <c r="H38" s="15"/>
      <c r="J38" s="14" t="s">
        <v>56</v>
      </c>
      <c r="K38" s="48">
        <f t="shared" si="1"/>
        <v>0</v>
      </c>
      <c r="M38" s="14"/>
    </row>
    <row r="39" spans="1:15" ht="12.75" customHeight="1" x14ac:dyDescent="0.2">
      <c r="A39">
        <f>+MAX($A$8:A38)+1</f>
        <v>31</v>
      </c>
      <c r="B39" t="s">
        <v>455</v>
      </c>
      <c r="C39" t="s">
        <v>68</v>
      </c>
      <c r="D39" t="s">
        <v>22</v>
      </c>
      <c r="E39" s="28">
        <v>136679</v>
      </c>
      <c r="F39" s="13">
        <v>737.99826050000001</v>
      </c>
      <c r="G39" s="14">
        <f t="shared" si="0"/>
        <v>1.2999999999999999E-2</v>
      </c>
      <c r="H39" s="15"/>
      <c r="J39" s="14" t="s">
        <v>64</v>
      </c>
      <c r="K39" s="48">
        <f>+SUMIFS($G$5:$G$999,$B$5:$B$999,"CBLO / Reverse Repo Investments")+SUMIFS($G$5:$G$999,$B$5:$B$999,"Net Receivable/Payable")</f>
        <v>3.6199999999999996E-2</v>
      </c>
      <c r="M39" s="14"/>
    </row>
    <row r="40" spans="1:15" ht="12.75" customHeight="1" x14ac:dyDescent="0.2">
      <c r="A40">
        <f>+MAX($A$8:A39)+1</f>
        <v>32</v>
      </c>
      <c r="B40" t="s">
        <v>40</v>
      </c>
      <c r="C40" t="s">
        <v>42</v>
      </c>
      <c r="D40" t="s">
        <v>10</v>
      </c>
      <c r="E40" s="28">
        <v>434753</v>
      </c>
      <c r="F40" s="13">
        <v>735.16732300000001</v>
      </c>
      <c r="G40" s="14">
        <f t="shared" si="0"/>
        <v>1.29E-2</v>
      </c>
      <c r="H40" s="15"/>
      <c r="L40" s="54"/>
    </row>
    <row r="41" spans="1:15" ht="12.75" customHeight="1" x14ac:dyDescent="0.2">
      <c r="A41">
        <f>+MAX($A$8:A40)+1</f>
        <v>33</v>
      </c>
      <c r="B41" t="s">
        <v>304</v>
      </c>
      <c r="C41" t="s">
        <v>424</v>
      </c>
      <c r="D41" t="s">
        <v>10</v>
      </c>
      <c r="E41" s="28">
        <v>623711</v>
      </c>
      <c r="F41" s="13">
        <v>710.40682900000002</v>
      </c>
      <c r="G41" s="14">
        <f t="shared" ref="G41:G65" si="2">+ROUND(F41/VLOOKUP("Grand Total",$B$4:$F$286,5,0),4)</f>
        <v>1.2500000000000001E-2</v>
      </c>
      <c r="H41" s="15"/>
    </row>
    <row r="42" spans="1:15" ht="12.75" customHeight="1" x14ac:dyDescent="0.2">
      <c r="A42">
        <f>+MAX($A$8:A41)+1</f>
        <v>34</v>
      </c>
      <c r="B42" t="s">
        <v>196</v>
      </c>
      <c r="C42" t="s">
        <v>15</v>
      </c>
      <c r="D42" t="s">
        <v>14</v>
      </c>
      <c r="E42" s="28">
        <v>72142</v>
      </c>
      <c r="F42" s="13">
        <v>704.17806200000007</v>
      </c>
      <c r="G42" s="14">
        <f t="shared" si="2"/>
        <v>1.24E-2</v>
      </c>
      <c r="H42" s="15"/>
    </row>
    <row r="43" spans="1:15" ht="12.75" customHeight="1" x14ac:dyDescent="0.2">
      <c r="A43">
        <f>+MAX($A$8:A42)+1</f>
        <v>35</v>
      </c>
      <c r="B43" t="s">
        <v>200</v>
      </c>
      <c r="C43" t="s">
        <v>25</v>
      </c>
      <c r="D43" t="s">
        <v>14</v>
      </c>
      <c r="E43" s="28">
        <v>82486</v>
      </c>
      <c r="F43" s="13">
        <v>699.48127999999997</v>
      </c>
      <c r="G43" s="14">
        <f t="shared" si="2"/>
        <v>1.23E-2</v>
      </c>
      <c r="H43" s="15"/>
    </row>
    <row r="44" spans="1:15" ht="12.75" customHeight="1" x14ac:dyDescent="0.2">
      <c r="A44">
        <f>+MAX($A$8:A43)+1</f>
        <v>36</v>
      </c>
      <c r="B44" t="s">
        <v>347</v>
      </c>
      <c r="C44" t="s">
        <v>348</v>
      </c>
      <c r="D44" t="s">
        <v>18</v>
      </c>
      <c r="E44" s="28">
        <v>60299</v>
      </c>
      <c r="F44" s="13">
        <v>676.88642449999998</v>
      </c>
      <c r="G44" s="14">
        <f t="shared" si="2"/>
        <v>1.1900000000000001E-2</v>
      </c>
      <c r="H44" s="15"/>
    </row>
    <row r="45" spans="1:15" ht="12.75" customHeight="1" x14ac:dyDescent="0.2">
      <c r="A45">
        <f>+MAX($A$8:A44)+1</f>
        <v>37</v>
      </c>
      <c r="B45" t="s">
        <v>215</v>
      </c>
      <c r="C45" t="s">
        <v>75</v>
      </c>
      <c r="D45" t="s">
        <v>529</v>
      </c>
      <c r="E45" s="28">
        <v>524907</v>
      </c>
      <c r="F45" s="13">
        <v>648.78505200000006</v>
      </c>
      <c r="G45" s="14">
        <f t="shared" si="2"/>
        <v>1.14E-2</v>
      </c>
      <c r="H45" s="15"/>
    </row>
    <row r="46" spans="1:15" ht="12.75" customHeight="1" x14ac:dyDescent="0.2">
      <c r="A46">
        <f>+MAX($A$8:A45)+1</f>
        <v>38</v>
      </c>
      <c r="B46" t="s">
        <v>532</v>
      </c>
      <c r="C46" t="s">
        <v>533</v>
      </c>
      <c r="D46" t="s">
        <v>24</v>
      </c>
      <c r="E46" s="28">
        <v>48012</v>
      </c>
      <c r="F46" s="13">
        <v>637.38330600000006</v>
      </c>
      <c r="G46" s="14">
        <f t="shared" si="2"/>
        <v>1.12E-2</v>
      </c>
      <c r="H46" s="15"/>
    </row>
    <row r="47" spans="1:15" ht="12.75" customHeight="1" x14ac:dyDescent="0.2">
      <c r="A47">
        <f>+MAX($A$8:A46)+1</f>
        <v>39</v>
      </c>
      <c r="B47" t="s">
        <v>596</v>
      </c>
      <c r="C47" t="s">
        <v>501</v>
      </c>
      <c r="D47" t="s">
        <v>22</v>
      </c>
      <c r="E47" s="28">
        <v>204217</v>
      </c>
      <c r="F47" s="13">
        <v>632.97059149999995</v>
      </c>
      <c r="G47" s="14">
        <f t="shared" si="2"/>
        <v>1.11E-2</v>
      </c>
      <c r="H47" s="15"/>
    </row>
    <row r="48" spans="1:15" ht="12.75" customHeight="1" x14ac:dyDescent="0.2">
      <c r="A48">
        <f>+MAX($A$8:A47)+1</f>
        <v>40</v>
      </c>
      <c r="B48" t="s">
        <v>530</v>
      </c>
      <c r="C48" t="s">
        <v>531</v>
      </c>
      <c r="D48" t="s">
        <v>43</v>
      </c>
      <c r="E48" s="28">
        <v>63940</v>
      </c>
      <c r="F48" s="13">
        <v>617.14887999999996</v>
      </c>
      <c r="G48" s="14">
        <f t="shared" si="2"/>
        <v>1.0800000000000001E-2</v>
      </c>
      <c r="H48" s="15"/>
    </row>
    <row r="49" spans="1:11" ht="12.75" customHeight="1" x14ac:dyDescent="0.2">
      <c r="A49">
        <f>+MAX($A$8:A48)+1</f>
        <v>41</v>
      </c>
      <c r="B49" t="s">
        <v>218</v>
      </c>
      <c r="C49" t="s">
        <v>65</v>
      </c>
      <c r="D49" t="s">
        <v>34</v>
      </c>
      <c r="E49" s="28">
        <v>122695</v>
      </c>
      <c r="F49" s="13">
        <v>609.11932750000005</v>
      </c>
      <c r="G49" s="14">
        <f t="shared" si="2"/>
        <v>1.0699999999999999E-2</v>
      </c>
      <c r="H49" s="15"/>
    </row>
    <row r="50" spans="1:11" ht="12.75" customHeight="1" x14ac:dyDescent="0.2">
      <c r="A50">
        <f>+MAX($A$8:A49)+1</f>
        <v>42</v>
      </c>
      <c r="B50" t="s">
        <v>601</v>
      </c>
      <c r="C50" t="s">
        <v>602</v>
      </c>
      <c r="D50" t="s">
        <v>10</v>
      </c>
      <c r="E50" s="28">
        <v>853115</v>
      </c>
      <c r="F50" s="13">
        <v>603.15230499999996</v>
      </c>
      <c r="G50" s="14">
        <f t="shared" si="2"/>
        <v>1.06E-2</v>
      </c>
      <c r="H50" s="15"/>
    </row>
    <row r="51" spans="1:11" ht="12.75" customHeight="1" x14ac:dyDescent="0.2">
      <c r="A51">
        <f>+MAX($A$8:A50)+1</f>
        <v>43</v>
      </c>
      <c r="B51" t="s">
        <v>352</v>
      </c>
      <c r="C51" t="s">
        <v>353</v>
      </c>
      <c r="D51" t="s">
        <v>14</v>
      </c>
      <c r="E51" s="28">
        <v>178610</v>
      </c>
      <c r="F51" s="13">
        <v>602.09430999999995</v>
      </c>
      <c r="G51" s="14">
        <f t="shared" si="2"/>
        <v>1.06E-2</v>
      </c>
      <c r="H51" s="15"/>
    </row>
    <row r="52" spans="1:11" ht="12.75" customHeight="1" x14ac:dyDescent="0.2">
      <c r="A52">
        <f>+MAX($A$8:A51)+1</f>
        <v>44</v>
      </c>
      <c r="B52" t="s">
        <v>234</v>
      </c>
      <c r="C52" t="s">
        <v>82</v>
      </c>
      <c r="D52" t="s">
        <v>45</v>
      </c>
      <c r="E52" s="28">
        <v>200927</v>
      </c>
      <c r="F52" s="13">
        <v>601.57543799999996</v>
      </c>
      <c r="G52" s="14">
        <f t="shared" si="2"/>
        <v>1.06E-2</v>
      </c>
      <c r="H52" s="15"/>
    </row>
    <row r="53" spans="1:11" ht="12.75" customHeight="1" x14ac:dyDescent="0.2">
      <c r="A53">
        <f>+MAX($A$8:A52)+1</f>
        <v>45</v>
      </c>
      <c r="B53" t="s">
        <v>208</v>
      </c>
      <c r="C53" t="s">
        <v>53</v>
      </c>
      <c r="D53" t="s">
        <v>18</v>
      </c>
      <c r="E53" s="28">
        <v>13982</v>
      </c>
      <c r="F53" s="13">
        <v>587.77531599999998</v>
      </c>
      <c r="G53" s="14">
        <f t="shared" si="2"/>
        <v>1.03E-2</v>
      </c>
      <c r="H53" s="15"/>
    </row>
    <row r="54" spans="1:11" ht="12.75" customHeight="1" x14ac:dyDescent="0.2">
      <c r="A54">
        <f>+MAX($A$8:A53)+1</f>
        <v>46</v>
      </c>
      <c r="B54" s="65" t="s">
        <v>168</v>
      </c>
      <c r="C54" s="65" t="s">
        <v>184</v>
      </c>
      <c r="D54" t="s">
        <v>10</v>
      </c>
      <c r="E54" s="28">
        <v>154999</v>
      </c>
      <c r="F54" s="13">
        <v>577.91377149999994</v>
      </c>
      <c r="G54" s="14">
        <f t="shared" si="2"/>
        <v>1.01E-2</v>
      </c>
      <c r="H54" s="15"/>
    </row>
    <row r="55" spans="1:11" ht="12.75" customHeight="1" x14ac:dyDescent="0.2">
      <c r="A55">
        <f>+MAX($A$8:A54)+1</f>
        <v>47</v>
      </c>
      <c r="B55" t="s">
        <v>318</v>
      </c>
      <c r="C55" t="s">
        <v>67</v>
      </c>
      <c r="D55" t="s">
        <v>18</v>
      </c>
      <c r="E55" s="28">
        <v>328159</v>
      </c>
      <c r="F55" s="13">
        <v>570.50442150000003</v>
      </c>
      <c r="G55" s="14">
        <f t="shared" si="2"/>
        <v>0.01</v>
      </c>
      <c r="H55" s="15"/>
    </row>
    <row r="56" spans="1:11" ht="12.75" customHeight="1" x14ac:dyDescent="0.2">
      <c r="A56">
        <f>+MAX($A$8:A55)+1</f>
        <v>48</v>
      </c>
      <c r="B56" t="s">
        <v>681</v>
      </c>
      <c r="C56" t="s">
        <v>682</v>
      </c>
      <c r="D56" t="s">
        <v>36</v>
      </c>
      <c r="E56" s="28">
        <v>600000</v>
      </c>
      <c r="F56" s="13">
        <v>568.20000000000005</v>
      </c>
      <c r="G56" s="14">
        <f t="shared" si="2"/>
        <v>0.01</v>
      </c>
      <c r="H56" s="15"/>
    </row>
    <row r="57" spans="1:11" ht="12.75" customHeight="1" x14ac:dyDescent="0.2">
      <c r="A57">
        <f>+MAX($A$8:A56)+1</f>
        <v>49</v>
      </c>
      <c r="B57" t="s">
        <v>209</v>
      </c>
      <c r="C57" t="s">
        <v>50</v>
      </c>
      <c r="D57" t="s">
        <v>22</v>
      </c>
      <c r="E57" s="28">
        <v>10546</v>
      </c>
      <c r="F57" s="13">
        <v>556.22240499999998</v>
      </c>
      <c r="G57" s="14">
        <f t="shared" si="2"/>
        <v>9.7999999999999997E-3</v>
      </c>
      <c r="H57" s="15"/>
      <c r="J57" s="14"/>
      <c r="K57" s="48"/>
    </row>
    <row r="58" spans="1:11" ht="12.75" customHeight="1" x14ac:dyDescent="0.2">
      <c r="A58">
        <f>+MAX($A$8:A57)+1</f>
        <v>50</v>
      </c>
      <c r="B58" t="s">
        <v>328</v>
      </c>
      <c r="C58" t="s">
        <v>329</v>
      </c>
      <c r="D58" t="s">
        <v>10</v>
      </c>
      <c r="E58" s="28">
        <v>323668</v>
      </c>
      <c r="F58" s="13">
        <v>541.98206600000003</v>
      </c>
      <c r="G58" s="14">
        <f t="shared" si="2"/>
        <v>9.4999999999999998E-3</v>
      </c>
      <c r="H58" s="15"/>
    </row>
    <row r="59" spans="1:11" ht="12.75" customHeight="1" x14ac:dyDescent="0.2">
      <c r="A59">
        <f>+MAX($A$8:A58)+1</f>
        <v>51</v>
      </c>
      <c r="B59" t="s">
        <v>204</v>
      </c>
      <c r="C59" t="s">
        <v>35</v>
      </c>
      <c r="D59" t="s">
        <v>18</v>
      </c>
      <c r="E59" s="28">
        <v>40937</v>
      </c>
      <c r="F59" s="13">
        <v>537.052503</v>
      </c>
      <c r="G59" s="14">
        <f t="shared" si="2"/>
        <v>9.4000000000000004E-3</v>
      </c>
      <c r="H59" s="15"/>
    </row>
    <row r="60" spans="1:11" ht="12.75" customHeight="1" x14ac:dyDescent="0.2">
      <c r="A60">
        <f>+MAX($A$8:A59)+1</f>
        <v>52</v>
      </c>
      <c r="B60" t="s">
        <v>599</v>
      </c>
      <c r="C60" t="s">
        <v>600</v>
      </c>
      <c r="D60" t="s">
        <v>45</v>
      </c>
      <c r="E60" s="28">
        <v>654548</v>
      </c>
      <c r="F60" s="13">
        <v>535.74753799999996</v>
      </c>
      <c r="G60" s="14">
        <f t="shared" si="2"/>
        <v>9.4000000000000004E-3</v>
      </c>
      <c r="H60" s="15"/>
    </row>
    <row r="61" spans="1:11" ht="12.75" customHeight="1" x14ac:dyDescent="0.2">
      <c r="A61">
        <f>+MAX($A$8:A60)+1</f>
        <v>53</v>
      </c>
      <c r="B61" t="s">
        <v>211</v>
      </c>
      <c r="C61" t="s">
        <v>33</v>
      </c>
      <c r="D61" t="s">
        <v>18</v>
      </c>
      <c r="E61" s="28">
        <v>53292</v>
      </c>
      <c r="F61" s="13">
        <v>532.68018600000005</v>
      </c>
      <c r="G61" s="14">
        <f t="shared" si="2"/>
        <v>9.2999999999999992E-3</v>
      </c>
      <c r="H61" s="15"/>
    </row>
    <row r="62" spans="1:11" ht="12.75" customHeight="1" x14ac:dyDescent="0.2">
      <c r="A62">
        <f>+MAX($A$8:A61)+1</f>
        <v>54</v>
      </c>
      <c r="B62" t="s">
        <v>326</v>
      </c>
      <c r="C62" t="s">
        <v>73</v>
      </c>
      <c r="D62" t="s">
        <v>28</v>
      </c>
      <c r="E62" s="28">
        <v>1365791</v>
      </c>
      <c r="F62" s="13">
        <v>525.82953499999996</v>
      </c>
      <c r="G62" s="14">
        <f t="shared" si="2"/>
        <v>9.1999999999999998E-3</v>
      </c>
      <c r="H62" s="15"/>
    </row>
    <row r="63" spans="1:11" ht="12.75" customHeight="1" x14ac:dyDescent="0.2">
      <c r="A63">
        <f>+MAX($A$8:A62)+1</f>
        <v>55</v>
      </c>
      <c r="B63" t="s">
        <v>221</v>
      </c>
      <c r="C63" t="s">
        <v>29</v>
      </c>
      <c r="D63" t="s">
        <v>10</v>
      </c>
      <c r="E63" s="28">
        <v>97342</v>
      </c>
      <c r="F63" s="13">
        <v>521.16906799999992</v>
      </c>
      <c r="G63" s="14">
        <f t="shared" si="2"/>
        <v>9.1000000000000004E-3</v>
      </c>
      <c r="H63" s="15"/>
    </row>
    <row r="64" spans="1:11" ht="12.75" customHeight="1" x14ac:dyDescent="0.2">
      <c r="A64">
        <f>+MAX($A$8:A63)+1</f>
        <v>56</v>
      </c>
      <c r="B64" t="s">
        <v>255</v>
      </c>
      <c r="C64" t="s">
        <v>595</v>
      </c>
      <c r="D64" t="s">
        <v>10</v>
      </c>
      <c r="E64" s="28">
        <v>168180</v>
      </c>
      <c r="F64" s="13">
        <v>516.14441999999997</v>
      </c>
      <c r="G64" s="14">
        <f t="shared" si="2"/>
        <v>9.1000000000000004E-3</v>
      </c>
      <c r="H64" s="15"/>
    </row>
    <row r="65" spans="1:9" ht="12.75" customHeight="1" x14ac:dyDescent="0.2">
      <c r="A65">
        <f>+MAX($A$8:A64)+1</f>
        <v>57</v>
      </c>
      <c r="B65" s="65" t="s">
        <v>203</v>
      </c>
      <c r="C65" t="s">
        <v>23</v>
      </c>
      <c r="D65" t="s">
        <v>529</v>
      </c>
      <c r="E65" s="28">
        <v>149155</v>
      </c>
      <c r="F65" s="13">
        <v>515.77799000000005</v>
      </c>
      <c r="G65" s="14">
        <f t="shared" si="2"/>
        <v>9.1000000000000004E-3</v>
      </c>
      <c r="H65" s="15"/>
    </row>
    <row r="66" spans="1:9" ht="12.75" customHeight="1" x14ac:dyDescent="0.2">
      <c r="A66">
        <f>+MAX($A$8:A65)+1</f>
        <v>58</v>
      </c>
      <c r="B66" s="65" t="s">
        <v>227</v>
      </c>
      <c r="C66" t="s">
        <v>70</v>
      </c>
      <c r="D66" t="s">
        <v>10</v>
      </c>
      <c r="E66" s="28">
        <v>451878</v>
      </c>
      <c r="F66" s="13">
        <v>500.00300700000003</v>
      </c>
      <c r="G66" s="14">
        <f t="shared" ref="G66:G70" si="3">+ROUND(F66/VLOOKUP("Grand Total",$B$4:$F$286,5,0),4)</f>
        <v>8.8000000000000005E-3</v>
      </c>
      <c r="H66" s="15"/>
    </row>
    <row r="67" spans="1:9" ht="12.75" customHeight="1" x14ac:dyDescent="0.2">
      <c r="A67">
        <f>+MAX($A$8:A66)+1</f>
        <v>59</v>
      </c>
      <c r="B67" s="65" t="s">
        <v>269</v>
      </c>
      <c r="C67" t="s">
        <v>134</v>
      </c>
      <c r="D67" t="s">
        <v>30</v>
      </c>
      <c r="E67" s="28">
        <v>105471</v>
      </c>
      <c r="F67" s="13">
        <v>421.567587</v>
      </c>
      <c r="G67" s="14">
        <f t="shared" si="3"/>
        <v>7.4000000000000003E-3</v>
      </c>
      <c r="H67" s="15"/>
    </row>
    <row r="68" spans="1:9" ht="12.75" customHeight="1" x14ac:dyDescent="0.2">
      <c r="A68">
        <f>+MAX($A$8:A67)+1</f>
        <v>60</v>
      </c>
      <c r="B68" s="65" t="s">
        <v>217</v>
      </c>
      <c r="C68" t="s">
        <v>59</v>
      </c>
      <c r="D68" t="s">
        <v>22</v>
      </c>
      <c r="E68" s="28">
        <v>44437</v>
      </c>
      <c r="F68" s="13">
        <v>417.974422</v>
      </c>
      <c r="G68" s="14">
        <f t="shared" si="3"/>
        <v>7.3000000000000001E-3</v>
      </c>
      <c r="H68" s="15"/>
    </row>
    <row r="69" spans="1:9" ht="12.75" customHeight="1" x14ac:dyDescent="0.2">
      <c r="A69">
        <f>+MAX($A$8:A68)+1</f>
        <v>61</v>
      </c>
      <c r="B69" s="65" t="s">
        <v>222</v>
      </c>
      <c r="C69" t="s">
        <v>74</v>
      </c>
      <c r="D69" t="s">
        <v>32</v>
      </c>
      <c r="E69" s="28">
        <v>144000</v>
      </c>
      <c r="F69" s="13">
        <v>330.84</v>
      </c>
      <c r="G69" s="14">
        <f t="shared" si="3"/>
        <v>5.7999999999999996E-3</v>
      </c>
      <c r="H69" s="15"/>
    </row>
    <row r="70" spans="1:9" ht="12.75" customHeight="1" x14ac:dyDescent="0.2">
      <c r="A70">
        <f>+MAX($A$8:A69)+1</f>
        <v>62</v>
      </c>
      <c r="B70" s="65" t="s">
        <v>223</v>
      </c>
      <c r="C70" t="s">
        <v>76</v>
      </c>
      <c r="D70" t="s">
        <v>36</v>
      </c>
      <c r="E70" s="28">
        <v>3622594</v>
      </c>
      <c r="F70" s="13">
        <v>307.92048999999997</v>
      </c>
      <c r="G70" s="14">
        <f t="shared" si="3"/>
        <v>5.4000000000000003E-3</v>
      </c>
      <c r="H70" s="15"/>
    </row>
    <row r="71" spans="1:9" ht="12.75" customHeight="1" x14ac:dyDescent="0.2">
      <c r="A71">
        <f>+MAX($A$8:A70)+1</f>
        <v>63</v>
      </c>
      <c r="B71" s="65" t="s">
        <v>456</v>
      </c>
      <c r="C71" t="s">
        <v>457</v>
      </c>
      <c r="D71" t="s">
        <v>458</v>
      </c>
      <c r="E71" s="28">
        <v>81066</v>
      </c>
      <c r="F71" s="13">
        <v>261.19465200000002</v>
      </c>
      <c r="G71" s="14">
        <f t="shared" ref="G71:G73" si="4">+ROUND(F71/VLOOKUP("Grand Total",$B$4:$F$286,5,0),4)</f>
        <v>4.5999999999999999E-3</v>
      </c>
      <c r="H71" s="15"/>
    </row>
    <row r="72" spans="1:9" ht="12.75" customHeight="1" x14ac:dyDescent="0.2">
      <c r="A72">
        <f>+MAX($A$8:A71)+1</f>
        <v>64</v>
      </c>
      <c r="B72" s="65" t="s">
        <v>683</v>
      </c>
      <c r="C72" t="s">
        <v>684</v>
      </c>
      <c r="D72" t="s">
        <v>26</v>
      </c>
      <c r="E72" s="28">
        <v>2444</v>
      </c>
      <c r="F72" s="13">
        <v>148.75406000000001</v>
      </c>
      <c r="G72" s="14">
        <f t="shared" si="4"/>
        <v>2.5999999999999999E-3</v>
      </c>
      <c r="H72" s="15"/>
    </row>
    <row r="73" spans="1:9" ht="12.75" customHeight="1" x14ac:dyDescent="0.2">
      <c r="A73">
        <f>+MAX($A$8:A72)+1</f>
        <v>65</v>
      </c>
      <c r="B73" s="65" t="s">
        <v>484</v>
      </c>
      <c r="C73" t="s">
        <v>84</v>
      </c>
      <c r="D73" t="s">
        <v>32</v>
      </c>
      <c r="E73" s="28">
        <v>100000</v>
      </c>
      <c r="F73" s="13">
        <v>5.54</v>
      </c>
      <c r="G73" s="14">
        <f t="shared" si="4"/>
        <v>1E-4</v>
      </c>
      <c r="H73" s="15"/>
    </row>
    <row r="74" spans="1:9" ht="12.75" customHeight="1" x14ac:dyDescent="0.2">
      <c r="A74">
        <f>+MAX($A$8:A73)+1</f>
        <v>66</v>
      </c>
      <c r="B74" s="65" t="s">
        <v>653</v>
      </c>
      <c r="C74" t="s">
        <v>85</v>
      </c>
      <c r="D74" t="s">
        <v>103</v>
      </c>
      <c r="E74" s="28">
        <v>511578</v>
      </c>
      <c r="F74" s="13">
        <v>0</v>
      </c>
      <c r="G74" s="108" t="s">
        <v>585</v>
      </c>
      <c r="H74" s="15"/>
    </row>
    <row r="75" spans="1:9" ht="12.75" customHeight="1" x14ac:dyDescent="0.2">
      <c r="B75" s="18" t="s">
        <v>86</v>
      </c>
      <c r="C75" s="18"/>
      <c r="D75" s="18"/>
      <c r="E75" s="29"/>
      <c r="F75" s="19">
        <f>SUM(F9:F74)</f>
        <v>54287.890841</v>
      </c>
      <c r="G75" s="20">
        <f>SUM(G9:G74)</f>
        <v>0.95279999999999976</v>
      </c>
      <c r="H75" s="21"/>
      <c r="I75" s="35"/>
    </row>
    <row r="76" spans="1:9" ht="12.75" customHeight="1" x14ac:dyDescent="0.2">
      <c r="F76" s="13"/>
      <c r="G76" s="14"/>
      <c r="H76" s="15"/>
    </row>
    <row r="77" spans="1:9" ht="12.75" customHeight="1" x14ac:dyDescent="0.2">
      <c r="B77" s="16" t="s">
        <v>312</v>
      </c>
      <c r="C77" s="16"/>
      <c r="F77" s="13"/>
      <c r="G77" s="14"/>
      <c r="H77" s="15"/>
    </row>
    <row r="78" spans="1:9" ht="12.75" customHeight="1" x14ac:dyDescent="0.2">
      <c r="A78">
        <f>+MAX($A$8:A77)+1</f>
        <v>67</v>
      </c>
      <c r="B78" t="s">
        <v>238</v>
      </c>
      <c r="C78" s="122" t="s">
        <v>584</v>
      </c>
      <c r="D78" t="s">
        <v>58</v>
      </c>
      <c r="E78" s="28">
        <v>54000</v>
      </c>
      <c r="F78" s="13">
        <v>0</v>
      </c>
      <c r="G78" s="108" t="s">
        <v>585</v>
      </c>
      <c r="H78" s="15"/>
    </row>
    <row r="79" spans="1:9" ht="12.75" customHeight="1" x14ac:dyDescent="0.2">
      <c r="A79">
        <f>+MAX($A$8:A78)+1</f>
        <v>68</v>
      </c>
      <c r="B79" t="s">
        <v>236</v>
      </c>
      <c r="C79" s="65" t="s">
        <v>87</v>
      </c>
      <c r="D79" s="65" t="s">
        <v>54</v>
      </c>
      <c r="E79" s="28">
        <v>200000</v>
      </c>
      <c r="F79" s="13">
        <v>0</v>
      </c>
      <c r="G79" s="108" t="s">
        <v>585</v>
      </c>
      <c r="H79" s="15"/>
    </row>
    <row r="80" spans="1:9" ht="12.75" customHeight="1" x14ac:dyDescent="0.2">
      <c r="A80">
        <f>+MAX($A$8:A79)+1</f>
        <v>69</v>
      </c>
      <c r="B80" t="s">
        <v>242</v>
      </c>
      <c r="C80" s="65" t="s">
        <v>91</v>
      </c>
      <c r="D80" s="65" t="s">
        <v>454</v>
      </c>
      <c r="E80" s="28">
        <v>176305</v>
      </c>
      <c r="F80" s="13">
        <v>0</v>
      </c>
      <c r="G80" s="108" t="s">
        <v>585</v>
      </c>
      <c r="H80" s="15"/>
    </row>
    <row r="81" spans="1:9" ht="12.75" customHeight="1" x14ac:dyDescent="0.2">
      <c r="A81">
        <f>+MAX($A$8:A80)+1</f>
        <v>70</v>
      </c>
      <c r="B81" t="s">
        <v>237</v>
      </c>
      <c r="C81" s="122" t="s">
        <v>584</v>
      </c>
      <c r="D81" s="1" t="s">
        <v>56</v>
      </c>
      <c r="E81" s="28">
        <v>93200</v>
      </c>
      <c r="F81" s="13">
        <v>0</v>
      </c>
      <c r="G81" s="108" t="s">
        <v>585</v>
      </c>
      <c r="H81" s="15"/>
    </row>
    <row r="82" spans="1:9" ht="12.75" customHeight="1" x14ac:dyDescent="0.2">
      <c r="A82">
        <f>+MAX($A$8:A81)+1</f>
        <v>71</v>
      </c>
      <c r="B82" t="s">
        <v>241</v>
      </c>
      <c r="C82" t="s">
        <v>90</v>
      </c>
      <c r="D82" s="1" t="s">
        <v>38</v>
      </c>
      <c r="E82" s="28">
        <v>200</v>
      </c>
      <c r="F82" s="13">
        <v>0</v>
      </c>
      <c r="G82" s="108" t="s">
        <v>585</v>
      </c>
      <c r="H82" s="15"/>
    </row>
    <row r="83" spans="1:9" ht="12.75" customHeight="1" x14ac:dyDescent="0.2">
      <c r="A83">
        <f>+MAX($A$8:A82)+1</f>
        <v>72</v>
      </c>
      <c r="B83" t="s">
        <v>240</v>
      </c>
      <c r="C83" s="65" t="s">
        <v>89</v>
      </c>
      <c r="D83" s="1" t="s">
        <v>62</v>
      </c>
      <c r="E83" s="28">
        <v>39500</v>
      </c>
      <c r="F83" s="13">
        <v>0</v>
      </c>
      <c r="G83" s="108" t="s">
        <v>585</v>
      </c>
      <c r="H83" s="15"/>
    </row>
    <row r="84" spans="1:9" ht="12.75" customHeight="1" x14ac:dyDescent="0.2">
      <c r="A84">
        <f>+MAX($A$8:A83)+1</f>
        <v>73</v>
      </c>
      <c r="B84" t="s">
        <v>239</v>
      </c>
      <c r="C84" t="s">
        <v>88</v>
      </c>
      <c r="D84" s="1" t="s">
        <v>60</v>
      </c>
      <c r="E84" s="28">
        <v>50800</v>
      </c>
      <c r="F84" s="13">
        <v>0</v>
      </c>
      <c r="G84" s="108" t="s">
        <v>585</v>
      </c>
      <c r="H84" s="15"/>
    </row>
    <row r="85" spans="1:9" ht="12.75" customHeight="1" x14ac:dyDescent="0.2">
      <c r="B85" s="18" t="s">
        <v>86</v>
      </c>
      <c r="C85" s="18"/>
      <c r="D85" s="18"/>
      <c r="E85" s="29"/>
      <c r="F85" s="19">
        <f>SUM(F78:F84)</f>
        <v>0</v>
      </c>
      <c r="G85" s="51" t="s">
        <v>585</v>
      </c>
      <c r="H85" s="21"/>
      <c r="I85" s="35"/>
    </row>
    <row r="86" spans="1:9" ht="12.75" customHeight="1" x14ac:dyDescent="0.2">
      <c r="F86" s="13"/>
      <c r="G86" s="14"/>
      <c r="H86" s="15"/>
    </row>
    <row r="87" spans="1:9" ht="12.75" customHeight="1" x14ac:dyDescent="0.2">
      <c r="B87" s="16" t="s">
        <v>93</v>
      </c>
      <c r="C87" s="16"/>
      <c r="F87" s="13"/>
      <c r="G87" s="14"/>
      <c r="H87" s="15"/>
    </row>
    <row r="88" spans="1:9" ht="12.75" customHeight="1" x14ac:dyDescent="0.2">
      <c r="A88">
        <f>+MAX($A$8:A87)+1</f>
        <v>74</v>
      </c>
      <c r="B88" t="s">
        <v>482</v>
      </c>
      <c r="C88" s="65" t="s">
        <v>307</v>
      </c>
      <c r="D88" t="s">
        <v>327</v>
      </c>
      <c r="E88" s="28">
        <v>2014991.537</v>
      </c>
      <c r="F88" s="13">
        <v>626.97469169999999</v>
      </c>
      <c r="G88" s="14">
        <f>+ROUND(F88/VLOOKUP("Grand Total",$B$4:$F$286,5,0),4)</f>
        <v>1.0999999999999999E-2</v>
      </c>
      <c r="H88" s="15"/>
    </row>
    <row r="89" spans="1:9" ht="12.75" customHeight="1" x14ac:dyDescent="0.2">
      <c r="B89" s="18" t="s">
        <v>86</v>
      </c>
      <c r="C89" s="18"/>
      <c r="D89" s="18"/>
      <c r="E89" s="29"/>
      <c r="F89" s="19">
        <f>SUM(F88:F88)</f>
        <v>626.97469169999999</v>
      </c>
      <c r="G89" s="51">
        <f>SUM(G88:G88)</f>
        <v>1.0999999999999999E-2</v>
      </c>
      <c r="H89" s="21"/>
      <c r="I89" s="35"/>
    </row>
    <row r="90" spans="1:9" ht="12.75" customHeight="1" x14ac:dyDescent="0.2">
      <c r="F90" s="13"/>
      <c r="G90" s="14"/>
      <c r="H90" s="15"/>
    </row>
    <row r="91" spans="1:9" ht="12.75" customHeight="1" x14ac:dyDescent="0.2">
      <c r="A91" s="95" t="s">
        <v>387</v>
      </c>
      <c r="B91" s="16" t="s">
        <v>94</v>
      </c>
      <c r="C91" s="16"/>
      <c r="F91" s="13">
        <v>2291.4801177999998</v>
      </c>
      <c r="G91" s="14">
        <f>+ROUND(F91/VLOOKUP("Grand Total",$B$4:$F$286,5,0),4)</f>
        <v>4.02E-2</v>
      </c>
      <c r="H91" s="15">
        <v>43073</v>
      </c>
    </row>
    <row r="92" spans="1:9" ht="12.75" customHeight="1" x14ac:dyDescent="0.2">
      <c r="B92" s="18" t="s">
        <v>86</v>
      </c>
      <c r="C92" s="18"/>
      <c r="D92" s="18"/>
      <c r="E92" s="29"/>
      <c r="F92" s="19">
        <f>SUM(F91)</f>
        <v>2291.4801177999998</v>
      </c>
      <c r="G92" s="20">
        <f>SUM(G91)</f>
        <v>4.02E-2</v>
      </c>
      <c r="H92" s="21"/>
      <c r="I92" s="35"/>
    </row>
    <row r="93" spans="1:9" ht="12.75" customHeight="1" x14ac:dyDescent="0.2">
      <c r="F93" s="13"/>
      <c r="G93" s="14"/>
      <c r="H93" s="15"/>
    </row>
    <row r="94" spans="1:9" ht="12.75" customHeight="1" x14ac:dyDescent="0.2">
      <c r="B94" s="16" t="s">
        <v>95</v>
      </c>
      <c r="C94" s="16"/>
      <c r="F94" s="13"/>
      <c r="G94" s="14"/>
      <c r="H94" s="15"/>
    </row>
    <row r="95" spans="1:9" ht="12.75" customHeight="1" x14ac:dyDescent="0.2">
      <c r="B95" s="16" t="s">
        <v>96</v>
      </c>
      <c r="C95" s="16"/>
      <c r="F95" s="13">
        <v>-233.85457559999486</v>
      </c>
      <c r="G95" s="14">
        <f>+ROUND(F95/VLOOKUP("Grand Total",$B$4:$F$286,5,0),4)+0.01%</f>
        <v>-4.0000000000000001E-3</v>
      </c>
      <c r="H95" s="15"/>
    </row>
    <row r="96" spans="1:9" ht="12.75" customHeight="1" x14ac:dyDescent="0.2">
      <c r="B96" s="18" t="s">
        <v>86</v>
      </c>
      <c r="C96" s="18"/>
      <c r="D96" s="18"/>
      <c r="E96" s="29"/>
      <c r="F96" s="19">
        <f>SUM(F95)</f>
        <v>-233.85457559999486</v>
      </c>
      <c r="G96" s="20">
        <f>SUM(G95)</f>
        <v>-4.0000000000000001E-3</v>
      </c>
      <c r="H96" s="21"/>
      <c r="I96" s="35"/>
    </row>
    <row r="97" spans="2:9" ht="12.75" customHeight="1" x14ac:dyDescent="0.2">
      <c r="B97" s="22" t="s">
        <v>97</v>
      </c>
      <c r="C97" s="22"/>
      <c r="D97" s="22"/>
      <c r="E97" s="30"/>
      <c r="F97" s="23">
        <f>+SUMIF($B$5:B96,"Total",$F$5:F96)</f>
        <v>56972.491074900005</v>
      </c>
      <c r="G97" s="24">
        <f>+SUMIF($B$5:B96,"Total",$G$5:G96)</f>
        <v>0.99999999999999978</v>
      </c>
      <c r="H97" s="25"/>
      <c r="I97" s="35"/>
    </row>
    <row r="98" spans="2:9" ht="12.75" customHeight="1" x14ac:dyDescent="0.2"/>
    <row r="99" spans="2:9" ht="12.75" customHeight="1" x14ac:dyDescent="0.2">
      <c r="B99" s="16" t="s">
        <v>189</v>
      </c>
      <c r="C99" s="16"/>
    </row>
    <row r="100" spans="2:9" ht="12.75" customHeight="1" x14ac:dyDescent="0.2">
      <c r="B100" s="16" t="s">
        <v>190</v>
      </c>
      <c r="C100" s="16"/>
    </row>
    <row r="101" spans="2:9" ht="12.75" customHeight="1" x14ac:dyDescent="0.2">
      <c r="B101" s="16" t="s">
        <v>191</v>
      </c>
      <c r="C101" s="16"/>
      <c r="F101" s="43"/>
      <c r="G101" s="43"/>
    </row>
    <row r="102" spans="2:9" ht="12.75" customHeight="1" x14ac:dyDescent="0.2">
      <c r="B102" s="53" t="s">
        <v>315</v>
      </c>
      <c r="C102" s="16"/>
    </row>
    <row r="103" spans="2:9" ht="12.75" customHeight="1" x14ac:dyDescent="0.2"/>
    <row r="104" spans="2:9" ht="12.75" customHeight="1" x14ac:dyDescent="0.2"/>
    <row r="105" spans="2:9" ht="12.75" customHeight="1" x14ac:dyDescent="0.2"/>
    <row r="106" spans="2:9" ht="12.75" customHeight="1" x14ac:dyDescent="0.2"/>
    <row r="107" spans="2:9" ht="12.75" customHeight="1" x14ac:dyDescent="0.2"/>
    <row r="108" spans="2:9" ht="12.75" customHeight="1" x14ac:dyDescent="0.2"/>
    <row r="109" spans="2:9" ht="12.75" customHeight="1" x14ac:dyDescent="0.2"/>
    <row r="110" spans="2:9" ht="12.75" customHeight="1" x14ac:dyDescent="0.2"/>
    <row r="111" spans="2:9" ht="12.75" customHeight="1" x14ac:dyDescent="0.2"/>
    <row r="112" spans="2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</sheetData>
  <sheetProtection password="EDB4" sheet="1" objects="1" scenarios="1"/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1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7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397</v>
      </c>
      <c r="B1" s="124" t="s">
        <v>339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  <c r="I6" s="98"/>
    </row>
    <row r="7" spans="1:16" ht="12.75" customHeight="1" x14ac:dyDescent="0.2">
      <c r="B7" s="16" t="s">
        <v>92</v>
      </c>
      <c r="C7" s="16"/>
      <c r="F7" s="13"/>
      <c r="G7" s="14"/>
      <c r="H7" s="15"/>
    </row>
    <row r="8" spans="1:16" ht="12.75" customHeight="1" x14ac:dyDescent="0.2">
      <c r="B8" s="16" t="s">
        <v>358</v>
      </c>
      <c r="C8" s="16"/>
      <c r="F8" s="13"/>
      <c r="G8" s="14"/>
      <c r="H8" s="15"/>
      <c r="J8" s="17" t="s">
        <v>4</v>
      </c>
      <c r="K8" s="37" t="s">
        <v>12</v>
      </c>
      <c r="M8" s="14"/>
      <c r="N8" s="36"/>
      <c r="P8" s="14"/>
    </row>
    <row r="9" spans="1:16" ht="12.75" customHeight="1" x14ac:dyDescent="0.2">
      <c r="A9">
        <f>+MAX($A$1:A8)+1</f>
        <v>1</v>
      </c>
      <c r="B9" s="65" t="s">
        <v>198</v>
      </c>
      <c r="C9" s="65" t="s">
        <v>613</v>
      </c>
      <c r="D9" t="s">
        <v>296</v>
      </c>
      <c r="E9" s="28">
        <v>4800</v>
      </c>
      <c r="F9" s="13">
        <v>4639.7088000000003</v>
      </c>
      <c r="G9" s="14">
        <f>+ROUND(F9/VLOOKUP("Grand Total",$B$4:$F$289,5,0),4)</f>
        <v>6.5500000000000003E-2</v>
      </c>
      <c r="H9" s="15">
        <v>43264</v>
      </c>
      <c r="I9" s="99"/>
      <c r="J9" s="14" t="s">
        <v>296</v>
      </c>
      <c r="K9" s="48">
        <f>SUMIFS($G$5:$G$322,$D$5:$D$322,J9)</f>
        <v>0.18940000000000001</v>
      </c>
      <c r="M9" s="14"/>
      <c r="N9" s="36"/>
      <c r="P9" s="14"/>
    </row>
    <row r="10" spans="1:16" ht="12.75" customHeight="1" x14ac:dyDescent="0.2">
      <c r="A10">
        <f>+MAX($A$1:A9)+1</f>
        <v>2</v>
      </c>
      <c r="B10" s="65" t="s">
        <v>614</v>
      </c>
      <c r="C10" s="65" t="s">
        <v>615</v>
      </c>
      <c r="D10" t="s">
        <v>164</v>
      </c>
      <c r="E10" s="28">
        <v>1350</v>
      </c>
      <c r="F10" s="13">
        <v>1348.42725</v>
      </c>
      <c r="G10" s="14">
        <f>+ROUND(F10/VLOOKUP("Grand Total",$B$4:$F$289,5,0),4)</f>
        <v>1.9E-2</v>
      </c>
      <c r="H10" s="15">
        <v>43077</v>
      </c>
      <c r="I10" s="99"/>
      <c r="J10" s="14" t="s">
        <v>376</v>
      </c>
      <c r="K10" s="48">
        <f>SUMIFS($G$5:$G$322,$D$5:$D$322,J10)</f>
        <v>0.14430000000000001</v>
      </c>
      <c r="M10" s="14"/>
      <c r="N10" s="36"/>
      <c r="P10" s="14"/>
    </row>
    <row r="11" spans="1:16" ht="12.75" customHeight="1" x14ac:dyDescent="0.2">
      <c r="B11" s="18" t="s">
        <v>86</v>
      </c>
      <c r="C11" s="18"/>
      <c r="D11" s="18"/>
      <c r="E11" s="29"/>
      <c r="F11" s="19">
        <f>SUM(F9:F10)</f>
        <v>5988.1360500000001</v>
      </c>
      <c r="G11" s="20">
        <f>SUM(G9:G10)</f>
        <v>8.4500000000000006E-2</v>
      </c>
      <c r="H11" s="21"/>
      <c r="J11" s="14" t="s">
        <v>176</v>
      </c>
      <c r="K11" s="48">
        <f>SUMIFS($G$5:$G$322,$D$5:$D$322,J11)</f>
        <v>4.8799999999999996E-2</v>
      </c>
      <c r="M11" s="14"/>
      <c r="N11" s="36"/>
      <c r="P11" s="14"/>
    </row>
    <row r="12" spans="1:16" ht="12.75" customHeight="1" x14ac:dyDescent="0.2">
      <c r="B12" s="16"/>
      <c r="C12" s="16"/>
      <c r="F12" s="13"/>
      <c r="G12" s="14"/>
      <c r="H12" s="15"/>
      <c r="J12" s="14" t="s">
        <v>109</v>
      </c>
      <c r="K12" s="48">
        <f>SUMIFS($G$5:$G$322,$D$5:$D$322,J12)</f>
        <v>7.0899999999999991E-2</v>
      </c>
      <c r="M12" s="14"/>
    </row>
    <row r="13" spans="1:16" ht="12.75" customHeight="1" x14ac:dyDescent="0.2">
      <c r="B13" s="16" t="s">
        <v>314</v>
      </c>
      <c r="C13" s="16"/>
      <c r="F13" s="13"/>
      <c r="G13" s="14"/>
      <c r="H13" s="15"/>
      <c r="J13" s="14" t="s">
        <v>298</v>
      </c>
      <c r="K13" s="48">
        <f t="shared" ref="K13:K27" si="0">SUMIFS($G$5:$G$322,$D$5:$D$322,J13)</f>
        <v>6.7900000000000002E-2</v>
      </c>
      <c r="M13" s="14"/>
    </row>
    <row r="14" spans="1:16" ht="12.75" customHeight="1" x14ac:dyDescent="0.2">
      <c r="A14">
        <f>+MAX($A$1:A13)+1</f>
        <v>3</v>
      </c>
      <c r="B14" t="s">
        <v>660</v>
      </c>
      <c r="C14" t="s">
        <v>700</v>
      </c>
      <c r="D14" t="s">
        <v>296</v>
      </c>
      <c r="E14" s="28">
        <v>1340</v>
      </c>
      <c r="F14" s="13">
        <v>6665.3743999999997</v>
      </c>
      <c r="G14" s="14">
        <f t="shared" ref="G14:G20" si="1">+ROUND(F14/VLOOKUP("Grand Total",$B$4:$F$289,5,0),4)</f>
        <v>9.4100000000000003E-2</v>
      </c>
      <c r="H14" s="15">
        <v>43098</v>
      </c>
      <c r="I14" s="99"/>
      <c r="J14" s="14" t="s">
        <v>382</v>
      </c>
      <c r="K14" s="48">
        <f t="shared" si="0"/>
        <v>5.8099999999999999E-2</v>
      </c>
      <c r="M14" s="14"/>
    </row>
    <row r="15" spans="1:16" ht="12.75" customHeight="1" x14ac:dyDescent="0.2">
      <c r="A15">
        <f>+MAX($A$1:A14)+1</f>
        <v>4</v>
      </c>
      <c r="B15" t="s">
        <v>617</v>
      </c>
      <c r="C15" t="s">
        <v>701</v>
      </c>
      <c r="D15" t="s">
        <v>163</v>
      </c>
      <c r="E15" s="28">
        <v>500</v>
      </c>
      <c r="F15" s="13">
        <v>2473.34</v>
      </c>
      <c r="G15" s="14">
        <f t="shared" si="1"/>
        <v>3.49E-2</v>
      </c>
      <c r="H15" s="15">
        <v>43133</v>
      </c>
      <c r="I15" s="99"/>
      <c r="J15" s="14" t="s">
        <v>476</v>
      </c>
      <c r="K15" s="48">
        <f t="shared" si="0"/>
        <v>5.6500000000000002E-2</v>
      </c>
      <c r="M15" s="14"/>
      <c r="N15" s="36"/>
      <c r="O15" s="14"/>
    </row>
    <row r="16" spans="1:16" ht="12.75" customHeight="1" x14ac:dyDescent="0.2">
      <c r="A16">
        <f>+MAX($A$1:A15)+1</f>
        <v>5</v>
      </c>
      <c r="B16" t="s">
        <v>201</v>
      </c>
      <c r="C16" t="s">
        <v>616</v>
      </c>
      <c r="D16" t="s">
        <v>164</v>
      </c>
      <c r="E16" s="28">
        <v>500</v>
      </c>
      <c r="F16" s="13">
        <v>2390.8724999999999</v>
      </c>
      <c r="G16" s="14">
        <f t="shared" si="1"/>
        <v>3.3799999999999997E-2</v>
      </c>
      <c r="H16" s="15">
        <v>43308</v>
      </c>
      <c r="I16" s="99"/>
      <c r="J16" s="14" t="s">
        <v>164</v>
      </c>
      <c r="K16" s="48">
        <f t="shared" si="0"/>
        <v>5.28E-2</v>
      </c>
      <c r="M16" s="14"/>
      <c r="N16" s="36"/>
      <c r="O16" s="14"/>
    </row>
    <row r="17" spans="1:16" ht="12.75" customHeight="1" x14ac:dyDescent="0.2">
      <c r="A17">
        <f>+MAX($A$1:A16)+1</f>
        <v>6</v>
      </c>
      <c r="B17" t="s">
        <v>297</v>
      </c>
      <c r="C17" t="s">
        <v>702</v>
      </c>
      <c r="D17" t="s">
        <v>659</v>
      </c>
      <c r="E17" s="28">
        <v>440</v>
      </c>
      <c r="F17" s="13">
        <v>2034.4566</v>
      </c>
      <c r="G17" s="14">
        <f t="shared" si="1"/>
        <v>2.87E-2</v>
      </c>
      <c r="H17" s="15">
        <v>43430</v>
      </c>
      <c r="I17" s="99"/>
      <c r="J17" s="14" t="s">
        <v>659</v>
      </c>
      <c r="K17" s="48">
        <f t="shared" si="0"/>
        <v>4.8000000000000001E-2</v>
      </c>
      <c r="M17" s="14"/>
      <c r="N17" s="36"/>
      <c r="O17" s="14"/>
      <c r="P17" s="14"/>
    </row>
    <row r="18" spans="1:16" ht="12.75" customHeight="1" x14ac:dyDescent="0.2">
      <c r="A18">
        <f>+MAX($A$1:A17)+1</f>
        <v>7</v>
      </c>
      <c r="B18" s="65" t="s">
        <v>619</v>
      </c>
      <c r="C18" t="s">
        <v>703</v>
      </c>
      <c r="D18" t="s">
        <v>620</v>
      </c>
      <c r="E18" s="28">
        <v>400</v>
      </c>
      <c r="F18" s="13">
        <v>1966.6320000000001</v>
      </c>
      <c r="G18" s="14">
        <f t="shared" si="1"/>
        <v>2.7799999999999998E-2</v>
      </c>
      <c r="H18" s="15">
        <v>43129</v>
      </c>
      <c r="I18" s="99"/>
      <c r="J18" s="14" t="s">
        <v>163</v>
      </c>
      <c r="K18" s="48">
        <f t="shared" si="0"/>
        <v>4.3200000000000002E-2</v>
      </c>
      <c r="M18" s="14"/>
      <c r="N18" s="36"/>
      <c r="O18" s="14"/>
      <c r="P18" s="14"/>
    </row>
    <row r="19" spans="1:16" ht="12.75" customHeight="1" x14ac:dyDescent="0.2">
      <c r="A19">
        <f>+MAX($A$1:A18)+1</f>
        <v>8</v>
      </c>
      <c r="B19" t="s">
        <v>206</v>
      </c>
      <c r="C19" t="s">
        <v>575</v>
      </c>
      <c r="D19" t="s">
        <v>296</v>
      </c>
      <c r="E19" s="28">
        <v>360</v>
      </c>
      <c r="F19" s="13">
        <v>1730.0609999999999</v>
      </c>
      <c r="G19" s="14">
        <f t="shared" si="1"/>
        <v>2.4400000000000002E-2</v>
      </c>
      <c r="H19" s="15">
        <v>43269</v>
      </c>
      <c r="I19" s="99"/>
      <c r="J19" s="14" t="s">
        <v>169</v>
      </c>
      <c r="K19" s="48">
        <f t="shared" si="0"/>
        <v>3.5700000000000003E-2</v>
      </c>
      <c r="M19" s="14"/>
      <c r="N19" s="36"/>
      <c r="O19" s="14"/>
      <c r="P19" s="14"/>
    </row>
    <row r="20" spans="1:16" ht="12.75" customHeight="1" x14ac:dyDescent="0.2">
      <c r="A20">
        <f>+MAX($A$1:A19)+1</f>
        <v>9</v>
      </c>
      <c r="B20" t="s">
        <v>297</v>
      </c>
      <c r="C20" t="s">
        <v>694</v>
      </c>
      <c r="D20" t="s">
        <v>659</v>
      </c>
      <c r="E20" s="28">
        <v>200</v>
      </c>
      <c r="F20" s="13">
        <v>984.38699999999994</v>
      </c>
      <c r="G20" s="14">
        <f t="shared" si="1"/>
        <v>1.3899999999999999E-2</v>
      </c>
      <c r="H20" s="15">
        <v>43152</v>
      </c>
      <c r="I20" s="99"/>
      <c r="J20" s="14" t="s">
        <v>573</v>
      </c>
      <c r="K20" s="48">
        <f t="shared" si="0"/>
        <v>3.4500000000000003E-2</v>
      </c>
      <c r="M20" s="14"/>
      <c r="N20" s="36"/>
      <c r="O20" s="14"/>
      <c r="P20" s="14"/>
    </row>
    <row r="21" spans="1:16" ht="12.75" customHeight="1" x14ac:dyDescent="0.2">
      <c r="A21">
        <f>+MAX($A$1:A20)+1</f>
        <v>10</v>
      </c>
      <c r="B21" t="s">
        <v>617</v>
      </c>
      <c r="C21" t="s">
        <v>618</v>
      </c>
      <c r="D21" t="s">
        <v>163</v>
      </c>
      <c r="E21" s="28">
        <v>100</v>
      </c>
      <c r="F21" s="13">
        <v>499.4205</v>
      </c>
      <c r="G21" s="14">
        <f t="shared" ref="G21:G24" si="2">+ROUND(F21/VLOOKUP("Grand Total",$B$4:$F$289,5,0),4)</f>
        <v>7.1000000000000004E-3</v>
      </c>
      <c r="H21" s="15">
        <v>43077</v>
      </c>
      <c r="I21" s="99"/>
      <c r="J21" s="14" t="s">
        <v>620</v>
      </c>
      <c r="K21" s="48">
        <f t="shared" si="0"/>
        <v>2.7799999999999998E-2</v>
      </c>
      <c r="M21" s="14"/>
      <c r="N21" s="36"/>
      <c r="O21" s="14"/>
      <c r="P21" s="14"/>
    </row>
    <row r="22" spans="1:16" ht="12.75" customHeight="1" x14ac:dyDescent="0.2">
      <c r="A22">
        <f>+MAX($A$1:A21)+1</f>
        <v>11</v>
      </c>
      <c r="B22" t="s">
        <v>297</v>
      </c>
      <c r="C22" t="s">
        <v>612</v>
      </c>
      <c r="D22" t="s">
        <v>659</v>
      </c>
      <c r="E22" s="28">
        <v>82</v>
      </c>
      <c r="F22" s="13">
        <v>385.76366999999999</v>
      </c>
      <c r="G22" s="14">
        <f t="shared" si="2"/>
        <v>5.4000000000000003E-3</v>
      </c>
      <c r="H22" s="15">
        <v>43350</v>
      </c>
      <c r="I22" s="99"/>
      <c r="J22" s="14" t="s">
        <v>521</v>
      </c>
      <c r="K22" s="48">
        <f t="shared" si="0"/>
        <v>2.5700000000000001E-2</v>
      </c>
      <c r="M22" s="14"/>
      <c r="N22" s="36"/>
      <c r="O22" s="14"/>
      <c r="P22" s="14"/>
    </row>
    <row r="23" spans="1:16" ht="12.75" customHeight="1" x14ac:dyDescent="0.2">
      <c r="A23">
        <f>+MAX($A$1:A22)+1</f>
        <v>12</v>
      </c>
      <c r="B23" t="s">
        <v>660</v>
      </c>
      <c r="C23" t="s">
        <v>661</v>
      </c>
      <c r="D23" t="s">
        <v>296</v>
      </c>
      <c r="E23" s="28">
        <v>80</v>
      </c>
      <c r="F23" s="13">
        <v>384.04759999999999</v>
      </c>
      <c r="G23" s="14">
        <f t="shared" si="2"/>
        <v>5.4000000000000003E-3</v>
      </c>
      <c r="H23" s="15">
        <v>43265</v>
      </c>
      <c r="I23" s="99"/>
      <c r="J23" s="14" t="s">
        <v>299</v>
      </c>
      <c r="K23" s="48">
        <f t="shared" si="0"/>
        <v>2.01E-2</v>
      </c>
      <c r="M23" s="14"/>
      <c r="N23" s="36"/>
      <c r="O23" s="14"/>
      <c r="P23" s="14"/>
    </row>
    <row r="24" spans="1:16" ht="12.75" customHeight="1" x14ac:dyDescent="0.2">
      <c r="A24">
        <f>+MAX($A$1:A23)+1</f>
        <v>13</v>
      </c>
      <c r="B24" t="s">
        <v>362</v>
      </c>
      <c r="C24" t="s">
        <v>576</v>
      </c>
      <c r="D24" t="s">
        <v>163</v>
      </c>
      <c r="E24" s="28">
        <v>18</v>
      </c>
      <c r="F24" s="13">
        <v>86.465519999999998</v>
      </c>
      <c r="G24" s="14">
        <f t="shared" si="2"/>
        <v>1.1999999999999999E-3</v>
      </c>
      <c r="H24" s="15">
        <v>43273</v>
      </c>
      <c r="I24" s="99"/>
      <c r="J24" s="14" t="s">
        <v>578</v>
      </c>
      <c r="K24" s="48">
        <f t="shared" si="0"/>
        <v>1.4200000000000001E-2</v>
      </c>
      <c r="M24" s="14"/>
      <c r="N24" s="36"/>
      <c r="O24" s="14"/>
      <c r="P24" s="14"/>
    </row>
    <row r="25" spans="1:16" ht="12.75" customHeight="1" x14ac:dyDescent="0.2">
      <c r="B25" s="18" t="s">
        <v>86</v>
      </c>
      <c r="C25" s="18"/>
      <c r="D25" s="18"/>
      <c r="E25" s="29"/>
      <c r="F25" s="19">
        <f>SUM(F14:F24)</f>
        <v>19600.820790000002</v>
      </c>
      <c r="G25" s="20">
        <f>SUM(G14:G24)</f>
        <v>0.2767</v>
      </c>
      <c r="H25" s="21"/>
      <c r="J25" s="14" t="s">
        <v>420</v>
      </c>
      <c r="K25" s="48">
        <f t="shared" si="0"/>
        <v>8.8000000000000005E-3</v>
      </c>
      <c r="L25" s="54"/>
      <c r="N25" s="36"/>
      <c r="O25" s="14"/>
      <c r="P25" s="14"/>
    </row>
    <row r="26" spans="1:16" ht="12.75" customHeight="1" x14ac:dyDescent="0.2">
      <c r="F26" s="13"/>
      <c r="G26" s="14"/>
      <c r="H26" s="15"/>
      <c r="J26" s="14" t="s">
        <v>64</v>
      </c>
      <c r="K26" s="48">
        <f>+SUMIFS($G$5:$G$999,$B$5:$B$999,"CBLO / Reverse Repo Investments")+SUMIFS($G$5:$G$999,$B$5:$B$999,"Net Receivable/Payable")</f>
        <v>1.7999999999999999E-2</v>
      </c>
      <c r="M26" s="90"/>
      <c r="N26" s="36"/>
      <c r="O26" s="14"/>
      <c r="P26" s="14"/>
    </row>
    <row r="27" spans="1:16" ht="12.75" customHeight="1" x14ac:dyDescent="0.2">
      <c r="B27" s="16" t="s">
        <v>170</v>
      </c>
      <c r="C27" s="16"/>
      <c r="F27" s="13"/>
      <c r="G27" s="14"/>
      <c r="H27" s="15"/>
      <c r="I27" s="35"/>
      <c r="J27" s="90" t="s">
        <v>761</v>
      </c>
      <c r="K27" s="48">
        <f t="shared" si="0"/>
        <v>3.5299999999999998E-2</v>
      </c>
      <c r="M27" s="14"/>
      <c r="N27" s="36"/>
      <c r="O27" s="14"/>
      <c r="P27" s="14"/>
    </row>
    <row r="28" spans="1:16" ht="12.75" customHeight="1" x14ac:dyDescent="0.2">
      <c r="A28">
        <f>+MAX($A$1:A27)+1</f>
        <v>14</v>
      </c>
      <c r="B28" s="65" t="s">
        <v>695</v>
      </c>
      <c r="C28" t="s">
        <v>696</v>
      </c>
      <c r="D28" t="s">
        <v>420</v>
      </c>
      <c r="E28" s="28">
        <v>357000</v>
      </c>
      <c r="F28" s="13">
        <v>350.98276499999997</v>
      </c>
      <c r="G28" s="14">
        <f>+ROUND(F28/VLOOKUP("Grand Total",$B$4:$F$289,5,0),4)</f>
        <v>5.0000000000000001E-3</v>
      </c>
      <c r="H28" s="15">
        <v>43172</v>
      </c>
      <c r="I28" s="99"/>
      <c r="J28" s="14"/>
      <c r="K28" s="48"/>
      <c r="N28" s="36"/>
      <c r="O28" s="14"/>
      <c r="P28" s="14"/>
    </row>
    <row r="29" spans="1:16" ht="12.75" customHeight="1" x14ac:dyDescent="0.2">
      <c r="A29">
        <f>+MAX($A$1:A28)+1</f>
        <v>15</v>
      </c>
      <c r="B29" s="65" t="s">
        <v>662</v>
      </c>
      <c r="C29" t="s">
        <v>663</v>
      </c>
      <c r="D29" t="s">
        <v>420</v>
      </c>
      <c r="E29" s="28">
        <v>249600</v>
      </c>
      <c r="F29" s="13">
        <v>247.66335359999999</v>
      </c>
      <c r="G29" s="14">
        <f t="shared" ref="G29:G30" si="3">+ROUND(F29/VLOOKUP("Grand Total",$B$4:$F$289,5,0),4)</f>
        <v>3.5000000000000001E-3</v>
      </c>
      <c r="H29" s="15">
        <v>43117</v>
      </c>
      <c r="I29" s="99"/>
      <c r="J29" s="14"/>
      <c r="K29" s="48"/>
      <c r="N29" s="36"/>
      <c r="O29" s="14"/>
      <c r="P29" s="14"/>
    </row>
    <row r="30" spans="1:16" ht="12.75" customHeight="1" x14ac:dyDescent="0.2">
      <c r="A30">
        <f>+MAX($A$1:A29)+1</f>
        <v>16</v>
      </c>
      <c r="B30" s="65" t="s">
        <v>662</v>
      </c>
      <c r="C30" t="s">
        <v>704</v>
      </c>
      <c r="D30" t="s">
        <v>420</v>
      </c>
      <c r="E30" s="28">
        <v>20600</v>
      </c>
      <c r="F30" s="13">
        <v>20.3649746</v>
      </c>
      <c r="G30" s="14">
        <f t="shared" si="3"/>
        <v>2.9999999999999997E-4</v>
      </c>
      <c r="H30" s="15">
        <v>43139</v>
      </c>
      <c r="I30" s="99"/>
      <c r="J30" s="14"/>
      <c r="K30" s="48"/>
      <c r="N30" s="36"/>
      <c r="O30" s="14"/>
      <c r="P30" s="14"/>
    </row>
    <row r="31" spans="1:16" ht="12.75" customHeight="1" x14ac:dyDescent="0.2">
      <c r="B31" s="18" t="s">
        <v>86</v>
      </c>
      <c r="C31" s="18"/>
      <c r="D31" s="18"/>
      <c r="E31" s="29"/>
      <c r="F31" s="19">
        <f>SUM(F28:F30)</f>
        <v>619.01109319999989</v>
      </c>
      <c r="G31" s="20">
        <f>SUM(G28:G30)</f>
        <v>8.8000000000000005E-3</v>
      </c>
      <c r="H31" s="21"/>
      <c r="L31" s="54"/>
      <c r="M31" s="14"/>
      <c r="N31" s="36"/>
      <c r="O31" s="14"/>
      <c r="P31" s="14"/>
    </row>
    <row r="32" spans="1:16" ht="12.75" customHeight="1" x14ac:dyDescent="0.2">
      <c r="F32" s="13"/>
      <c r="G32" s="14"/>
      <c r="H32" s="15"/>
      <c r="J32" s="14"/>
      <c r="K32" s="48"/>
      <c r="M32" s="90"/>
      <c r="N32" s="36"/>
      <c r="O32" s="14"/>
      <c r="P32" s="14"/>
    </row>
    <row r="33" spans="1:16" ht="12.75" customHeight="1" x14ac:dyDescent="0.2">
      <c r="B33" s="16" t="s">
        <v>126</v>
      </c>
      <c r="C33" s="16"/>
      <c r="F33" s="13"/>
      <c r="G33" s="14"/>
      <c r="H33" s="15"/>
      <c r="I33" s="35"/>
      <c r="N33" s="36"/>
      <c r="P33" s="14"/>
    </row>
    <row r="34" spans="1:16" ht="12.75" customHeight="1" x14ac:dyDescent="0.2">
      <c r="B34" s="31" t="s">
        <v>425</v>
      </c>
      <c r="C34" s="16"/>
      <c r="F34" s="13"/>
      <c r="G34" s="14"/>
      <c r="H34" s="15"/>
      <c r="N34" s="36"/>
      <c r="P34" s="14"/>
    </row>
    <row r="35" spans="1:16" ht="12.75" customHeight="1" x14ac:dyDescent="0.2">
      <c r="A35">
        <f>+MAX($A$1:A34)+1</f>
        <v>17</v>
      </c>
      <c r="B35" t="s">
        <v>635</v>
      </c>
      <c r="C35" t="s">
        <v>412</v>
      </c>
      <c r="D35" t="s">
        <v>376</v>
      </c>
      <c r="E35" s="28">
        <v>500</v>
      </c>
      <c r="F35" s="13">
        <v>5068.585</v>
      </c>
      <c r="G35" s="14">
        <f t="shared" ref="G35:G52" si="4">+ROUND(F35/VLOOKUP("Grand Total",$B$4:$F$289,5,0),4)</f>
        <v>7.1599999999999997E-2</v>
      </c>
      <c r="H35" s="15">
        <v>43892</v>
      </c>
      <c r="I35" s="99"/>
    </row>
    <row r="36" spans="1:16" s="65" customFormat="1" ht="12.75" customHeight="1" x14ac:dyDescent="0.2">
      <c r="A36">
        <f>+MAX($A$1:A35)+1</f>
        <v>18</v>
      </c>
      <c r="B36" s="65" t="s">
        <v>636</v>
      </c>
      <c r="C36" s="65" t="s">
        <v>520</v>
      </c>
      <c r="D36" s="65" t="s">
        <v>298</v>
      </c>
      <c r="E36" s="85">
        <v>480</v>
      </c>
      <c r="F36" s="86">
        <v>4806.6624000000002</v>
      </c>
      <c r="G36" s="90">
        <f t="shared" si="4"/>
        <v>6.7900000000000002E-2</v>
      </c>
      <c r="H36" s="89">
        <v>43630</v>
      </c>
      <c r="I36" s="99"/>
      <c r="N36" s="84"/>
      <c r="P36" s="90"/>
    </row>
    <row r="37" spans="1:16" ht="12.75" customHeight="1" x14ac:dyDescent="0.2">
      <c r="A37">
        <f>+MAX($A$1:A36)+1</f>
        <v>19</v>
      </c>
      <c r="B37" s="65" t="s">
        <v>664</v>
      </c>
      <c r="C37" t="s">
        <v>622</v>
      </c>
      <c r="D37" t="s">
        <v>169</v>
      </c>
      <c r="E37" s="28">
        <v>250</v>
      </c>
      <c r="F37" s="13">
        <v>2530.9524999999999</v>
      </c>
      <c r="G37" s="14">
        <f t="shared" si="4"/>
        <v>3.5700000000000003E-2</v>
      </c>
      <c r="H37" s="15">
        <v>43552</v>
      </c>
      <c r="I37" s="99"/>
      <c r="N37" s="36"/>
      <c r="P37" s="14"/>
    </row>
    <row r="38" spans="1:16" ht="12.75" customHeight="1" x14ac:dyDescent="0.2">
      <c r="A38">
        <f>+MAX($A$1:A37)+1</f>
        <v>20</v>
      </c>
      <c r="B38" t="s">
        <v>734</v>
      </c>
      <c r="C38" s="65" t="s">
        <v>474</v>
      </c>
      <c r="D38" s="65" t="s">
        <v>109</v>
      </c>
      <c r="E38" s="85">
        <v>250</v>
      </c>
      <c r="F38" s="86">
        <v>2524.7624999999998</v>
      </c>
      <c r="G38" s="90">
        <f t="shared" si="4"/>
        <v>3.56E-2</v>
      </c>
      <c r="H38" s="15">
        <v>43431</v>
      </c>
      <c r="I38" s="99"/>
    </row>
    <row r="39" spans="1:16" ht="12.75" customHeight="1" x14ac:dyDescent="0.2">
      <c r="A39">
        <f>+MAX($A$1:A38)+1</f>
        <v>21</v>
      </c>
      <c r="B39" s="65" t="s">
        <v>678</v>
      </c>
      <c r="C39" t="s">
        <v>665</v>
      </c>
      <c r="D39" t="s">
        <v>109</v>
      </c>
      <c r="E39" s="28">
        <v>25</v>
      </c>
      <c r="F39" s="13">
        <v>2500.1849999999999</v>
      </c>
      <c r="G39" s="14">
        <f t="shared" si="4"/>
        <v>3.5299999999999998E-2</v>
      </c>
      <c r="H39" s="15">
        <v>43787</v>
      </c>
      <c r="I39" s="99"/>
      <c r="N39" s="36"/>
      <c r="P39" s="14"/>
    </row>
    <row r="40" spans="1:16" ht="12.75" customHeight="1" x14ac:dyDescent="0.2">
      <c r="A40">
        <f>+MAX($A$1:A39)+1</f>
        <v>22</v>
      </c>
      <c r="B40" s="65" t="s">
        <v>589</v>
      </c>
      <c r="C40" t="s">
        <v>495</v>
      </c>
      <c r="D40" s="65" t="s">
        <v>761</v>
      </c>
      <c r="E40" s="28">
        <v>250</v>
      </c>
      <c r="F40" s="13">
        <v>2499.7224999999999</v>
      </c>
      <c r="G40" s="14">
        <f t="shared" si="4"/>
        <v>3.5299999999999998E-2</v>
      </c>
      <c r="H40" s="15">
        <v>43105</v>
      </c>
      <c r="I40" s="99"/>
      <c r="N40" s="36"/>
      <c r="P40" s="14"/>
    </row>
    <row r="41" spans="1:16" ht="12.75" customHeight="1" x14ac:dyDescent="0.2">
      <c r="A41">
        <f>+MAX($A$1:A40)+1</f>
        <v>23</v>
      </c>
      <c r="B41" s="65" t="s">
        <v>637</v>
      </c>
      <c r="C41" t="s">
        <v>549</v>
      </c>
      <c r="D41" t="s">
        <v>476</v>
      </c>
      <c r="E41" s="28">
        <v>250</v>
      </c>
      <c r="F41" s="13">
        <v>2496.8225000000002</v>
      </c>
      <c r="G41" s="14">
        <f t="shared" si="4"/>
        <v>3.5200000000000002E-2</v>
      </c>
      <c r="H41" s="15">
        <v>43671</v>
      </c>
      <c r="I41" s="99"/>
    </row>
    <row r="42" spans="1:16" ht="12.75" customHeight="1" x14ac:dyDescent="0.2">
      <c r="A42">
        <f>+MAX($A$1:A41)+1</f>
        <v>24</v>
      </c>
      <c r="B42" s="65" t="s">
        <v>638</v>
      </c>
      <c r="C42" t="s">
        <v>443</v>
      </c>
      <c r="D42" t="s">
        <v>376</v>
      </c>
      <c r="E42" s="28">
        <v>243000</v>
      </c>
      <c r="F42" s="13">
        <v>2464.7368499999998</v>
      </c>
      <c r="G42" s="14">
        <f t="shared" si="4"/>
        <v>3.4799999999999998E-2</v>
      </c>
      <c r="H42" s="15">
        <v>43717</v>
      </c>
      <c r="I42" s="99"/>
    </row>
    <row r="43" spans="1:16" ht="12.75" customHeight="1" x14ac:dyDescent="0.2">
      <c r="A43">
        <f>+MAX($A$1:A42)+1</f>
        <v>25</v>
      </c>
      <c r="B43" t="s">
        <v>639</v>
      </c>
      <c r="C43" t="s">
        <v>365</v>
      </c>
      <c r="D43" t="s">
        <v>573</v>
      </c>
      <c r="E43" s="28">
        <v>242</v>
      </c>
      <c r="F43" s="13">
        <v>2440.6014599999999</v>
      </c>
      <c r="G43" s="14">
        <f t="shared" si="4"/>
        <v>3.4500000000000003E-2</v>
      </c>
      <c r="H43" s="15">
        <v>43309</v>
      </c>
      <c r="I43" s="99"/>
    </row>
    <row r="44" spans="1:16" ht="12.75" customHeight="1" x14ac:dyDescent="0.2">
      <c r="A44">
        <f>+MAX($A$1:A43)+1</f>
        <v>26</v>
      </c>
      <c r="B44" s="65" t="s">
        <v>735</v>
      </c>
      <c r="C44" t="s">
        <v>366</v>
      </c>
      <c r="D44" t="s">
        <v>176</v>
      </c>
      <c r="E44" s="28">
        <v>235</v>
      </c>
      <c r="F44" s="13">
        <v>2364.60995</v>
      </c>
      <c r="G44" s="14">
        <f t="shared" si="4"/>
        <v>3.3399999999999999E-2</v>
      </c>
      <c r="H44" s="15">
        <v>43299</v>
      </c>
      <c r="I44" s="99"/>
    </row>
    <row r="45" spans="1:16" ht="12.75" customHeight="1" x14ac:dyDescent="0.2">
      <c r="A45">
        <f>+MAX($A$1:A44)+1</f>
        <v>27</v>
      </c>
      <c r="B45" t="s">
        <v>679</v>
      </c>
      <c r="C45" t="s">
        <v>553</v>
      </c>
      <c r="D45" t="s">
        <v>521</v>
      </c>
      <c r="E45" s="28">
        <v>182</v>
      </c>
      <c r="F45" s="13">
        <v>1818.7897</v>
      </c>
      <c r="G45" s="14">
        <f t="shared" si="4"/>
        <v>2.5700000000000001E-2</v>
      </c>
      <c r="H45" s="15">
        <v>44026</v>
      </c>
      <c r="I45" s="99"/>
    </row>
    <row r="46" spans="1:16" ht="12.75" customHeight="1" x14ac:dyDescent="0.2">
      <c r="A46">
        <f>+MAX($A$1:A45)+1</f>
        <v>28</v>
      </c>
      <c r="B46" s="65" t="s">
        <v>640</v>
      </c>
      <c r="C46" t="s">
        <v>475</v>
      </c>
      <c r="D46" t="s">
        <v>476</v>
      </c>
      <c r="E46" s="28">
        <v>150000</v>
      </c>
      <c r="F46" s="13">
        <v>1505.856</v>
      </c>
      <c r="G46" s="14">
        <f t="shared" si="4"/>
        <v>2.1299999999999999E-2</v>
      </c>
      <c r="H46" s="15">
        <v>43579</v>
      </c>
      <c r="I46" s="99"/>
    </row>
    <row r="47" spans="1:16" ht="12.75" customHeight="1" x14ac:dyDescent="0.2">
      <c r="A47">
        <f>+MAX($A$1:A46)+1</f>
        <v>29</v>
      </c>
      <c r="B47" s="65" t="s">
        <v>593</v>
      </c>
      <c r="C47" t="s">
        <v>342</v>
      </c>
      <c r="D47" t="s">
        <v>299</v>
      </c>
      <c r="E47" s="28">
        <v>140</v>
      </c>
      <c r="F47" s="13">
        <v>1425.7865999999999</v>
      </c>
      <c r="G47" s="14">
        <f t="shared" si="4"/>
        <v>2.01E-2</v>
      </c>
      <c r="H47" s="15">
        <v>43621</v>
      </c>
      <c r="I47" s="99"/>
    </row>
    <row r="48" spans="1:16" ht="12.75" customHeight="1" x14ac:dyDescent="0.2">
      <c r="A48">
        <f>+MAX($A$1:A47)+1</f>
        <v>30</v>
      </c>
      <c r="B48" s="65" t="s">
        <v>641</v>
      </c>
      <c r="C48" t="s">
        <v>451</v>
      </c>
      <c r="D48" t="s">
        <v>176</v>
      </c>
      <c r="E48" s="28">
        <v>110</v>
      </c>
      <c r="F48" s="13">
        <v>1093.0337</v>
      </c>
      <c r="G48" s="14">
        <f t="shared" si="4"/>
        <v>1.54E-2</v>
      </c>
      <c r="H48" s="15">
        <v>44489</v>
      </c>
      <c r="I48" s="99"/>
    </row>
    <row r="49" spans="1:16" ht="12.75" customHeight="1" x14ac:dyDescent="0.2">
      <c r="A49">
        <f>+MAX($A$1:A48)+1</f>
        <v>31</v>
      </c>
      <c r="B49" s="65" t="s">
        <v>736</v>
      </c>
      <c r="C49" t="s">
        <v>623</v>
      </c>
      <c r="D49" t="s">
        <v>376</v>
      </c>
      <c r="E49" s="28">
        <v>100</v>
      </c>
      <c r="F49" s="13">
        <v>1014.069</v>
      </c>
      <c r="G49" s="14">
        <f t="shared" si="4"/>
        <v>1.43E-2</v>
      </c>
      <c r="H49" s="15">
        <v>43903</v>
      </c>
      <c r="I49" s="99"/>
    </row>
    <row r="50" spans="1:16" ht="12.75" customHeight="1" x14ac:dyDescent="0.2">
      <c r="A50">
        <f>+MAX($A$1:A49)+1</f>
        <v>32</v>
      </c>
      <c r="B50" s="65" t="s">
        <v>642</v>
      </c>
      <c r="C50" t="s">
        <v>381</v>
      </c>
      <c r="D50" t="s">
        <v>578</v>
      </c>
      <c r="E50" s="28">
        <v>100</v>
      </c>
      <c r="F50" s="13">
        <v>1005.782</v>
      </c>
      <c r="G50" s="14">
        <f t="shared" si="4"/>
        <v>1.4200000000000001E-2</v>
      </c>
      <c r="H50" s="15">
        <v>43132</v>
      </c>
      <c r="I50" s="99"/>
    </row>
    <row r="51" spans="1:16" ht="12.75" customHeight="1" x14ac:dyDescent="0.2">
      <c r="A51">
        <f>+MAX($A$1:A50)+1</f>
        <v>33</v>
      </c>
      <c r="B51" s="65" t="s">
        <v>591</v>
      </c>
      <c r="C51" t="s">
        <v>442</v>
      </c>
      <c r="D51" t="s">
        <v>376</v>
      </c>
      <c r="E51" s="28">
        <v>92</v>
      </c>
      <c r="F51" s="13">
        <v>926.54211999999995</v>
      </c>
      <c r="G51" s="14">
        <f t="shared" si="4"/>
        <v>1.3100000000000001E-2</v>
      </c>
      <c r="H51" s="15">
        <v>43322</v>
      </c>
      <c r="I51" s="99"/>
    </row>
    <row r="52" spans="1:16" ht="12.75" customHeight="1" x14ac:dyDescent="0.2">
      <c r="A52">
        <f>+MAX($A$1:A51)+1</f>
        <v>34</v>
      </c>
      <c r="B52" s="65" t="s">
        <v>588</v>
      </c>
      <c r="C52" t="s">
        <v>377</v>
      </c>
      <c r="D52" t="s">
        <v>376</v>
      </c>
      <c r="E52" s="28">
        <v>74</v>
      </c>
      <c r="F52" s="13">
        <v>743.29078000000004</v>
      </c>
      <c r="G52" s="14">
        <f t="shared" si="4"/>
        <v>1.0500000000000001E-2</v>
      </c>
      <c r="H52" s="15">
        <v>43175</v>
      </c>
      <c r="I52" s="99"/>
    </row>
    <row r="53" spans="1:16" ht="12.75" customHeight="1" x14ac:dyDescent="0.2">
      <c r="B53" s="18" t="s">
        <v>86</v>
      </c>
      <c r="C53" s="18"/>
      <c r="D53" s="18"/>
      <c r="E53" s="29"/>
      <c r="F53" s="19">
        <f>SUM(F35:F52)</f>
        <v>39230.790560000001</v>
      </c>
      <c r="G53" s="20">
        <f>SUM(G35:G52)</f>
        <v>0.55389999999999995</v>
      </c>
      <c r="H53" s="21"/>
      <c r="J53" s="52"/>
      <c r="K53"/>
    </row>
    <row r="54" spans="1:16" ht="12.75" customHeight="1" x14ac:dyDescent="0.2">
      <c r="F54" s="13"/>
      <c r="G54" s="14"/>
      <c r="H54" s="15"/>
      <c r="M54" s="90"/>
      <c r="N54" s="36"/>
      <c r="O54" s="14"/>
      <c r="P54" s="14"/>
    </row>
    <row r="55" spans="1:16" ht="12.75" customHeight="1" x14ac:dyDescent="0.2">
      <c r="B55" s="16" t="s">
        <v>586</v>
      </c>
      <c r="C55" s="16"/>
      <c r="F55" s="13"/>
      <c r="G55" s="14"/>
      <c r="H55" s="15"/>
      <c r="I55" s="35"/>
      <c r="J55" s="14"/>
      <c r="M55" s="14"/>
      <c r="N55" s="36"/>
      <c r="O55" s="14"/>
      <c r="P55" s="14"/>
    </row>
    <row r="56" spans="1:16" ht="12.75" customHeight="1" x14ac:dyDescent="0.2">
      <c r="A56">
        <f>+MAX($A$1:A55)+1</f>
        <v>35</v>
      </c>
      <c r="B56" s="65" t="s">
        <v>579</v>
      </c>
      <c r="C56" t="s">
        <v>580</v>
      </c>
      <c r="D56" t="s">
        <v>382</v>
      </c>
      <c r="E56" s="28">
        <v>400</v>
      </c>
      <c r="F56" s="13">
        <v>4112.5320000000002</v>
      </c>
      <c r="G56" s="14">
        <f>+ROUND(F56/VLOOKUP("Grand Total",$B$4:$F$289,5,0),4)</f>
        <v>5.8099999999999999E-2</v>
      </c>
      <c r="H56" s="15">
        <v>43321</v>
      </c>
      <c r="I56" s="99"/>
      <c r="J56" s="14"/>
      <c r="N56" s="36"/>
      <c r="O56" s="14"/>
      <c r="P56" s="14"/>
    </row>
    <row r="57" spans="1:16" ht="12.75" customHeight="1" x14ac:dyDescent="0.2">
      <c r="B57" s="18" t="s">
        <v>86</v>
      </c>
      <c r="C57" s="18"/>
      <c r="D57" s="18"/>
      <c r="E57" s="29"/>
      <c r="F57" s="19">
        <f>SUM(F56:F56)</f>
        <v>4112.5320000000002</v>
      </c>
      <c r="G57" s="20">
        <f>SUM(G56:G56)</f>
        <v>5.8099999999999999E-2</v>
      </c>
      <c r="H57" s="21"/>
      <c r="L57" s="54"/>
      <c r="M57" s="14"/>
      <c r="N57" s="36"/>
      <c r="O57" s="14"/>
      <c r="P57" s="14"/>
    </row>
    <row r="58" spans="1:16" ht="12.75" customHeight="1" x14ac:dyDescent="0.2">
      <c r="F58" s="13"/>
      <c r="G58" s="14"/>
      <c r="H58" s="15"/>
      <c r="M58" s="90"/>
      <c r="N58" s="36"/>
      <c r="O58" s="14"/>
      <c r="P58" s="14"/>
    </row>
    <row r="59" spans="1:16" ht="12.75" customHeight="1" x14ac:dyDescent="0.2">
      <c r="A59" s="95" t="s">
        <v>387</v>
      </c>
      <c r="B59" s="16" t="s">
        <v>94</v>
      </c>
      <c r="C59" s="16"/>
      <c r="F59" s="13">
        <v>132.42146310000001</v>
      </c>
      <c r="G59" s="14">
        <f>+ROUND(F59/VLOOKUP("Grand Total",$B$4:$F$289,5,0),4)</f>
        <v>1.9E-3</v>
      </c>
      <c r="H59" s="15">
        <v>43073</v>
      </c>
      <c r="I59" s="99"/>
      <c r="J59" s="52"/>
      <c r="K59"/>
    </row>
    <row r="60" spans="1:16" ht="12.75" customHeight="1" x14ac:dyDescent="0.2">
      <c r="B60" s="18" t="s">
        <v>86</v>
      </c>
      <c r="C60" s="18"/>
      <c r="D60" s="18"/>
      <c r="E60" s="29"/>
      <c r="F60" s="19">
        <f>SUM(F59)</f>
        <v>132.42146310000001</v>
      </c>
      <c r="G60" s="20">
        <f>SUM(G59)</f>
        <v>1.9E-3</v>
      </c>
      <c r="H60" s="21"/>
      <c r="K60"/>
    </row>
    <row r="61" spans="1:16" ht="12.75" customHeight="1" x14ac:dyDescent="0.2">
      <c r="F61" s="13"/>
      <c r="G61" s="14"/>
      <c r="H61" s="15"/>
      <c r="K61"/>
    </row>
    <row r="62" spans="1:16" ht="12.75" customHeight="1" x14ac:dyDescent="0.2">
      <c r="B62" s="16" t="s">
        <v>95</v>
      </c>
      <c r="C62" s="16"/>
      <c r="F62" s="13"/>
      <c r="G62" s="14"/>
      <c r="H62" s="15"/>
      <c r="I62" s="35"/>
      <c r="K62"/>
    </row>
    <row r="63" spans="1:16" ht="12.75" customHeight="1" x14ac:dyDescent="0.2">
      <c r="B63" s="16" t="s">
        <v>96</v>
      </c>
      <c r="C63" s="16"/>
      <c r="F63" s="13">
        <v>1149.6543077000097</v>
      </c>
      <c r="G63" s="14">
        <f>+ROUND(F63/VLOOKUP("Grand Total",$B$4:$F$289,5,0),4)-0.01%</f>
        <v>1.61E-2</v>
      </c>
      <c r="H63" s="15"/>
      <c r="K63"/>
    </row>
    <row r="64" spans="1:16" ht="12.75" customHeight="1" x14ac:dyDescent="0.2">
      <c r="B64" s="18" t="s">
        <v>86</v>
      </c>
      <c r="C64" s="18"/>
      <c r="D64" s="18"/>
      <c r="E64" s="29"/>
      <c r="F64" s="19">
        <f>SUM(F63)</f>
        <v>1149.6543077000097</v>
      </c>
      <c r="G64" s="20">
        <f>SUM(G63)</f>
        <v>1.61E-2</v>
      </c>
      <c r="H64" s="21"/>
      <c r="K64"/>
    </row>
    <row r="65" spans="2:11" ht="12.75" customHeight="1" x14ac:dyDescent="0.2">
      <c r="B65" s="22" t="s">
        <v>97</v>
      </c>
      <c r="C65" s="22"/>
      <c r="D65" s="22"/>
      <c r="E65" s="30"/>
      <c r="F65" s="23">
        <f>+SUMIF($B$5:B64,"Total",$F$5:F64)</f>
        <v>70833.366264000026</v>
      </c>
      <c r="G65" s="24">
        <f>+SUMIF($B$5:B64,"Total",$G$5:G64)</f>
        <v>1</v>
      </c>
      <c r="H65" s="25"/>
      <c r="K65"/>
    </row>
    <row r="66" spans="2:11" ht="12.75" customHeight="1" x14ac:dyDescent="0.2">
      <c r="I66" s="35"/>
      <c r="K66"/>
    </row>
    <row r="67" spans="2:11" ht="12.75" customHeight="1" x14ac:dyDescent="0.2">
      <c r="B67" s="16" t="s">
        <v>192</v>
      </c>
      <c r="C67" s="16"/>
      <c r="F67" s="42"/>
      <c r="I67" s="35"/>
      <c r="K67"/>
    </row>
    <row r="68" spans="2:11" ht="12.75" customHeight="1" x14ac:dyDescent="0.2">
      <c r="B68" s="16" t="s">
        <v>189</v>
      </c>
      <c r="C68" s="16"/>
      <c r="F68" s="42"/>
      <c r="K68"/>
    </row>
    <row r="69" spans="2:11" ht="12.75" customHeight="1" x14ac:dyDescent="0.2">
      <c r="B69" s="16" t="s">
        <v>758</v>
      </c>
      <c r="C69" s="16"/>
      <c r="K69"/>
    </row>
    <row r="70" spans="2:11" ht="12.75" customHeight="1" x14ac:dyDescent="0.2">
      <c r="K70"/>
    </row>
    <row r="71" spans="2:11" ht="12.75" customHeight="1" x14ac:dyDescent="0.2">
      <c r="K71"/>
    </row>
    <row r="72" spans="2:11" ht="12.75" customHeight="1" x14ac:dyDescent="0.2">
      <c r="K72"/>
    </row>
    <row r="73" spans="2:11" ht="12.75" customHeight="1" x14ac:dyDescent="0.2">
      <c r="K73"/>
    </row>
    <row r="74" spans="2:11" ht="12.75" customHeight="1" x14ac:dyDescent="0.2">
      <c r="E74"/>
      <c r="I74"/>
      <c r="K74"/>
    </row>
    <row r="75" spans="2:11" ht="12.75" customHeight="1" x14ac:dyDescent="0.2">
      <c r="E75"/>
      <c r="I75"/>
      <c r="K75"/>
    </row>
    <row r="76" spans="2:11" ht="12.75" customHeight="1" x14ac:dyDescent="0.2">
      <c r="E76"/>
      <c r="I76"/>
      <c r="K76"/>
    </row>
    <row r="77" spans="2:11" ht="12.75" customHeight="1" x14ac:dyDescent="0.2">
      <c r="E77"/>
      <c r="I77"/>
      <c r="K77"/>
    </row>
    <row r="78" spans="2:11" ht="12.75" customHeight="1" x14ac:dyDescent="0.2">
      <c r="E78"/>
      <c r="I78"/>
      <c r="K78"/>
    </row>
    <row r="79" spans="2:11" ht="12.75" customHeight="1" x14ac:dyDescent="0.2">
      <c r="E79"/>
      <c r="I79"/>
      <c r="K79"/>
    </row>
    <row r="80" spans="2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ht="12.75" customHeight="1" x14ac:dyDescent="0.2">
      <c r="E106"/>
      <c r="I106"/>
      <c r="K106"/>
    </row>
    <row r="107" spans="5:11" ht="12.75" customHeight="1" x14ac:dyDescent="0.2">
      <c r="E107"/>
      <c r="I107"/>
      <c r="K107"/>
    </row>
    <row r="108" spans="5:11" x14ac:dyDescent="0.2">
      <c r="E108"/>
      <c r="I108"/>
      <c r="K108"/>
    </row>
    <row r="109" spans="5:11" x14ac:dyDescent="0.2">
      <c r="E109"/>
      <c r="I109"/>
      <c r="K109"/>
    </row>
    <row r="110" spans="5:11" x14ac:dyDescent="0.2">
      <c r="E110"/>
      <c r="I110"/>
      <c r="K110"/>
    </row>
  </sheetData>
  <sheetProtection password="EDB4" sheet="1" objects="1" scenarios="1"/>
  <sortState ref="J11:K28">
    <sortCondition descending="1" ref="K11:K28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7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398</v>
      </c>
      <c r="B1" s="124" t="s">
        <v>340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C7" s="16"/>
      <c r="F7" s="13"/>
      <c r="G7" s="14"/>
      <c r="H7" s="15"/>
    </row>
    <row r="8" spans="1:16" ht="12.75" customHeight="1" x14ac:dyDescent="0.2">
      <c r="B8" s="16" t="s">
        <v>314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s="65" t="s">
        <v>676</v>
      </c>
      <c r="C9" t="s">
        <v>705</v>
      </c>
      <c r="D9" t="s">
        <v>163</v>
      </c>
      <c r="E9" s="28">
        <v>118</v>
      </c>
      <c r="F9" s="13">
        <v>582.76247000000001</v>
      </c>
      <c r="G9" s="14">
        <f t="shared" ref="G9:G15" si="0">+ROUND(F9/VLOOKUP("Grand Total",$B$4:$F$300,5,0),4)</f>
        <v>0.1018</v>
      </c>
      <c r="H9" s="15">
        <v>43129</v>
      </c>
      <c r="I9" s="64"/>
      <c r="J9" s="14" t="s">
        <v>163</v>
      </c>
      <c r="K9" s="48">
        <f t="shared" ref="K9:K18" si="1">SUMIFS($G$5:$G$323,$D$5:$D$323,J9)</f>
        <v>0.20099999999999998</v>
      </c>
    </row>
    <row r="10" spans="1:16" ht="12.75" customHeight="1" x14ac:dyDescent="0.2">
      <c r="A10">
        <f>+MAX($A$8:A9)+1</f>
        <v>2</v>
      </c>
      <c r="B10" s="1" t="s">
        <v>660</v>
      </c>
      <c r="C10" t="s">
        <v>700</v>
      </c>
      <c r="D10" t="s">
        <v>296</v>
      </c>
      <c r="E10" s="28">
        <v>100</v>
      </c>
      <c r="F10" s="13">
        <v>497.416</v>
      </c>
      <c r="G10" s="14">
        <f t="shared" si="0"/>
        <v>8.6900000000000005E-2</v>
      </c>
      <c r="H10" s="15">
        <v>43098</v>
      </c>
      <c r="I10" s="64"/>
      <c r="J10" s="14" t="s">
        <v>109</v>
      </c>
      <c r="K10" s="48">
        <f t="shared" si="1"/>
        <v>0.1956</v>
      </c>
    </row>
    <row r="11" spans="1:16" ht="12.75" customHeight="1" x14ac:dyDescent="0.2">
      <c r="A11">
        <f>+MAX($A$8:A10)+1</f>
        <v>3</v>
      </c>
      <c r="B11" s="1" t="s">
        <v>619</v>
      </c>
      <c r="C11" t="s">
        <v>703</v>
      </c>
      <c r="D11" t="s">
        <v>620</v>
      </c>
      <c r="E11" s="28">
        <v>80</v>
      </c>
      <c r="F11" s="13">
        <v>393.32639999999998</v>
      </c>
      <c r="G11" s="14">
        <f t="shared" si="0"/>
        <v>6.8699999999999997E-2</v>
      </c>
      <c r="H11" s="15">
        <v>43129</v>
      </c>
      <c r="I11" s="64"/>
      <c r="J11" s="14" t="s">
        <v>376</v>
      </c>
      <c r="K11" s="48">
        <f t="shared" si="1"/>
        <v>0.1026</v>
      </c>
    </row>
    <row r="12" spans="1:16" ht="12.75" customHeight="1" x14ac:dyDescent="0.2">
      <c r="A12">
        <f>+MAX($A$8:A11)+1</f>
        <v>4</v>
      </c>
      <c r="B12" s="1" t="s">
        <v>297</v>
      </c>
      <c r="C12" t="s">
        <v>706</v>
      </c>
      <c r="D12" t="s">
        <v>659</v>
      </c>
      <c r="E12" s="28">
        <v>80</v>
      </c>
      <c r="F12" s="13">
        <v>370.21080000000001</v>
      </c>
      <c r="G12" s="14">
        <f t="shared" si="0"/>
        <v>6.4699999999999994E-2</v>
      </c>
      <c r="H12" s="15">
        <v>43426</v>
      </c>
      <c r="I12" s="64"/>
      <c r="J12" s="14" t="s">
        <v>382</v>
      </c>
      <c r="K12" s="48">
        <f t="shared" si="1"/>
        <v>8.9800000000000005E-2</v>
      </c>
    </row>
    <row r="13" spans="1:16" ht="12.75" customHeight="1" x14ac:dyDescent="0.2">
      <c r="A13">
        <f>+MAX($A$8:A12)+1</f>
        <v>5</v>
      </c>
      <c r="B13" s="1" t="s">
        <v>624</v>
      </c>
      <c r="C13" t="s">
        <v>707</v>
      </c>
      <c r="D13" t="s">
        <v>163</v>
      </c>
      <c r="E13" s="28">
        <v>60</v>
      </c>
      <c r="F13" s="13">
        <v>298.92329999999998</v>
      </c>
      <c r="G13" s="14">
        <f t="shared" si="0"/>
        <v>5.2200000000000003E-2</v>
      </c>
      <c r="H13" s="15">
        <v>43090</v>
      </c>
      <c r="I13" s="64"/>
      <c r="J13" s="14" t="s">
        <v>296</v>
      </c>
      <c r="K13" s="48">
        <f t="shared" si="1"/>
        <v>8.6900000000000005E-2</v>
      </c>
    </row>
    <row r="14" spans="1:16" ht="12.75" customHeight="1" x14ac:dyDescent="0.2">
      <c r="A14">
        <f>+MAX($A$8:A13)+1</f>
        <v>6</v>
      </c>
      <c r="B14" s="1" t="s">
        <v>624</v>
      </c>
      <c r="C14" t="s">
        <v>671</v>
      </c>
      <c r="D14" t="s">
        <v>163</v>
      </c>
      <c r="E14" s="28">
        <v>40</v>
      </c>
      <c r="F14" s="13">
        <v>199.22620000000001</v>
      </c>
      <c r="G14" s="14">
        <f t="shared" si="0"/>
        <v>3.4799999999999998E-2</v>
      </c>
      <c r="H14" s="15">
        <v>43091</v>
      </c>
      <c r="I14" s="64"/>
      <c r="J14" s="14" t="s">
        <v>298</v>
      </c>
      <c r="K14" s="48">
        <f t="shared" si="1"/>
        <v>7.0000000000000007E-2</v>
      </c>
    </row>
    <row r="15" spans="1:16" ht="12.75" customHeight="1" x14ac:dyDescent="0.2">
      <c r="A15">
        <f>+MAX($A$8:A14)+1</f>
        <v>7</v>
      </c>
      <c r="B15" s="1" t="s">
        <v>708</v>
      </c>
      <c r="C15" t="s">
        <v>709</v>
      </c>
      <c r="D15" t="s">
        <v>163</v>
      </c>
      <c r="E15" s="28">
        <v>14</v>
      </c>
      <c r="F15" s="13">
        <v>69.964089999999999</v>
      </c>
      <c r="G15" s="14">
        <f t="shared" si="0"/>
        <v>1.2200000000000001E-2</v>
      </c>
      <c r="H15" s="15">
        <v>43073</v>
      </c>
      <c r="I15" s="64"/>
      <c r="J15" s="14" t="s">
        <v>620</v>
      </c>
      <c r="K15" s="48">
        <f t="shared" si="1"/>
        <v>6.8699999999999997E-2</v>
      </c>
    </row>
    <row r="16" spans="1:16" ht="12.75" customHeight="1" x14ac:dyDescent="0.2">
      <c r="B16" s="18" t="s">
        <v>86</v>
      </c>
      <c r="C16" s="18"/>
      <c r="D16" s="18"/>
      <c r="E16" s="29"/>
      <c r="F16" s="19">
        <f>SUM(F9:F15)</f>
        <v>2411.82926</v>
      </c>
      <c r="G16" s="20">
        <f>SUM(G9:G15)</f>
        <v>0.42130000000000001</v>
      </c>
      <c r="H16" s="21"/>
      <c r="J16" t="s">
        <v>659</v>
      </c>
      <c r="K16" s="48">
        <f t="shared" si="1"/>
        <v>6.4699999999999994E-2</v>
      </c>
      <c r="M16" s="14"/>
      <c r="N16" s="36"/>
      <c r="P16" s="14"/>
    </row>
    <row r="17" spans="1:16" ht="12.75" customHeight="1" x14ac:dyDescent="0.2">
      <c r="B17" s="16"/>
      <c r="C17" s="16"/>
      <c r="F17" s="13"/>
      <c r="G17" s="14"/>
      <c r="H17" s="15"/>
      <c r="J17" t="s">
        <v>578</v>
      </c>
      <c r="K17" s="48">
        <f t="shared" si="1"/>
        <v>3.5099999999999999E-2</v>
      </c>
    </row>
    <row r="18" spans="1:16" ht="12.75" customHeight="1" x14ac:dyDescent="0.2">
      <c r="B18" s="16" t="s">
        <v>170</v>
      </c>
      <c r="C18" s="16"/>
      <c r="F18" s="13"/>
      <c r="G18" s="14"/>
      <c r="H18" s="15"/>
      <c r="J18" s="81" t="s">
        <v>172</v>
      </c>
      <c r="K18" s="48">
        <f t="shared" si="1"/>
        <v>1.7600000000000001E-2</v>
      </c>
    </row>
    <row r="19" spans="1:16" ht="12.75" customHeight="1" x14ac:dyDescent="0.2">
      <c r="A19">
        <f>+MAX($A$8:A18)+1</f>
        <v>8</v>
      </c>
      <c r="B19" s="65" t="s">
        <v>695</v>
      </c>
      <c r="C19" t="s">
        <v>696</v>
      </c>
      <c r="D19" t="s">
        <v>420</v>
      </c>
      <c r="E19" s="28">
        <v>12000</v>
      </c>
      <c r="F19" s="13">
        <v>11.797739999999999</v>
      </c>
      <c r="G19" s="14">
        <f>+ROUND(F19/VLOOKUP("Grand Total",$B$4:$F$300,5,0),4)</f>
        <v>2.0999999999999999E-3</v>
      </c>
      <c r="H19" s="15">
        <v>43172</v>
      </c>
      <c r="I19" s="64"/>
      <c r="J19" s="14" t="s">
        <v>573</v>
      </c>
      <c r="K19" s="48">
        <f t="shared" ref="K19:K20" si="2">SUMIFS($G$5:$G$323,$D$5:$D$323,J19)</f>
        <v>1.7600000000000001E-2</v>
      </c>
    </row>
    <row r="20" spans="1:16" ht="12.75" customHeight="1" x14ac:dyDescent="0.2">
      <c r="B20" s="18" t="s">
        <v>86</v>
      </c>
      <c r="C20" s="18"/>
      <c r="D20" s="18"/>
      <c r="E20" s="29"/>
      <c r="F20" s="19">
        <f>SUM(F19:F19)</f>
        <v>11.797739999999999</v>
      </c>
      <c r="G20" s="20">
        <f>SUM(G19:G19)</f>
        <v>2.0999999999999999E-3</v>
      </c>
      <c r="H20" s="21"/>
      <c r="J20" t="s">
        <v>420</v>
      </c>
      <c r="K20" s="48">
        <f t="shared" si="2"/>
        <v>2.0999999999999999E-3</v>
      </c>
      <c r="M20" s="14"/>
      <c r="N20" s="36"/>
      <c r="P20" s="14"/>
    </row>
    <row r="21" spans="1:16" ht="12.75" customHeight="1" x14ac:dyDescent="0.2">
      <c r="B21" s="16"/>
      <c r="C21" s="16"/>
      <c r="F21" s="13"/>
      <c r="G21" s="14"/>
      <c r="H21" s="15"/>
      <c r="J21" s="14" t="s">
        <v>64</v>
      </c>
      <c r="K21" s="48">
        <f>+SUMIFS($G$5:$G$999,$B$5:$B$999,"CBLO / Reverse Repo Investments")+SUMIFS($G$5:$G$999,$B$5:$B$999,"Net Receivable/Payable")</f>
        <v>4.8300000000000003E-2</v>
      </c>
    </row>
    <row r="22" spans="1:16" ht="12.75" customHeight="1" x14ac:dyDescent="0.2">
      <c r="B22" s="16" t="s">
        <v>126</v>
      </c>
      <c r="C22" s="16"/>
      <c r="F22" s="13"/>
      <c r="G22" s="14"/>
      <c r="H22" s="15"/>
      <c r="I22" s="35"/>
      <c r="J22" s="14"/>
      <c r="K22" s="48"/>
      <c r="N22" s="36"/>
      <c r="P22" s="14"/>
    </row>
    <row r="23" spans="1:16" ht="12.75" customHeight="1" x14ac:dyDescent="0.2">
      <c r="B23" s="31" t="s">
        <v>313</v>
      </c>
      <c r="C23" s="16"/>
      <c r="F23" s="13"/>
      <c r="G23" s="14"/>
      <c r="H23" s="15"/>
      <c r="J23" s="14"/>
      <c r="K23" s="48"/>
      <c r="M23" s="14"/>
      <c r="N23" s="36"/>
      <c r="P23" s="14"/>
    </row>
    <row r="24" spans="1:16" ht="12.75" customHeight="1" x14ac:dyDescent="0.2">
      <c r="A24">
        <f>+MAX($A$8:A23)+1</f>
        <v>9</v>
      </c>
      <c r="B24" t="s">
        <v>550</v>
      </c>
      <c r="C24" t="s">
        <v>551</v>
      </c>
      <c r="D24" t="s">
        <v>109</v>
      </c>
      <c r="E24" s="28">
        <v>60</v>
      </c>
      <c r="F24" s="13">
        <v>602.10599999999999</v>
      </c>
      <c r="G24" s="14">
        <f t="shared" ref="G24:G30" si="3">+ROUND(F24/VLOOKUP("Grand Total",$B$4:$F$293,5,0),4)</f>
        <v>0.1051</v>
      </c>
      <c r="H24" s="15">
        <v>44091</v>
      </c>
      <c r="I24" s="64"/>
      <c r="J24" s="14"/>
      <c r="K24" s="48"/>
      <c r="L24" s="54"/>
      <c r="M24" s="14"/>
    </row>
    <row r="25" spans="1:16" s="1" customFormat="1" ht="12.75" customHeight="1" x14ac:dyDescent="0.2">
      <c r="A25">
        <f>+MAX($A$8:A24)+1</f>
        <v>10</v>
      </c>
      <c r="B25" s="1" t="s">
        <v>477</v>
      </c>
      <c r="C25" s="1" t="s">
        <v>443</v>
      </c>
      <c r="D25" s="1" t="s">
        <v>376</v>
      </c>
      <c r="E25" s="57">
        <v>50000</v>
      </c>
      <c r="F25" s="58">
        <v>507.14749999999998</v>
      </c>
      <c r="G25" s="14">
        <f t="shared" si="3"/>
        <v>8.8599999999999998E-2</v>
      </c>
      <c r="H25" s="60">
        <v>43717</v>
      </c>
      <c r="I25" s="64"/>
      <c r="J25" s="14"/>
      <c r="K25" s="36"/>
      <c r="L25" s="54"/>
      <c r="M25" s="14"/>
      <c r="N25" s="61"/>
      <c r="P25" s="59"/>
    </row>
    <row r="26" spans="1:16" s="1" customFormat="1" ht="12.75" customHeight="1" x14ac:dyDescent="0.2">
      <c r="A26">
        <f>+MAX($A$8:A25)+1</f>
        <v>11</v>
      </c>
      <c r="B26" s="1" t="s">
        <v>547</v>
      </c>
      <c r="C26" s="1" t="s">
        <v>548</v>
      </c>
      <c r="D26" s="1" t="s">
        <v>109</v>
      </c>
      <c r="E26" s="57">
        <v>32</v>
      </c>
      <c r="F26" s="58">
        <v>411.92160000000001</v>
      </c>
      <c r="G26" s="14">
        <f t="shared" si="3"/>
        <v>7.1900000000000006E-2</v>
      </c>
      <c r="H26" s="60">
        <v>43757</v>
      </c>
      <c r="I26" s="64"/>
      <c r="J26"/>
      <c r="K26" s="36"/>
      <c r="M26" s="59"/>
      <c r="N26" s="61"/>
      <c r="P26" s="59"/>
    </row>
    <row r="27" spans="1:16" s="1" customFormat="1" ht="12.75" customHeight="1" x14ac:dyDescent="0.2">
      <c r="A27">
        <f>+MAX($A$8:A26)+1</f>
        <v>12</v>
      </c>
      <c r="B27" s="1" t="s">
        <v>519</v>
      </c>
      <c r="C27" s="1" t="s">
        <v>520</v>
      </c>
      <c r="D27" s="1" t="s">
        <v>298</v>
      </c>
      <c r="E27" s="57">
        <v>40</v>
      </c>
      <c r="F27" s="58">
        <v>400.55520000000001</v>
      </c>
      <c r="G27" s="14">
        <f t="shared" si="3"/>
        <v>7.0000000000000007E-2</v>
      </c>
      <c r="H27" s="60">
        <v>43630</v>
      </c>
      <c r="I27" s="64"/>
      <c r="N27" s="61"/>
      <c r="P27" s="59"/>
    </row>
    <row r="28" spans="1:16" s="1" customFormat="1" ht="12.75" customHeight="1" x14ac:dyDescent="0.2">
      <c r="A28">
        <f>+MAX($A$8:A27)+1</f>
        <v>13</v>
      </c>
      <c r="B28" s="1" t="s">
        <v>380</v>
      </c>
      <c r="C28" s="1" t="s">
        <v>381</v>
      </c>
      <c r="D28" s="1" t="s">
        <v>578</v>
      </c>
      <c r="E28" s="57">
        <v>20</v>
      </c>
      <c r="F28" s="58">
        <v>201.15639999999999</v>
      </c>
      <c r="G28" s="14">
        <f t="shared" si="3"/>
        <v>3.5099999999999999E-2</v>
      </c>
      <c r="H28" s="60">
        <v>43132</v>
      </c>
      <c r="I28" s="64"/>
      <c r="N28" s="61"/>
      <c r="P28" s="59"/>
    </row>
    <row r="29" spans="1:16" s="1" customFormat="1" ht="12.75" customHeight="1" x14ac:dyDescent="0.2">
      <c r="A29">
        <f>+MAX($A$8:A28)+1</f>
        <v>14</v>
      </c>
      <c r="B29" s="1" t="s">
        <v>710</v>
      </c>
      <c r="C29" s="1" t="s">
        <v>711</v>
      </c>
      <c r="D29" s="1" t="s">
        <v>109</v>
      </c>
      <c r="E29" s="57">
        <v>10</v>
      </c>
      <c r="F29" s="58">
        <v>106.6186</v>
      </c>
      <c r="G29" s="14">
        <f t="shared" si="3"/>
        <v>1.8599999999999998E-2</v>
      </c>
      <c r="H29" s="60">
        <v>44418</v>
      </c>
      <c r="I29" s="64"/>
      <c r="N29" s="61"/>
      <c r="P29" s="59"/>
    </row>
    <row r="30" spans="1:16" s="1" customFormat="1" ht="12.75" customHeight="1" x14ac:dyDescent="0.2">
      <c r="A30">
        <f>+MAX($A$8:A29)+1</f>
        <v>15</v>
      </c>
      <c r="B30" s="1" t="s">
        <v>364</v>
      </c>
      <c r="C30" s="1" t="s">
        <v>365</v>
      </c>
      <c r="D30" s="1" t="s">
        <v>573</v>
      </c>
      <c r="E30" s="57">
        <v>10</v>
      </c>
      <c r="F30" s="58">
        <v>100.85129999999999</v>
      </c>
      <c r="G30" s="14">
        <f t="shared" si="3"/>
        <v>1.7600000000000001E-2</v>
      </c>
      <c r="H30" s="60">
        <v>43309</v>
      </c>
      <c r="I30" s="64"/>
      <c r="N30" s="61"/>
      <c r="P30" s="59"/>
    </row>
    <row r="31" spans="1:16" s="1" customFormat="1" ht="12.75" customHeight="1" x14ac:dyDescent="0.2">
      <c r="A31">
        <f>+MAX($A$8:A30)+1</f>
        <v>16</v>
      </c>
      <c r="B31" s="1" t="s">
        <v>323</v>
      </c>
      <c r="C31" s="1" t="s">
        <v>173</v>
      </c>
      <c r="D31" s="1" t="s">
        <v>172</v>
      </c>
      <c r="E31" s="57">
        <v>10</v>
      </c>
      <c r="F31" s="58">
        <v>100.6692</v>
      </c>
      <c r="G31" s="14">
        <f t="shared" ref="G31:G32" si="4">+ROUND(F31/VLOOKUP("Grand Total",$B$4:$F$293,5,0),4)</f>
        <v>1.7600000000000001E-2</v>
      </c>
      <c r="H31" s="60">
        <v>43259</v>
      </c>
      <c r="I31" s="64"/>
      <c r="N31" s="61"/>
      <c r="P31" s="59"/>
    </row>
    <row r="32" spans="1:16" s="1" customFormat="1" ht="12.75" customHeight="1" x14ac:dyDescent="0.2">
      <c r="A32">
        <f>+MAX($A$8:A31)+1</f>
        <v>17</v>
      </c>
      <c r="B32" s="1" t="s">
        <v>374</v>
      </c>
      <c r="C32" s="1" t="s">
        <v>377</v>
      </c>
      <c r="D32" s="1" t="s">
        <v>376</v>
      </c>
      <c r="E32" s="57">
        <v>8</v>
      </c>
      <c r="F32" s="58">
        <v>80.355760000000004</v>
      </c>
      <c r="G32" s="14">
        <f t="shared" si="4"/>
        <v>1.4E-2</v>
      </c>
      <c r="H32" s="60">
        <v>43175</v>
      </c>
      <c r="I32" s="64"/>
      <c r="N32" s="61"/>
      <c r="P32" s="59"/>
    </row>
    <row r="33" spans="1:16" ht="12.75" customHeight="1" x14ac:dyDescent="0.2">
      <c r="B33" s="18" t="s">
        <v>86</v>
      </c>
      <c r="C33" s="18"/>
      <c r="D33" s="18"/>
      <c r="E33" s="29"/>
      <c r="F33" s="19">
        <f>SUM(F24:F32)</f>
        <v>2511.3815599999994</v>
      </c>
      <c r="G33" s="20">
        <f>SUM(G24:G32)</f>
        <v>0.43850000000000006</v>
      </c>
      <c r="H33" s="21"/>
      <c r="I33" s="35"/>
    </row>
    <row r="34" spans="1:16" s="46" customFormat="1" ht="12.75" customHeight="1" x14ac:dyDescent="0.2">
      <c r="B34" s="67"/>
      <c r="C34" s="67"/>
      <c r="D34" s="67"/>
      <c r="E34" s="68"/>
      <c r="F34" s="69"/>
      <c r="G34" s="70"/>
      <c r="H34" s="71"/>
      <c r="I34" s="71"/>
      <c r="K34" s="48"/>
    </row>
    <row r="35" spans="1:16" ht="12.75" customHeight="1" x14ac:dyDescent="0.2">
      <c r="B35" s="16" t="s">
        <v>586</v>
      </c>
      <c r="C35" s="16"/>
      <c r="F35" s="13"/>
      <c r="G35" s="14"/>
      <c r="H35" s="15"/>
      <c r="J35" s="17"/>
      <c r="K35" s="37"/>
    </row>
    <row r="36" spans="1:16" ht="12.75" customHeight="1" x14ac:dyDescent="0.2">
      <c r="A36">
        <f>+MAX($A$8:A35)+1</f>
        <v>18</v>
      </c>
      <c r="B36" s="65" t="s">
        <v>579</v>
      </c>
      <c r="C36" t="s">
        <v>580</v>
      </c>
      <c r="D36" t="s">
        <v>382</v>
      </c>
      <c r="E36" s="28">
        <v>50</v>
      </c>
      <c r="F36" s="13">
        <v>514.06650000000002</v>
      </c>
      <c r="G36" s="14">
        <f>+ROUND(F36/VLOOKUP("Grand Total",$B$4:$F$300,5,0),4)</f>
        <v>8.9800000000000005E-2</v>
      </c>
      <c r="H36" s="15">
        <v>43321</v>
      </c>
      <c r="I36" s="64"/>
      <c r="J36" s="14"/>
      <c r="K36" s="48"/>
    </row>
    <row r="37" spans="1:16" ht="12.75" customHeight="1" x14ac:dyDescent="0.2">
      <c r="B37" s="18" t="s">
        <v>86</v>
      </c>
      <c r="C37" s="18"/>
      <c r="D37" s="18"/>
      <c r="E37" s="29"/>
      <c r="F37" s="19">
        <f>SUM(F36:F36)</f>
        <v>514.06650000000002</v>
      </c>
      <c r="G37" s="20">
        <f>SUM(G36:G36)</f>
        <v>8.9800000000000005E-2</v>
      </c>
      <c r="H37" s="21"/>
      <c r="K37" s="48"/>
      <c r="M37" s="14"/>
      <c r="N37" s="36"/>
      <c r="P37" s="14"/>
    </row>
    <row r="38" spans="1:16" s="46" customFormat="1" ht="12.75" customHeight="1" x14ac:dyDescent="0.2">
      <c r="B38" s="67"/>
      <c r="C38" s="67"/>
      <c r="D38" s="67"/>
      <c r="E38" s="68"/>
      <c r="F38" s="69"/>
      <c r="G38" s="70"/>
      <c r="H38" s="71"/>
      <c r="I38" s="71"/>
      <c r="K38" s="48"/>
    </row>
    <row r="39" spans="1:16" ht="12.75" customHeight="1" x14ac:dyDescent="0.2">
      <c r="A39" s="95" t="s">
        <v>387</v>
      </c>
      <c r="B39" s="16" t="s">
        <v>94</v>
      </c>
      <c r="C39" s="16"/>
      <c r="F39" s="13">
        <v>181.8175707</v>
      </c>
      <c r="G39" s="14">
        <f>+ROUND(F39/VLOOKUP("Grand Total",$B$4:$F$300,5,0),4)</f>
        <v>3.1800000000000002E-2</v>
      </c>
      <c r="H39" s="15">
        <v>43073</v>
      </c>
    </row>
    <row r="40" spans="1:16" ht="12.75" customHeight="1" x14ac:dyDescent="0.2">
      <c r="B40" s="18" t="s">
        <v>86</v>
      </c>
      <c r="C40" s="18"/>
      <c r="D40" s="18"/>
      <c r="E40" s="29"/>
      <c r="F40" s="19">
        <f>SUM(F39)</f>
        <v>181.8175707</v>
      </c>
      <c r="G40" s="20">
        <f>SUM(G39)</f>
        <v>3.1800000000000002E-2</v>
      </c>
      <c r="H40" s="21"/>
    </row>
    <row r="41" spans="1:16" ht="12.75" customHeight="1" x14ac:dyDescent="0.2">
      <c r="F41" s="13"/>
      <c r="G41" s="14"/>
      <c r="H41" s="15"/>
      <c r="I41" s="35"/>
    </row>
    <row r="42" spans="1:16" ht="12.75" customHeight="1" x14ac:dyDescent="0.2">
      <c r="B42" s="16" t="s">
        <v>95</v>
      </c>
      <c r="C42" s="16"/>
      <c r="F42" s="13"/>
      <c r="G42" s="14"/>
      <c r="H42" s="15"/>
    </row>
    <row r="43" spans="1:16" ht="12.75" customHeight="1" x14ac:dyDescent="0.2">
      <c r="B43" s="16" t="s">
        <v>96</v>
      </c>
      <c r="C43" s="16"/>
      <c r="F43" s="13">
        <v>95.29982740000105</v>
      </c>
      <c r="G43" s="14">
        <f>+ROUND(F43/VLOOKUP("Grand Total",$B$4:$F$300,5,0),4)-0.01%</f>
        <v>1.6500000000000001E-2</v>
      </c>
      <c r="H43" s="15"/>
    </row>
    <row r="44" spans="1:16" ht="12.75" customHeight="1" x14ac:dyDescent="0.2">
      <c r="B44" s="18" t="s">
        <v>86</v>
      </c>
      <c r="C44" s="18"/>
      <c r="D44" s="18"/>
      <c r="E44" s="29"/>
      <c r="F44" s="19">
        <f>SUM(F43)</f>
        <v>95.29982740000105</v>
      </c>
      <c r="G44" s="20">
        <f>SUM(G43)</f>
        <v>1.6500000000000001E-2</v>
      </c>
      <c r="H44" s="21"/>
      <c r="I44" s="35"/>
    </row>
    <row r="45" spans="1:16" ht="12.75" customHeight="1" x14ac:dyDescent="0.2">
      <c r="B45" s="22" t="s">
        <v>97</v>
      </c>
      <c r="C45" s="22"/>
      <c r="D45" s="22"/>
      <c r="E45" s="30"/>
      <c r="F45" s="23">
        <f>+SUMIF($B$5:B44,"Total",$F$5:F44)</f>
        <v>5726.1924581000003</v>
      </c>
      <c r="G45" s="24">
        <f>+SUMIF($B$5:B44,"Total",$G$5:G44)</f>
        <v>1.0000000000000002</v>
      </c>
      <c r="H45" s="25"/>
    </row>
    <row r="46" spans="1:16" ht="12.75" customHeight="1" x14ac:dyDescent="0.2"/>
    <row r="47" spans="1:16" ht="12.75" customHeight="1" x14ac:dyDescent="0.2">
      <c r="B47" s="16" t="s">
        <v>192</v>
      </c>
      <c r="C47" s="16"/>
    </row>
    <row r="48" spans="1:16" ht="12.75" customHeight="1" x14ac:dyDescent="0.2">
      <c r="B48" s="16" t="s">
        <v>189</v>
      </c>
      <c r="C48" s="16"/>
      <c r="I48" s="35"/>
    </row>
    <row r="49" spans="2:3" ht="12.75" customHeight="1" x14ac:dyDescent="0.2">
      <c r="B49" s="16"/>
      <c r="C49" s="16"/>
    </row>
    <row r="50" spans="2:3" ht="12.75" customHeight="1" x14ac:dyDescent="0.2">
      <c r="B50" s="16"/>
      <c r="C50" s="16"/>
    </row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sheetProtection password="EDB4" sheet="1" objects="1" scenarios="1"/>
  <sortState ref="J8:K18">
    <sortCondition descending="1" ref="K8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6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399</v>
      </c>
      <c r="B1" s="124" t="s">
        <v>194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F7" s="13"/>
      <c r="G7" s="14"/>
      <c r="H7" s="15"/>
    </row>
    <row r="8" spans="1:16" ht="12.75" customHeight="1" x14ac:dyDescent="0.2">
      <c r="B8" s="16" t="s">
        <v>314</v>
      </c>
      <c r="C8" s="16"/>
      <c r="F8" s="13"/>
      <c r="G8" s="14"/>
      <c r="H8" s="15"/>
      <c r="I8" s="64"/>
      <c r="L8" s="54"/>
      <c r="M8" s="14"/>
      <c r="N8" s="36"/>
      <c r="P8" s="14"/>
    </row>
    <row r="9" spans="1:16" ht="12.75" customHeight="1" x14ac:dyDescent="0.2">
      <c r="A9">
        <f>+MAX($A8:A$8)+1</f>
        <v>1</v>
      </c>
      <c r="B9" s="1" t="s">
        <v>297</v>
      </c>
      <c r="C9" t="s">
        <v>612</v>
      </c>
      <c r="D9" t="s">
        <v>659</v>
      </c>
      <c r="E9" s="28">
        <v>100</v>
      </c>
      <c r="F9" s="13">
        <v>470.44349999999997</v>
      </c>
      <c r="G9" s="14">
        <f>+ROUND(F9/VLOOKUP("Grand Total",$B$4:$F$295,5,0),4)</f>
        <v>4.1000000000000002E-2</v>
      </c>
      <c r="H9" s="15">
        <v>43350</v>
      </c>
      <c r="I9" s="64"/>
      <c r="J9" s="17" t="s">
        <v>4</v>
      </c>
      <c r="K9" s="37" t="s">
        <v>12</v>
      </c>
    </row>
    <row r="10" spans="1:16" ht="12.75" customHeight="1" x14ac:dyDescent="0.2">
      <c r="B10" s="18" t="s">
        <v>86</v>
      </c>
      <c r="C10" s="18"/>
      <c r="D10" s="18"/>
      <c r="E10" s="29"/>
      <c r="F10" s="19">
        <f>SUM(F9:F9)</f>
        <v>470.44349999999997</v>
      </c>
      <c r="G10" s="20">
        <f>SUM(G9:G9)</f>
        <v>4.1000000000000002E-2</v>
      </c>
      <c r="H10" s="21"/>
      <c r="I10" s="64"/>
      <c r="J10" s="14" t="s">
        <v>420</v>
      </c>
      <c r="K10" s="48">
        <f t="shared" ref="K10:K18" si="0">SUMIFS($G$5:$G$332,$D$5:$D$332,J10)</f>
        <v>0.45429999999999993</v>
      </c>
    </row>
    <row r="11" spans="1:16" ht="12.75" customHeight="1" x14ac:dyDescent="0.2">
      <c r="F11" s="13"/>
      <c r="G11" s="14"/>
      <c r="H11" s="15"/>
      <c r="J11" s="90" t="s">
        <v>109</v>
      </c>
      <c r="K11" s="48">
        <f t="shared" si="0"/>
        <v>0.30260000000000004</v>
      </c>
    </row>
    <row r="12" spans="1:16" ht="12.75" customHeight="1" x14ac:dyDescent="0.2">
      <c r="B12" s="16" t="s">
        <v>171</v>
      </c>
      <c r="C12" s="16"/>
      <c r="F12" s="13"/>
      <c r="G12" s="14"/>
      <c r="H12" s="15"/>
      <c r="I12" s="64"/>
      <c r="J12" t="s">
        <v>376</v>
      </c>
      <c r="K12" s="48">
        <f t="shared" si="0"/>
        <v>6.1800000000000008E-2</v>
      </c>
      <c r="L12" s="54"/>
      <c r="M12" s="14"/>
      <c r="N12" s="36"/>
      <c r="P12" s="14"/>
    </row>
    <row r="13" spans="1:16" ht="12.75" customHeight="1" x14ac:dyDescent="0.2">
      <c r="A13">
        <f>+MAX($A$8:A12)+1</f>
        <v>2</v>
      </c>
      <c r="B13" s="1" t="s">
        <v>581</v>
      </c>
      <c r="C13" t="s">
        <v>582</v>
      </c>
      <c r="D13" t="s">
        <v>420</v>
      </c>
      <c r="E13" s="28">
        <v>1200000</v>
      </c>
      <c r="F13" s="13">
        <v>1209.9828</v>
      </c>
      <c r="G13" s="14">
        <f t="shared" ref="G13:G19" si="1">+ROUND(F13/VLOOKUP("Grand Total",$B$4:$F$295,5,0),4)</f>
        <v>0.1055</v>
      </c>
      <c r="H13" s="15">
        <v>45066</v>
      </c>
      <c r="I13" s="64"/>
      <c r="J13" t="s">
        <v>176</v>
      </c>
      <c r="K13" s="48">
        <f t="shared" si="0"/>
        <v>4.3200000000000002E-2</v>
      </c>
    </row>
    <row r="14" spans="1:16" ht="12.75" customHeight="1" x14ac:dyDescent="0.2">
      <c r="A14">
        <f>+MAX($A$8:A13)+1</f>
        <v>3</v>
      </c>
      <c r="B14" s="1" t="s">
        <v>698</v>
      </c>
      <c r="C14" t="s">
        <v>699</v>
      </c>
      <c r="D14" t="s">
        <v>420</v>
      </c>
      <c r="E14" s="28">
        <v>1200000</v>
      </c>
      <c r="F14" s="13">
        <v>1177.9764</v>
      </c>
      <c r="G14" s="14">
        <f t="shared" si="1"/>
        <v>0.1028</v>
      </c>
      <c r="H14" s="15">
        <v>46522</v>
      </c>
      <c r="I14" s="64"/>
      <c r="J14" t="s">
        <v>499</v>
      </c>
      <c r="K14" s="48">
        <f t="shared" si="0"/>
        <v>4.41E-2</v>
      </c>
    </row>
    <row r="15" spans="1:16" ht="12.75" customHeight="1" x14ac:dyDescent="0.2">
      <c r="A15">
        <f>+MAX($A$8:A14)+1</f>
        <v>4</v>
      </c>
      <c r="B15" s="1" t="s">
        <v>517</v>
      </c>
      <c r="C15" t="s">
        <v>518</v>
      </c>
      <c r="D15" t="s">
        <v>420</v>
      </c>
      <c r="E15" s="28">
        <v>850000</v>
      </c>
      <c r="F15" s="13">
        <v>877.64880000000005</v>
      </c>
      <c r="G15" s="14">
        <f t="shared" si="1"/>
        <v>7.6600000000000001E-2</v>
      </c>
      <c r="H15" s="15">
        <v>45275</v>
      </c>
      <c r="I15" s="64"/>
      <c r="J15" t="s">
        <v>659</v>
      </c>
      <c r="K15" s="48">
        <f t="shared" si="0"/>
        <v>4.1000000000000002E-2</v>
      </c>
    </row>
    <row r="16" spans="1:16" ht="12.75" customHeight="1" x14ac:dyDescent="0.2">
      <c r="A16">
        <f>+MAX($A$8:A15)+1</f>
        <v>5</v>
      </c>
      <c r="B16" s="1" t="s">
        <v>712</v>
      </c>
      <c r="C16" t="s">
        <v>713</v>
      </c>
      <c r="D16" t="s">
        <v>420</v>
      </c>
      <c r="E16" s="28">
        <v>700000</v>
      </c>
      <c r="F16" s="13">
        <v>711.90769999999998</v>
      </c>
      <c r="G16" s="14">
        <f t="shared" si="1"/>
        <v>6.2100000000000002E-2</v>
      </c>
      <c r="H16" s="15">
        <v>47197</v>
      </c>
      <c r="I16" s="64"/>
      <c r="J16" t="s">
        <v>172</v>
      </c>
      <c r="K16" s="48">
        <f t="shared" si="0"/>
        <v>8.8000000000000005E-3</v>
      </c>
    </row>
    <row r="17" spans="1:11" ht="12.75" customHeight="1" x14ac:dyDescent="0.2">
      <c r="A17">
        <f>+MAX($A$8:A16)+1</f>
        <v>6</v>
      </c>
      <c r="B17" s="1" t="s">
        <v>625</v>
      </c>
      <c r="C17" t="s">
        <v>626</v>
      </c>
      <c r="D17" t="s">
        <v>420</v>
      </c>
      <c r="E17" s="28">
        <v>600000</v>
      </c>
      <c r="F17" s="13">
        <v>614.0376</v>
      </c>
      <c r="G17" s="14">
        <f t="shared" si="1"/>
        <v>5.3600000000000002E-2</v>
      </c>
      <c r="H17" s="15">
        <v>49297</v>
      </c>
      <c r="I17" s="64"/>
      <c r="J17" s="14" t="s">
        <v>64</v>
      </c>
      <c r="K17" s="48">
        <f>+SUMIFS($G$5:$G$999,$B$5:$B$999,"CBLO / Reverse Repo Investments")+SUMIFS($G$5:$G$999,$B$5:$B$999,"Net Receivable/Payable")</f>
        <v>2.6799999999999997E-2</v>
      </c>
    </row>
    <row r="18" spans="1:11" ht="12.75" customHeight="1" x14ac:dyDescent="0.2">
      <c r="A18">
        <f>+MAX($A$8:A17)+1</f>
        <v>7</v>
      </c>
      <c r="B18" s="1" t="s">
        <v>714</v>
      </c>
      <c r="C18" t="s">
        <v>715</v>
      </c>
      <c r="D18" t="s">
        <v>420</v>
      </c>
      <c r="E18" s="28">
        <v>500000</v>
      </c>
      <c r="F18" s="13">
        <v>508.50799999999998</v>
      </c>
      <c r="G18" s="14">
        <f t="shared" si="1"/>
        <v>4.4400000000000002E-2</v>
      </c>
      <c r="H18" s="15">
        <v>47612</v>
      </c>
      <c r="I18" s="64"/>
      <c r="J18" s="65" t="s">
        <v>761</v>
      </c>
      <c r="K18" s="48">
        <f t="shared" si="0"/>
        <v>1.7399999999999999E-2</v>
      </c>
    </row>
    <row r="19" spans="1:11" ht="12.75" customHeight="1" x14ac:dyDescent="0.2">
      <c r="A19">
        <f>+MAX($A$8:A18)+1</f>
        <v>8</v>
      </c>
      <c r="B19" s="1" t="s">
        <v>522</v>
      </c>
      <c r="C19" t="s">
        <v>523</v>
      </c>
      <c r="D19" t="s">
        <v>420</v>
      </c>
      <c r="E19" s="28">
        <v>100000</v>
      </c>
      <c r="F19" s="13">
        <v>106.5421</v>
      </c>
      <c r="G19" s="14">
        <f t="shared" si="1"/>
        <v>9.2999999999999992E-3</v>
      </c>
      <c r="H19" s="15">
        <v>52932</v>
      </c>
      <c r="I19" s="64"/>
      <c r="K19" s="48"/>
    </row>
    <row r="20" spans="1:11" ht="12.75" customHeight="1" x14ac:dyDescent="0.2">
      <c r="B20" s="18" t="s">
        <v>86</v>
      </c>
      <c r="C20" s="18"/>
      <c r="D20" s="18"/>
      <c r="E20" s="29"/>
      <c r="F20" s="19">
        <f>SUM(F13:F19)</f>
        <v>5206.6033999999991</v>
      </c>
      <c r="G20" s="20">
        <f>SUM(G13:G19)</f>
        <v>0.45429999999999993</v>
      </c>
      <c r="H20" s="21"/>
      <c r="I20" s="64"/>
      <c r="J20" s="14"/>
      <c r="K20" s="48"/>
    </row>
    <row r="21" spans="1:11" ht="12.75" customHeight="1" x14ac:dyDescent="0.2">
      <c r="F21" s="13"/>
      <c r="G21" s="14"/>
      <c r="H21" s="15"/>
      <c r="I21" s="64"/>
    </row>
    <row r="22" spans="1:11" ht="12.75" customHeight="1" x14ac:dyDescent="0.2">
      <c r="B22" s="16" t="s">
        <v>126</v>
      </c>
      <c r="C22" s="16"/>
      <c r="F22" s="13"/>
      <c r="G22" s="14"/>
      <c r="H22" s="15"/>
      <c r="I22" s="64"/>
      <c r="J22" s="14"/>
      <c r="K22" s="48"/>
    </row>
    <row r="23" spans="1:11" ht="12.75" customHeight="1" x14ac:dyDescent="0.2">
      <c r="B23" s="31" t="s">
        <v>425</v>
      </c>
      <c r="C23" s="16"/>
      <c r="F23" s="13"/>
      <c r="G23" s="14"/>
      <c r="H23" s="15"/>
      <c r="I23" s="64"/>
      <c r="J23" s="14"/>
    </row>
    <row r="24" spans="1:11" ht="12.75" customHeight="1" x14ac:dyDescent="0.2">
      <c r="A24">
        <f>+MAX($A$8:A23)+1</f>
        <v>9</v>
      </c>
      <c r="B24" s="65" t="s">
        <v>643</v>
      </c>
      <c r="C24" t="s">
        <v>464</v>
      </c>
      <c r="D24" t="s">
        <v>109</v>
      </c>
      <c r="E24" s="28">
        <v>50</v>
      </c>
      <c r="F24" s="13">
        <v>529.61300000000006</v>
      </c>
      <c r="G24" s="14">
        <f>+ROUND(F24/VLOOKUP("Grand Total",$B$4:$F$295,5,0),4)</f>
        <v>4.6199999999999998E-2</v>
      </c>
      <c r="H24" s="15">
        <v>44852</v>
      </c>
      <c r="I24" s="64"/>
    </row>
    <row r="25" spans="1:11" ht="12.75" customHeight="1" x14ac:dyDescent="0.2">
      <c r="A25">
        <f>+MAX($A$8:A24)+1</f>
        <v>10</v>
      </c>
      <c r="B25" s="65" t="s">
        <v>737</v>
      </c>
      <c r="C25" t="s">
        <v>716</v>
      </c>
      <c r="D25" t="s">
        <v>109</v>
      </c>
      <c r="E25" s="28">
        <v>50</v>
      </c>
      <c r="F25" s="13">
        <v>520.87249999999995</v>
      </c>
      <c r="G25" s="14">
        <f>+ROUND(F25/VLOOKUP("Grand Total",$B$4:$F$295,5,0),4)</f>
        <v>4.5400000000000003E-2</v>
      </c>
      <c r="H25" s="15">
        <v>45042</v>
      </c>
      <c r="I25" s="64"/>
    </row>
    <row r="26" spans="1:11" ht="12.75" customHeight="1" x14ac:dyDescent="0.2">
      <c r="A26">
        <f>+MAX($A$8:A25)+1</f>
        <v>11</v>
      </c>
      <c r="B26" s="65" t="s">
        <v>645</v>
      </c>
      <c r="C26" s="65" t="s">
        <v>343</v>
      </c>
      <c r="D26" t="s">
        <v>109</v>
      </c>
      <c r="E26" s="28">
        <v>100</v>
      </c>
      <c r="F26" s="13">
        <v>509.45350000000002</v>
      </c>
      <c r="G26" s="14">
        <f t="shared" ref="G26:G36" si="2">+ROUND(F26/VLOOKUP("Grand Total",$B$4:$F$298,5,0),4)</f>
        <v>4.4400000000000002E-2</v>
      </c>
      <c r="H26" s="15">
        <v>43948</v>
      </c>
      <c r="I26" s="64"/>
    </row>
    <row r="27" spans="1:11" ht="12.75" customHeight="1" x14ac:dyDescent="0.2">
      <c r="A27">
        <f>+MAX($A$8:A26)+1</f>
        <v>12</v>
      </c>
      <c r="B27" s="65" t="s">
        <v>644</v>
      </c>
      <c r="C27" s="65" t="s">
        <v>427</v>
      </c>
      <c r="D27" t="s">
        <v>109</v>
      </c>
      <c r="E27" s="28">
        <v>50</v>
      </c>
      <c r="F27" s="13">
        <v>509.15100000000001</v>
      </c>
      <c r="G27" s="14">
        <f t="shared" si="2"/>
        <v>4.4400000000000002E-2</v>
      </c>
      <c r="H27" s="15">
        <v>44127</v>
      </c>
      <c r="I27" s="64"/>
    </row>
    <row r="28" spans="1:11" ht="12.75" customHeight="1" x14ac:dyDescent="0.2">
      <c r="A28">
        <f>+MAX($A$8:A27)+1</f>
        <v>13</v>
      </c>
      <c r="B28" s="65" t="s">
        <v>588</v>
      </c>
      <c r="C28" s="65" t="s">
        <v>462</v>
      </c>
      <c r="D28" t="s">
        <v>376</v>
      </c>
      <c r="E28" s="28">
        <v>50000</v>
      </c>
      <c r="F28" s="13">
        <v>507.26049999999998</v>
      </c>
      <c r="G28" s="14">
        <f t="shared" si="2"/>
        <v>4.4200000000000003E-2</v>
      </c>
      <c r="H28" s="15">
        <v>43693</v>
      </c>
      <c r="I28" s="64"/>
    </row>
    <row r="29" spans="1:11" ht="12.75" customHeight="1" x14ac:dyDescent="0.2">
      <c r="A29">
        <f>+MAX($A$8:A28)+1</f>
        <v>14</v>
      </c>
      <c r="B29" s="65" t="s">
        <v>667</v>
      </c>
      <c r="C29" s="65" t="s">
        <v>498</v>
      </c>
      <c r="D29" t="s">
        <v>499</v>
      </c>
      <c r="E29" s="28">
        <v>50</v>
      </c>
      <c r="F29" s="13">
        <v>505.76949999999999</v>
      </c>
      <c r="G29" s="14">
        <f t="shared" si="2"/>
        <v>4.41E-2</v>
      </c>
      <c r="H29" s="15">
        <v>44693</v>
      </c>
      <c r="I29" s="64"/>
    </row>
    <row r="30" spans="1:11" ht="12.75" customHeight="1" x14ac:dyDescent="0.2">
      <c r="A30">
        <f>+MAX($A$8:A29)+1</f>
        <v>15</v>
      </c>
      <c r="B30" s="65" t="s">
        <v>678</v>
      </c>
      <c r="C30" s="65" t="s">
        <v>665</v>
      </c>
      <c r="D30" t="s">
        <v>109</v>
      </c>
      <c r="E30" s="28">
        <v>5</v>
      </c>
      <c r="F30" s="13">
        <v>500.03699999999998</v>
      </c>
      <c r="G30" s="14">
        <f t="shared" si="2"/>
        <v>4.36E-2</v>
      </c>
      <c r="H30" s="15">
        <v>43787</v>
      </c>
      <c r="I30" s="64"/>
    </row>
    <row r="31" spans="1:11" ht="12.75" customHeight="1" x14ac:dyDescent="0.2">
      <c r="A31">
        <f>+MAX($A$8:A30)+1</f>
        <v>16</v>
      </c>
      <c r="B31" s="65" t="s">
        <v>587</v>
      </c>
      <c r="C31" s="65" t="s">
        <v>583</v>
      </c>
      <c r="D31" t="s">
        <v>176</v>
      </c>
      <c r="E31" s="28">
        <v>50</v>
      </c>
      <c r="F31" s="13">
        <v>495.43950000000001</v>
      </c>
      <c r="G31" s="14">
        <f t="shared" si="2"/>
        <v>4.3200000000000002E-2</v>
      </c>
      <c r="H31" s="15">
        <v>44376</v>
      </c>
      <c r="I31" s="64"/>
    </row>
    <row r="32" spans="1:11" ht="12.75" customHeight="1" x14ac:dyDescent="0.2">
      <c r="A32">
        <f>+MAX($A$8:A31)+1</f>
        <v>17</v>
      </c>
      <c r="B32" s="65" t="s">
        <v>738</v>
      </c>
      <c r="C32" s="65" t="s">
        <v>630</v>
      </c>
      <c r="D32" t="s">
        <v>109</v>
      </c>
      <c r="E32" s="28">
        <v>50</v>
      </c>
      <c r="F32" s="13">
        <v>491.47300000000001</v>
      </c>
      <c r="G32" s="14">
        <f t="shared" si="2"/>
        <v>4.2900000000000001E-2</v>
      </c>
      <c r="H32" s="15">
        <v>44804</v>
      </c>
      <c r="I32" s="64"/>
    </row>
    <row r="33" spans="1:10" ht="12.75" customHeight="1" x14ac:dyDescent="0.2">
      <c r="A33">
        <f>+MAX($A$8:A32)+1</f>
        <v>18</v>
      </c>
      <c r="B33" s="65" t="s">
        <v>592</v>
      </c>
      <c r="C33" s="65" t="s">
        <v>428</v>
      </c>
      <c r="D33" t="s">
        <v>109</v>
      </c>
      <c r="E33" s="28">
        <v>40</v>
      </c>
      <c r="F33" s="13">
        <v>409.71359999999999</v>
      </c>
      <c r="G33" s="14">
        <f t="shared" si="2"/>
        <v>3.5700000000000003E-2</v>
      </c>
      <c r="H33" s="15">
        <v>44343</v>
      </c>
      <c r="I33" s="64"/>
    </row>
    <row r="34" spans="1:10" ht="12.75" customHeight="1" x14ac:dyDescent="0.2">
      <c r="A34">
        <f>+MAX($A$8:A33)+1</f>
        <v>19</v>
      </c>
      <c r="B34" s="65" t="s">
        <v>591</v>
      </c>
      <c r="C34" s="65" t="s">
        <v>442</v>
      </c>
      <c r="D34" t="s">
        <v>376</v>
      </c>
      <c r="E34" s="28">
        <v>20</v>
      </c>
      <c r="F34" s="13">
        <v>201.4222</v>
      </c>
      <c r="G34" s="14">
        <f t="shared" si="2"/>
        <v>1.7600000000000001E-2</v>
      </c>
      <c r="H34" s="15">
        <v>43322</v>
      </c>
      <c r="I34" s="64"/>
    </row>
    <row r="35" spans="1:10" ht="12.75" customHeight="1" x14ac:dyDescent="0.2">
      <c r="A35">
        <f>+MAX($A$8:A34)+1</f>
        <v>20</v>
      </c>
      <c r="B35" s="65" t="s">
        <v>589</v>
      </c>
      <c r="C35" s="65" t="s">
        <v>495</v>
      </c>
      <c r="D35" s="65" t="s">
        <v>761</v>
      </c>
      <c r="E35" s="28">
        <v>20</v>
      </c>
      <c r="F35" s="13">
        <v>199.9778</v>
      </c>
      <c r="G35" s="14">
        <f t="shared" si="2"/>
        <v>1.7399999999999999E-2</v>
      </c>
      <c r="H35" s="15">
        <v>43105</v>
      </c>
      <c r="I35" s="64"/>
    </row>
    <row r="36" spans="1:10" ht="12.75" customHeight="1" x14ac:dyDescent="0.2">
      <c r="A36">
        <f>+MAX($A$8:A35)+1</f>
        <v>21</v>
      </c>
      <c r="B36" s="65" t="s">
        <v>646</v>
      </c>
      <c r="C36" s="65" t="s">
        <v>173</v>
      </c>
      <c r="D36" t="s">
        <v>172</v>
      </c>
      <c r="E36" s="28">
        <v>10</v>
      </c>
      <c r="F36" s="13">
        <v>100.6692</v>
      </c>
      <c r="G36" s="14">
        <f t="shared" si="2"/>
        <v>8.8000000000000005E-3</v>
      </c>
      <c r="H36" s="15">
        <v>43259</v>
      </c>
      <c r="I36" s="64"/>
    </row>
    <row r="37" spans="1:10" ht="12.75" customHeight="1" x14ac:dyDescent="0.2">
      <c r="B37" s="18" t="s">
        <v>86</v>
      </c>
      <c r="C37" s="18"/>
      <c r="D37" s="18"/>
      <c r="E37" s="29"/>
      <c r="F37" s="19">
        <f>SUM(F24:F36)</f>
        <v>5480.8522999999996</v>
      </c>
      <c r="G37" s="20">
        <f>SUM(G24:G36)</f>
        <v>0.47790000000000005</v>
      </c>
      <c r="H37" s="21"/>
      <c r="J37" s="52"/>
    </row>
    <row r="38" spans="1:10" ht="12.75" customHeight="1" x14ac:dyDescent="0.2">
      <c r="F38" s="13"/>
      <c r="G38" s="14"/>
      <c r="H38" s="15"/>
    </row>
    <row r="39" spans="1:10" ht="12.75" customHeight="1" x14ac:dyDescent="0.2">
      <c r="A39" s="95" t="s">
        <v>387</v>
      </c>
      <c r="B39" s="16" t="s">
        <v>94</v>
      </c>
      <c r="C39" s="16"/>
      <c r="F39" s="13">
        <v>94.102065199999998</v>
      </c>
      <c r="G39" s="14">
        <f>+ROUND(F39/VLOOKUP("Grand Total",$B$4:$F$295,5,0),4)</f>
        <v>8.2000000000000007E-3</v>
      </c>
      <c r="H39" s="15">
        <v>43073</v>
      </c>
    </row>
    <row r="40" spans="1:10" ht="12.75" customHeight="1" x14ac:dyDescent="0.2">
      <c r="B40" s="18" t="s">
        <v>86</v>
      </c>
      <c r="C40" s="18"/>
      <c r="D40" s="18"/>
      <c r="E40" s="29"/>
      <c r="F40" s="19">
        <f>SUM(F39)</f>
        <v>94.102065199999998</v>
      </c>
      <c r="G40" s="20">
        <f>SUM(G39)</f>
        <v>8.2000000000000007E-3</v>
      </c>
      <c r="H40" s="21"/>
      <c r="I40" s="35"/>
    </row>
    <row r="41" spans="1:10" ht="12.75" customHeight="1" x14ac:dyDescent="0.2">
      <c r="F41" s="13"/>
      <c r="G41" s="14"/>
      <c r="H41" s="15"/>
    </row>
    <row r="42" spans="1:10" ht="12.75" customHeight="1" x14ac:dyDescent="0.2">
      <c r="B42" s="16" t="s">
        <v>95</v>
      </c>
      <c r="C42" s="16"/>
      <c r="F42" s="13"/>
      <c r="G42" s="14"/>
      <c r="H42" s="15"/>
    </row>
    <row r="43" spans="1:10" ht="12.75" customHeight="1" x14ac:dyDescent="0.2">
      <c r="B43" s="16" t="s">
        <v>96</v>
      </c>
      <c r="C43" s="16"/>
      <c r="F43" s="43">
        <v>212.28918969999904</v>
      </c>
      <c r="G43" s="14">
        <f>+ROUND(F43/VLOOKUP("Grand Total",$B$4:$F$295,5,0),4)+0.01%</f>
        <v>1.8599999999999998E-2</v>
      </c>
      <c r="H43" s="15"/>
    </row>
    <row r="44" spans="1:10" ht="12.75" customHeight="1" x14ac:dyDescent="0.2">
      <c r="B44" s="18" t="s">
        <v>86</v>
      </c>
      <c r="C44" s="18"/>
      <c r="D44" s="18"/>
      <c r="E44" s="29"/>
      <c r="F44" s="50">
        <f>SUM(F43)</f>
        <v>212.28918969999904</v>
      </c>
      <c r="G44" s="20">
        <f>SUM(G43)</f>
        <v>1.8599999999999998E-2</v>
      </c>
      <c r="H44" s="21"/>
      <c r="I44" s="35"/>
    </row>
    <row r="45" spans="1:10" ht="12.75" customHeight="1" x14ac:dyDescent="0.2">
      <c r="B45" s="22" t="s">
        <v>97</v>
      </c>
      <c r="C45" s="22"/>
      <c r="D45" s="22"/>
      <c r="E45" s="30"/>
      <c r="F45" s="23">
        <f>+SUMIF($B$5:B44,"Total",$F$5:F44)</f>
        <v>11464.2904549</v>
      </c>
      <c r="G45" s="24">
        <f>+SUMIF($B$5:B44,"Total",$G$5:G44)</f>
        <v>0.99999999999999989</v>
      </c>
      <c r="H45" s="25"/>
      <c r="I45" s="35"/>
    </row>
    <row r="46" spans="1:10" ht="12.75" customHeight="1" x14ac:dyDescent="0.2"/>
    <row r="47" spans="1:10" ht="12.75" customHeight="1" x14ac:dyDescent="0.2">
      <c r="B47" s="16" t="s">
        <v>192</v>
      </c>
      <c r="C47" s="16"/>
    </row>
    <row r="48" spans="1:10" ht="12.75" customHeight="1" x14ac:dyDescent="0.2">
      <c r="B48" s="16" t="s">
        <v>189</v>
      </c>
      <c r="C48" s="16"/>
    </row>
    <row r="49" spans="2:3" ht="12.75" customHeight="1" x14ac:dyDescent="0.2">
      <c r="B49" s="16"/>
      <c r="C49" s="16"/>
    </row>
    <row r="50" spans="2:3" ht="12.75" customHeight="1" x14ac:dyDescent="0.2">
      <c r="B50" s="16"/>
      <c r="C50" s="16"/>
    </row>
    <row r="51" spans="2:3" ht="12.75" customHeight="1" x14ac:dyDescent="0.2">
      <c r="B51" s="16"/>
      <c r="C51" s="16"/>
    </row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sheetProtection password="EDB4" sheet="1" objects="1" scenarios="1"/>
  <sortState ref="J15:K19">
    <sortCondition descending="1" ref="K8:K12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9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400</v>
      </c>
      <c r="B1" s="124" t="s">
        <v>341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F7" s="13"/>
      <c r="G7" s="14"/>
      <c r="H7" s="15"/>
      <c r="J7" s="17" t="s">
        <v>4</v>
      </c>
      <c r="K7" s="37" t="s">
        <v>12</v>
      </c>
    </row>
    <row r="8" spans="1:16" ht="12.75" customHeight="1" x14ac:dyDescent="0.2">
      <c r="B8" s="16" t="s">
        <v>314</v>
      </c>
      <c r="C8" s="16"/>
      <c r="F8" s="13"/>
      <c r="G8" s="14"/>
      <c r="H8" s="15"/>
      <c r="J8" s="14" t="s">
        <v>109</v>
      </c>
      <c r="K8" s="48">
        <f>SUMIFS($G$5:$G$339,$D$5:$D$339,J8)</f>
        <v>0.3715</v>
      </c>
      <c r="M8" s="14"/>
      <c r="N8" s="36"/>
      <c r="P8" s="14"/>
    </row>
    <row r="9" spans="1:16" ht="12.75" customHeight="1" x14ac:dyDescent="0.2">
      <c r="A9">
        <f>+MAX($A$8:A8)+1</f>
        <v>1</v>
      </c>
      <c r="B9" t="s">
        <v>297</v>
      </c>
      <c r="C9" t="s">
        <v>706</v>
      </c>
      <c r="D9" t="s">
        <v>659</v>
      </c>
      <c r="E9" s="28">
        <v>380</v>
      </c>
      <c r="F9" s="13">
        <v>1758.5012999999999</v>
      </c>
      <c r="G9" s="14">
        <f>+ROUND(F9/VLOOKUP("Grand Total",$B$4:$F$281,5,0),4)</f>
        <v>3.4299999999999997E-2</v>
      </c>
      <c r="H9" s="89">
        <v>43426</v>
      </c>
      <c r="J9" s="14" t="s">
        <v>176</v>
      </c>
      <c r="K9" s="48">
        <f t="shared" ref="K9:K23" si="0">SUMIFS($G$5:$G$339,$D$5:$D$339,J9)</f>
        <v>6.6400000000000001E-2</v>
      </c>
      <c r="M9" s="14"/>
      <c r="N9" s="36"/>
      <c r="P9" s="14"/>
    </row>
    <row r="10" spans="1:16" ht="12.75" customHeight="1" x14ac:dyDescent="0.2">
      <c r="A10">
        <f>+MAX($A$8:A9)+1</f>
        <v>2</v>
      </c>
      <c r="B10" t="s">
        <v>660</v>
      </c>
      <c r="C10" t="s">
        <v>670</v>
      </c>
      <c r="D10" t="s">
        <v>296</v>
      </c>
      <c r="E10" s="28">
        <v>200</v>
      </c>
      <c r="F10" s="13">
        <v>998.15800000000002</v>
      </c>
      <c r="G10" s="14">
        <f>+ROUND(F10/VLOOKUP("Grand Total",$B$4:$F$281,5,0),4)</f>
        <v>1.95E-2</v>
      </c>
      <c r="H10" s="89">
        <v>43080</v>
      </c>
      <c r="J10" s="14" t="s">
        <v>420</v>
      </c>
      <c r="K10" s="48">
        <f t="shared" si="0"/>
        <v>8.879999999999999E-2</v>
      </c>
      <c r="M10" s="14"/>
      <c r="N10" s="36"/>
      <c r="P10" s="14"/>
    </row>
    <row r="11" spans="1:16" ht="12.75" customHeight="1" x14ac:dyDescent="0.2">
      <c r="A11">
        <f>+MAX($A$8:A10)+1</f>
        <v>3</v>
      </c>
      <c r="B11" t="s">
        <v>624</v>
      </c>
      <c r="C11" t="s">
        <v>671</v>
      </c>
      <c r="D11" t="s">
        <v>163</v>
      </c>
      <c r="E11" s="28">
        <v>60</v>
      </c>
      <c r="F11" s="13">
        <v>298.83929999999998</v>
      </c>
      <c r="G11" s="14">
        <f>+ROUND(F11/VLOOKUP("Grand Total",$B$4:$F$281,5,0),4)</f>
        <v>5.7999999999999996E-3</v>
      </c>
      <c r="H11" s="89">
        <v>43091</v>
      </c>
      <c r="J11" s="14" t="s">
        <v>376</v>
      </c>
      <c r="K11" s="48">
        <f t="shared" si="0"/>
        <v>8.0100000000000005E-2</v>
      </c>
      <c r="M11" s="14"/>
      <c r="N11" s="36"/>
      <c r="P11" s="14"/>
    </row>
    <row r="12" spans="1:16" ht="12.75" customHeight="1" x14ac:dyDescent="0.2">
      <c r="B12" s="18" t="s">
        <v>86</v>
      </c>
      <c r="C12" s="18"/>
      <c r="D12" s="18"/>
      <c r="E12" s="29"/>
      <c r="F12" s="19">
        <f>SUM(F9:F11)</f>
        <v>3055.4985999999999</v>
      </c>
      <c r="G12" s="20">
        <f>SUM(G9:G11)</f>
        <v>5.96E-2</v>
      </c>
      <c r="H12" s="21"/>
      <c r="J12" s="14" t="s">
        <v>476</v>
      </c>
      <c r="K12" s="48">
        <f t="shared" si="0"/>
        <v>6.0499999999999998E-2</v>
      </c>
    </row>
    <row r="13" spans="1:16" ht="12.75" customHeight="1" x14ac:dyDescent="0.2">
      <c r="F13" s="13"/>
      <c r="G13" s="14"/>
      <c r="H13" s="15"/>
      <c r="J13" t="s">
        <v>499</v>
      </c>
      <c r="K13" s="48">
        <f t="shared" si="0"/>
        <v>4.9299999999999997E-2</v>
      </c>
    </row>
    <row r="14" spans="1:16" ht="12.75" customHeight="1" x14ac:dyDescent="0.2">
      <c r="B14" s="16" t="s">
        <v>171</v>
      </c>
      <c r="C14" s="16"/>
      <c r="F14" s="13"/>
      <c r="G14" s="14"/>
      <c r="H14" s="15"/>
      <c r="J14" s="14" t="s">
        <v>169</v>
      </c>
      <c r="K14" s="48">
        <f t="shared" si="0"/>
        <v>4.8800000000000003E-2</v>
      </c>
      <c r="M14" s="14"/>
      <c r="N14" s="36"/>
      <c r="P14" s="14"/>
    </row>
    <row r="15" spans="1:16" ht="12.75" customHeight="1" x14ac:dyDescent="0.2">
      <c r="A15">
        <f>+MAX($A$8:A14)+1</f>
        <v>4</v>
      </c>
      <c r="B15" t="s">
        <v>717</v>
      </c>
      <c r="C15" t="s">
        <v>718</v>
      </c>
      <c r="D15" t="s">
        <v>420</v>
      </c>
      <c r="E15" s="28">
        <v>1000000</v>
      </c>
      <c r="F15" s="13">
        <v>1033.94</v>
      </c>
      <c r="G15" s="14">
        <f>+ROUND(F15/VLOOKUP("Grand Total",$B$4:$F$281,5,0),4)</f>
        <v>2.0199999999999999E-2</v>
      </c>
      <c r="H15" s="89">
        <v>45802</v>
      </c>
      <c r="J15" s="14" t="s">
        <v>298</v>
      </c>
      <c r="K15" s="48">
        <f t="shared" si="0"/>
        <v>4.8800000000000003E-2</v>
      </c>
      <c r="M15" s="14"/>
      <c r="N15" s="36"/>
      <c r="P15" s="14"/>
    </row>
    <row r="16" spans="1:16" ht="12.75" customHeight="1" x14ac:dyDescent="0.2">
      <c r="A16">
        <f>+MAX($A$8:A15)+1</f>
        <v>5</v>
      </c>
      <c r="B16" t="s">
        <v>581</v>
      </c>
      <c r="C16" t="s">
        <v>582</v>
      </c>
      <c r="D16" t="s">
        <v>420</v>
      </c>
      <c r="E16" s="28">
        <v>1000000</v>
      </c>
      <c r="F16" s="13">
        <v>1008.319</v>
      </c>
      <c r="G16" s="14">
        <f>+ROUND(F16/VLOOKUP("Grand Total",$B$4:$F$281,5,0),4)</f>
        <v>1.9699999999999999E-2</v>
      </c>
      <c r="H16" s="89">
        <v>45066</v>
      </c>
      <c r="J16" s="14" t="s">
        <v>659</v>
      </c>
      <c r="K16" s="48">
        <f t="shared" si="0"/>
        <v>3.4299999999999997E-2</v>
      </c>
      <c r="M16" s="14"/>
      <c r="N16" s="36"/>
      <c r="P16" s="14"/>
    </row>
    <row r="17" spans="1:16" ht="12.75" customHeight="1" x14ac:dyDescent="0.2">
      <c r="A17">
        <f>+MAX($A$8:A16)+1</f>
        <v>6</v>
      </c>
      <c r="B17" t="s">
        <v>322</v>
      </c>
      <c r="C17" t="s">
        <v>300</v>
      </c>
      <c r="D17" t="s">
        <v>420</v>
      </c>
      <c r="E17" s="28">
        <v>500000</v>
      </c>
      <c r="F17" s="13">
        <v>519.04250000000002</v>
      </c>
      <c r="G17" s="14">
        <f t="shared" ref="G17:G18" si="1">+ROUND(F17/VLOOKUP("Grand Total",$B$4:$F$281,5,0),4)</f>
        <v>1.01E-2</v>
      </c>
      <c r="H17" s="89">
        <v>44175</v>
      </c>
      <c r="J17" s="14" t="s">
        <v>172</v>
      </c>
      <c r="K17" s="48">
        <f t="shared" ref="K17:K18" si="2">SUMIFS($G$5:$G$339,$D$5:$D$339,J17)</f>
        <v>2.1600000000000001E-2</v>
      </c>
      <c r="M17" s="14"/>
      <c r="N17" s="36"/>
      <c r="P17" s="14"/>
    </row>
    <row r="18" spans="1:16" ht="12.75" customHeight="1" x14ac:dyDescent="0.2">
      <c r="A18">
        <f>+MAX($A$8:A17)+1</f>
        <v>7</v>
      </c>
      <c r="B18" t="s">
        <v>496</v>
      </c>
      <c r="C18" t="s">
        <v>497</v>
      </c>
      <c r="D18" t="s">
        <v>420</v>
      </c>
      <c r="E18" s="28">
        <v>45300</v>
      </c>
      <c r="F18" s="13">
        <v>45.201019500000001</v>
      </c>
      <c r="G18" s="14">
        <f t="shared" si="1"/>
        <v>8.9999999999999998E-4</v>
      </c>
      <c r="H18" s="89">
        <v>44914</v>
      </c>
      <c r="J18" s="14" t="s">
        <v>573</v>
      </c>
      <c r="K18" s="48">
        <f t="shared" si="2"/>
        <v>1.9699999999999999E-2</v>
      </c>
      <c r="M18" s="14"/>
      <c r="N18" s="36"/>
      <c r="P18" s="14"/>
    </row>
    <row r="19" spans="1:16" ht="12.75" customHeight="1" x14ac:dyDescent="0.2">
      <c r="B19" s="18" t="s">
        <v>86</v>
      </c>
      <c r="C19" s="18"/>
      <c r="D19" s="18"/>
      <c r="E19" s="29"/>
      <c r="F19" s="19">
        <f>SUM(F15:F18)</f>
        <v>2606.5025194999998</v>
      </c>
      <c r="G19" s="20">
        <f>SUM(G15:G18)</f>
        <v>5.0899999999999994E-2</v>
      </c>
      <c r="H19" s="21"/>
      <c r="J19" s="14" t="s">
        <v>296</v>
      </c>
      <c r="K19" s="48">
        <f t="shared" si="0"/>
        <v>1.95E-2</v>
      </c>
    </row>
    <row r="20" spans="1:16" ht="12.75" customHeight="1" x14ac:dyDescent="0.2">
      <c r="F20" s="13"/>
      <c r="G20" s="14"/>
      <c r="H20" s="15"/>
      <c r="J20" t="s">
        <v>578</v>
      </c>
      <c r="K20" s="48">
        <f t="shared" si="0"/>
        <v>5.8999999999999999E-3</v>
      </c>
    </row>
    <row r="21" spans="1:16" ht="12.75" customHeight="1" x14ac:dyDescent="0.2">
      <c r="B21" s="16" t="s">
        <v>463</v>
      </c>
      <c r="C21" s="16"/>
      <c r="F21" s="13"/>
      <c r="G21" s="14"/>
      <c r="H21" s="15"/>
      <c r="J21" t="s">
        <v>163</v>
      </c>
      <c r="K21" s="48">
        <f t="shared" si="0"/>
        <v>5.7999999999999996E-3</v>
      </c>
      <c r="M21" s="14"/>
      <c r="N21" s="36"/>
      <c r="P21" s="14"/>
    </row>
    <row r="22" spans="1:16" ht="12.75" customHeight="1" x14ac:dyDescent="0.2">
      <c r="A22">
        <f>+MAX($A$8:A21)+1</f>
        <v>8</v>
      </c>
      <c r="B22" t="s">
        <v>719</v>
      </c>
      <c r="C22" t="s">
        <v>720</v>
      </c>
      <c r="D22" t="s">
        <v>420</v>
      </c>
      <c r="E22" s="28">
        <v>2000000</v>
      </c>
      <c r="F22" s="13">
        <v>1944.3620000000001</v>
      </c>
      <c r="G22" s="14">
        <f>+ROUND(F22/VLOOKUP("Grand Total",$B$4:$F$281,5,0),4)</f>
        <v>3.7900000000000003E-2</v>
      </c>
      <c r="H22" s="89">
        <v>46608</v>
      </c>
      <c r="J22" s="14" t="s">
        <v>64</v>
      </c>
      <c r="K22" s="48">
        <f>+SUMIFS($G$5:$G$999,$B$5:$B$999,"CBLO / Reverse Repo Investments")+SUMIFS($G$5:$G$999,$B$5:$B$999,"Net Receivable/Payable")</f>
        <v>0.04</v>
      </c>
      <c r="L22" s="54">
        <f>+SUM($K$8:K11)</f>
        <v>0.60680000000000001</v>
      </c>
      <c r="M22" s="14"/>
      <c r="N22" s="36"/>
      <c r="P22" s="14"/>
    </row>
    <row r="23" spans="1:16" ht="12.75" customHeight="1" x14ac:dyDescent="0.2">
      <c r="B23" s="18" t="s">
        <v>86</v>
      </c>
      <c r="C23" s="18"/>
      <c r="D23" s="18"/>
      <c r="E23" s="29"/>
      <c r="F23" s="19">
        <f>SUM(F22:F22)</f>
        <v>1944.3620000000001</v>
      </c>
      <c r="G23" s="20">
        <f>SUM(G22:G22)</f>
        <v>3.7900000000000003E-2</v>
      </c>
      <c r="H23" s="21"/>
      <c r="J23" s="90" t="s">
        <v>761</v>
      </c>
      <c r="K23" s="48">
        <f t="shared" si="0"/>
        <v>3.9E-2</v>
      </c>
    </row>
    <row r="24" spans="1:16" ht="12.75" customHeight="1" x14ac:dyDescent="0.2">
      <c r="F24" s="13"/>
      <c r="G24" s="14"/>
      <c r="H24" s="15"/>
      <c r="J24" s="14"/>
      <c r="K24" s="48"/>
    </row>
    <row r="25" spans="1:16" ht="12.75" customHeight="1" x14ac:dyDescent="0.2">
      <c r="B25" s="16" t="s">
        <v>126</v>
      </c>
      <c r="C25" s="16"/>
      <c r="F25" s="13"/>
      <c r="G25" s="14"/>
      <c r="H25" s="15"/>
      <c r="J25" s="14"/>
      <c r="K25" s="48"/>
    </row>
    <row r="26" spans="1:16" ht="12.75" customHeight="1" x14ac:dyDescent="0.2">
      <c r="B26" s="31" t="s">
        <v>425</v>
      </c>
      <c r="C26" s="16"/>
      <c r="F26" s="13"/>
      <c r="G26" s="14"/>
      <c r="H26" s="15"/>
    </row>
    <row r="27" spans="1:16" ht="12.75" customHeight="1" x14ac:dyDescent="0.2">
      <c r="A27">
        <f>+MAX($A$8:A26)+1</f>
        <v>9</v>
      </c>
      <c r="B27" s="65" t="s">
        <v>638</v>
      </c>
      <c r="C27" t="s">
        <v>443</v>
      </c>
      <c r="D27" t="s">
        <v>376</v>
      </c>
      <c r="E27" s="28">
        <v>255000</v>
      </c>
      <c r="F27" s="13">
        <v>2586.4522499999998</v>
      </c>
      <c r="G27" s="14">
        <f t="shared" ref="G27:G49" si="3">+ROUND(F27/VLOOKUP("Grand Total",$B$4:$F$281,5,0),4)</f>
        <v>5.04E-2</v>
      </c>
      <c r="H27" s="15">
        <v>43717</v>
      </c>
    </row>
    <row r="28" spans="1:16" ht="12.75" customHeight="1" x14ac:dyDescent="0.2">
      <c r="A28">
        <f>+MAX($A$8:A27)+1</f>
        <v>10</v>
      </c>
      <c r="B28" s="65" t="s">
        <v>647</v>
      </c>
      <c r="C28" t="s">
        <v>335</v>
      </c>
      <c r="D28" t="s">
        <v>109</v>
      </c>
      <c r="E28" s="28">
        <v>250</v>
      </c>
      <c r="F28" s="13">
        <v>2584.1799999999998</v>
      </c>
      <c r="G28" s="14">
        <f t="shared" si="3"/>
        <v>5.04E-2</v>
      </c>
      <c r="H28" s="15">
        <v>43788</v>
      </c>
    </row>
    <row r="29" spans="1:16" ht="12.75" customHeight="1" x14ac:dyDescent="0.2">
      <c r="A29">
        <f>+MAX($A$8:A28)+1</f>
        <v>11</v>
      </c>
      <c r="B29" s="65" t="s">
        <v>667</v>
      </c>
      <c r="C29" t="s">
        <v>498</v>
      </c>
      <c r="D29" t="s">
        <v>499</v>
      </c>
      <c r="E29" s="28">
        <v>250</v>
      </c>
      <c r="F29" s="13">
        <v>2528.8474999999999</v>
      </c>
      <c r="G29" s="14">
        <f t="shared" si="3"/>
        <v>4.9299999999999997E-2</v>
      </c>
      <c r="H29" s="15">
        <v>44693</v>
      </c>
    </row>
    <row r="30" spans="1:16" ht="12.75" customHeight="1" x14ac:dyDescent="0.2">
      <c r="A30">
        <f>+MAX($A$8:A29)+1</f>
        <v>12</v>
      </c>
      <c r="B30" t="s">
        <v>648</v>
      </c>
      <c r="C30" t="s">
        <v>421</v>
      </c>
      <c r="D30" t="s">
        <v>109</v>
      </c>
      <c r="E30" s="28">
        <v>25</v>
      </c>
      <c r="F30" s="13">
        <v>2514.08</v>
      </c>
      <c r="G30" s="14">
        <f t="shared" si="3"/>
        <v>4.9000000000000002E-2</v>
      </c>
      <c r="H30" s="15">
        <v>43780</v>
      </c>
      <c r="J30" s="46"/>
      <c r="K30" s="48"/>
    </row>
    <row r="31" spans="1:16" ht="12.75" customHeight="1" x14ac:dyDescent="0.2">
      <c r="A31">
        <f>+MAX($A$8:A30)+1</f>
        <v>13</v>
      </c>
      <c r="B31" s="65" t="s">
        <v>550</v>
      </c>
      <c r="C31" t="s">
        <v>669</v>
      </c>
      <c r="D31" t="s">
        <v>109</v>
      </c>
      <c r="E31" s="28">
        <v>250</v>
      </c>
      <c r="F31" s="13">
        <v>2504.9025000000001</v>
      </c>
      <c r="G31" s="14">
        <f t="shared" si="3"/>
        <v>4.8800000000000003E-2</v>
      </c>
      <c r="H31" s="15">
        <v>44424</v>
      </c>
    </row>
    <row r="32" spans="1:16" ht="12.75" customHeight="1" x14ac:dyDescent="0.2">
      <c r="A32">
        <f>+MAX($A$8:A31)+1</f>
        <v>14</v>
      </c>
      <c r="B32" s="65" t="s">
        <v>636</v>
      </c>
      <c r="C32" t="s">
        <v>520</v>
      </c>
      <c r="D32" t="s">
        <v>298</v>
      </c>
      <c r="E32" s="28">
        <v>250</v>
      </c>
      <c r="F32" s="13">
        <v>2503.4699999999998</v>
      </c>
      <c r="G32" s="14">
        <f t="shared" si="3"/>
        <v>4.8800000000000003E-2</v>
      </c>
      <c r="H32" s="15">
        <v>43630</v>
      </c>
    </row>
    <row r="33" spans="1:11" ht="12.75" customHeight="1" x14ac:dyDescent="0.2">
      <c r="A33">
        <f>+MAX($A$8:A32)+1</f>
        <v>15</v>
      </c>
      <c r="B33" s="65" t="s">
        <v>649</v>
      </c>
      <c r="C33" t="s">
        <v>461</v>
      </c>
      <c r="D33" t="s">
        <v>169</v>
      </c>
      <c r="E33" s="28">
        <v>250</v>
      </c>
      <c r="F33" s="13">
        <v>2503.0450000000001</v>
      </c>
      <c r="G33" s="14">
        <f t="shared" si="3"/>
        <v>4.8800000000000003E-2</v>
      </c>
      <c r="H33" s="15">
        <v>43951</v>
      </c>
    </row>
    <row r="34" spans="1:11" s="46" customFormat="1" ht="12.75" customHeight="1" x14ac:dyDescent="0.2">
      <c r="A34">
        <f>+MAX($A$8:A33)+1</f>
        <v>16</v>
      </c>
      <c r="B34" s="65" t="s">
        <v>739</v>
      </c>
      <c r="C34" t="s">
        <v>552</v>
      </c>
      <c r="D34" t="s">
        <v>109</v>
      </c>
      <c r="E34" s="28">
        <v>25</v>
      </c>
      <c r="F34" s="13">
        <v>2500.9899999999998</v>
      </c>
      <c r="G34" s="14">
        <f t="shared" si="3"/>
        <v>4.8800000000000003E-2</v>
      </c>
      <c r="H34" s="15">
        <v>43445</v>
      </c>
      <c r="I34" s="64"/>
      <c r="J34"/>
      <c r="K34" s="36"/>
    </row>
    <row r="35" spans="1:11" ht="12.75" customHeight="1" x14ac:dyDescent="0.2">
      <c r="A35">
        <f>+MAX($A$8:A34)+1</f>
        <v>17</v>
      </c>
      <c r="B35" s="65" t="s">
        <v>721</v>
      </c>
      <c r="C35" t="s">
        <v>629</v>
      </c>
      <c r="D35" t="s">
        <v>109</v>
      </c>
      <c r="E35" s="28">
        <v>250</v>
      </c>
      <c r="F35" s="13">
        <v>2484.2950000000001</v>
      </c>
      <c r="G35" s="14">
        <f t="shared" si="3"/>
        <v>4.8399999999999999E-2</v>
      </c>
      <c r="H35" s="15">
        <v>44104</v>
      </c>
      <c r="J35" s="52"/>
    </row>
    <row r="36" spans="1:11" ht="12.75" customHeight="1" x14ac:dyDescent="0.2">
      <c r="A36">
        <f>+MAX($A$8:A35)+1</f>
        <v>18</v>
      </c>
      <c r="B36" s="65" t="s">
        <v>592</v>
      </c>
      <c r="C36" t="s">
        <v>428</v>
      </c>
      <c r="D36" t="s">
        <v>109</v>
      </c>
      <c r="E36" s="28">
        <v>240</v>
      </c>
      <c r="F36" s="13">
        <v>2458.2815999999998</v>
      </c>
      <c r="G36" s="14">
        <f t="shared" si="3"/>
        <v>4.7899999999999998E-2</v>
      </c>
      <c r="H36" s="15">
        <v>44343</v>
      </c>
      <c r="J36" s="52"/>
    </row>
    <row r="37" spans="1:11" ht="12.75" customHeight="1" x14ac:dyDescent="0.2">
      <c r="A37">
        <f>+MAX($A$8:A36)+1</f>
        <v>19</v>
      </c>
      <c r="B37" s="65" t="s">
        <v>738</v>
      </c>
      <c r="C37" t="s">
        <v>630</v>
      </c>
      <c r="D37" t="s">
        <v>109</v>
      </c>
      <c r="E37" s="28">
        <v>250</v>
      </c>
      <c r="F37" s="13">
        <v>2457.3649999999998</v>
      </c>
      <c r="G37" s="14">
        <f t="shared" si="3"/>
        <v>4.7899999999999998E-2</v>
      </c>
      <c r="H37" s="15">
        <v>44804</v>
      </c>
      <c r="J37" s="52"/>
    </row>
    <row r="38" spans="1:11" ht="12.75" customHeight="1" x14ac:dyDescent="0.2">
      <c r="A38">
        <f>+MAX($A$8:A37)+1</f>
        <v>20</v>
      </c>
      <c r="B38" s="65" t="s">
        <v>637</v>
      </c>
      <c r="C38" t="s">
        <v>549</v>
      </c>
      <c r="D38" t="s">
        <v>476</v>
      </c>
      <c r="E38" s="28">
        <v>210</v>
      </c>
      <c r="F38" s="13">
        <v>2097.3308999999999</v>
      </c>
      <c r="G38" s="14">
        <f t="shared" si="3"/>
        <v>4.0899999999999999E-2</v>
      </c>
      <c r="H38" s="15">
        <v>43671</v>
      </c>
    </row>
    <row r="39" spans="1:11" ht="12.75" customHeight="1" x14ac:dyDescent="0.2">
      <c r="A39">
        <f>+MAX($A$8:A38)+1</f>
        <v>21</v>
      </c>
      <c r="B39" s="65" t="s">
        <v>590</v>
      </c>
      <c r="C39" t="s">
        <v>473</v>
      </c>
      <c r="D39" t="s">
        <v>176</v>
      </c>
      <c r="E39" s="28">
        <v>200</v>
      </c>
      <c r="F39" s="13">
        <v>2017.07</v>
      </c>
      <c r="G39" s="14">
        <f t="shared" si="3"/>
        <v>3.9300000000000002E-2</v>
      </c>
      <c r="H39" s="15">
        <v>43678</v>
      </c>
      <c r="J39" s="52"/>
    </row>
    <row r="40" spans="1:11" ht="12.75" customHeight="1" x14ac:dyDescent="0.2">
      <c r="A40">
        <f>+MAX($A$8:A39)+1</f>
        <v>22</v>
      </c>
      <c r="B40" s="65" t="s">
        <v>589</v>
      </c>
      <c r="C40" t="s">
        <v>495</v>
      </c>
      <c r="D40" s="65" t="s">
        <v>761</v>
      </c>
      <c r="E40" s="28">
        <v>200</v>
      </c>
      <c r="F40" s="13">
        <v>1999.778</v>
      </c>
      <c r="G40" s="14">
        <f t="shared" si="3"/>
        <v>3.9E-2</v>
      </c>
      <c r="H40" s="15">
        <v>43105</v>
      </c>
      <c r="J40" s="52"/>
    </row>
    <row r="41" spans="1:11" ht="12.75" customHeight="1" x14ac:dyDescent="0.2">
      <c r="A41">
        <f>+MAX($A$8:A40)+1</f>
        <v>23</v>
      </c>
      <c r="B41" t="s">
        <v>641</v>
      </c>
      <c r="C41" t="s">
        <v>451</v>
      </c>
      <c r="D41" t="s">
        <v>176</v>
      </c>
      <c r="E41" s="28">
        <v>140</v>
      </c>
      <c r="F41" s="13">
        <v>1391.1338000000001</v>
      </c>
      <c r="G41" s="14">
        <f t="shared" si="3"/>
        <v>2.7099999999999999E-2</v>
      </c>
      <c r="H41" s="15">
        <v>44489</v>
      </c>
      <c r="J41" s="52"/>
    </row>
    <row r="42" spans="1:11" ht="12.75" customHeight="1" x14ac:dyDescent="0.2">
      <c r="A42">
        <f>+MAX($A$8:A41)+1</f>
        <v>24</v>
      </c>
      <c r="B42" t="s">
        <v>646</v>
      </c>
      <c r="C42" t="s">
        <v>173</v>
      </c>
      <c r="D42" t="s">
        <v>172</v>
      </c>
      <c r="E42" s="28">
        <v>110</v>
      </c>
      <c r="F42" s="13">
        <v>1107.3612000000001</v>
      </c>
      <c r="G42" s="14">
        <f t="shared" si="3"/>
        <v>2.1600000000000001E-2</v>
      </c>
      <c r="H42" s="15">
        <v>43259</v>
      </c>
      <c r="J42" s="52"/>
    </row>
    <row r="43" spans="1:11" ht="12.75" customHeight="1" x14ac:dyDescent="0.2">
      <c r="A43">
        <f>+MAX($A$8:A42)+1</f>
        <v>25</v>
      </c>
      <c r="B43" s="65" t="s">
        <v>737</v>
      </c>
      <c r="C43" t="s">
        <v>716</v>
      </c>
      <c r="D43" t="s">
        <v>109</v>
      </c>
      <c r="E43" s="28">
        <v>100</v>
      </c>
      <c r="F43" s="13">
        <v>1041.7449999999999</v>
      </c>
      <c r="G43" s="14">
        <f t="shared" si="3"/>
        <v>2.0299999999999999E-2</v>
      </c>
      <c r="H43" s="15">
        <v>45042</v>
      </c>
      <c r="J43" s="52"/>
    </row>
    <row r="44" spans="1:11" ht="12.75" customHeight="1" x14ac:dyDescent="0.2">
      <c r="A44">
        <f>+MAX($A$8:A43)+1</f>
        <v>26</v>
      </c>
      <c r="B44" t="s">
        <v>635</v>
      </c>
      <c r="C44" t="s">
        <v>412</v>
      </c>
      <c r="D44" t="s">
        <v>376</v>
      </c>
      <c r="E44" s="28">
        <v>100</v>
      </c>
      <c r="F44" s="13">
        <v>1013.717</v>
      </c>
      <c r="G44" s="14">
        <f t="shared" si="3"/>
        <v>1.9800000000000002E-2</v>
      </c>
      <c r="H44" s="15">
        <v>43892</v>
      </c>
      <c r="J44" s="52"/>
    </row>
    <row r="45" spans="1:11" ht="12.75" customHeight="1" x14ac:dyDescent="0.2">
      <c r="A45">
        <f>+MAX($A$8:A44)+1</f>
        <v>27</v>
      </c>
      <c r="B45" t="s">
        <v>639</v>
      </c>
      <c r="C45" t="s">
        <v>365</v>
      </c>
      <c r="D45" t="s">
        <v>573</v>
      </c>
      <c r="E45" s="28">
        <v>100</v>
      </c>
      <c r="F45" s="13">
        <v>1008.513</v>
      </c>
      <c r="G45" s="14">
        <f t="shared" si="3"/>
        <v>1.9699999999999999E-2</v>
      </c>
      <c r="H45" s="15">
        <v>43309</v>
      </c>
      <c r="J45" s="52"/>
    </row>
    <row r="46" spans="1:11" ht="12.75" customHeight="1" x14ac:dyDescent="0.2">
      <c r="A46">
        <f>+MAX($A$8:A45)+1</f>
        <v>28</v>
      </c>
      <c r="B46" s="65" t="s">
        <v>640</v>
      </c>
      <c r="C46" t="s">
        <v>475</v>
      </c>
      <c r="D46" t="s">
        <v>476</v>
      </c>
      <c r="E46" s="28">
        <v>100000</v>
      </c>
      <c r="F46" s="13">
        <v>1003.904</v>
      </c>
      <c r="G46" s="14">
        <f t="shared" si="3"/>
        <v>1.9599999999999999E-2</v>
      </c>
      <c r="H46" s="15">
        <v>43579</v>
      </c>
      <c r="J46" s="52"/>
    </row>
    <row r="47" spans="1:11" ht="12.75" customHeight="1" x14ac:dyDescent="0.2">
      <c r="A47">
        <f>+MAX($A$8:A46)+1</f>
        <v>29</v>
      </c>
      <c r="B47" s="65" t="s">
        <v>650</v>
      </c>
      <c r="C47" t="s">
        <v>422</v>
      </c>
      <c r="D47" t="s">
        <v>109</v>
      </c>
      <c r="E47" s="28">
        <v>50</v>
      </c>
      <c r="F47" s="13">
        <v>514.64149999999995</v>
      </c>
      <c r="G47" s="14">
        <f t="shared" si="3"/>
        <v>0.01</v>
      </c>
      <c r="H47" s="15">
        <v>44188</v>
      </c>
      <c r="J47" s="52"/>
    </row>
    <row r="48" spans="1:11" ht="12.75" customHeight="1" x14ac:dyDescent="0.2">
      <c r="A48">
        <f>+MAX($A$8:A47)+1</f>
        <v>30</v>
      </c>
      <c r="B48" s="65" t="s">
        <v>588</v>
      </c>
      <c r="C48" t="s">
        <v>375</v>
      </c>
      <c r="D48" t="s">
        <v>376</v>
      </c>
      <c r="E48" s="28">
        <v>50</v>
      </c>
      <c r="F48" s="13">
        <v>505.97949999999997</v>
      </c>
      <c r="G48" s="14">
        <f t="shared" si="3"/>
        <v>9.9000000000000008E-3</v>
      </c>
      <c r="H48" s="15">
        <v>43542</v>
      </c>
      <c r="J48" s="52"/>
    </row>
    <row r="49" spans="1:11" ht="12.75" customHeight="1" x14ac:dyDescent="0.2">
      <c r="A49">
        <f>+MAX($A$8:A48)+1</f>
        <v>31</v>
      </c>
      <c r="B49" s="65" t="s">
        <v>642</v>
      </c>
      <c r="C49" t="s">
        <v>381</v>
      </c>
      <c r="D49" t="s">
        <v>578</v>
      </c>
      <c r="E49" s="28">
        <v>30</v>
      </c>
      <c r="F49" s="13">
        <v>301.7346</v>
      </c>
      <c r="G49" s="14">
        <f t="shared" si="3"/>
        <v>5.8999999999999999E-3</v>
      </c>
      <c r="H49" s="15">
        <v>43132</v>
      </c>
      <c r="J49" s="52"/>
    </row>
    <row r="50" spans="1:11" ht="12.75" customHeight="1" x14ac:dyDescent="0.2">
      <c r="B50" s="18" t="s">
        <v>86</v>
      </c>
      <c r="C50" s="18"/>
      <c r="D50" s="18"/>
      <c r="E50" s="29"/>
      <c r="F50" s="19">
        <f>SUM(F27:F49)</f>
        <v>41628.817350000005</v>
      </c>
      <c r="G50" s="20">
        <f>SUM(G27:G49)</f>
        <v>0.8116000000000001</v>
      </c>
      <c r="H50" s="21"/>
      <c r="I50" s="33"/>
      <c r="J50" s="52"/>
    </row>
    <row r="51" spans="1:11" s="46" customFormat="1" ht="12.75" customHeight="1" x14ac:dyDescent="0.2">
      <c r="B51" s="67"/>
      <c r="C51" s="67"/>
      <c r="D51" s="67"/>
      <c r="E51" s="68"/>
      <c r="F51" s="69"/>
      <c r="G51" s="70"/>
      <c r="H51" s="71"/>
      <c r="I51" s="33"/>
      <c r="J51" s="97"/>
      <c r="K51" s="48"/>
    </row>
    <row r="52" spans="1:11" ht="12.75" customHeight="1" x14ac:dyDescent="0.2">
      <c r="A52" s="95" t="s">
        <v>387</v>
      </c>
      <c r="B52" s="16" t="s">
        <v>94</v>
      </c>
      <c r="C52" s="16"/>
      <c r="F52" s="13">
        <v>253.7662267</v>
      </c>
      <c r="G52" s="14">
        <f>+ROUND(F52/VLOOKUP("Grand Total",$B$4:$F$281,5,0),4)</f>
        <v>4.8999999999999998E-3</v>
      </c>
      <c r="H52" s="15">
        <v>43073</v>
      </c>
    </row>
    <row r="53" spans="1:11" ht="12.75" customHeight="1" x14ac:dyDescent="0.2">
      <c r="B53" s="18" t="s">
        <v>86</v>
      </c>
      <c r="C53" s="18"/>
      <c r="D53" s="18"/>
      <c r="E53" s="29"/>
      <c r="F53" s="19">
        <f>SUM(F52)</f>
        <v>253.7662267</v>
      </c>
      <c r="G53" s="20">
        <f>SUM(G52)</f>
        <v>4.8999999999999998E-3</v>
      </c>
      <c r="H53" s="21"/>
    </row>
    <row r="54" spans="1:11" ht="12.75" customHeight="1" x14ac:dyDescent="0.2">
      <c r="F54" s="13"/>
      <c r="G54" s="14"/>
      <c r="H54" s="15"/>
    </row>
    <row r="55" spans="1:11" ht="12.75" customHeight="1" x14ac:dyDescent="0.2">
      <c r="B55" s="16" t="s">
        <v>95</v>
      </c>
      <c r="C55" s="16"/>
      <c r="F55" s="13"/>
      <c r="G55" s="14"/>
      <c r="H55" s="15"/>
      <c r="I55" s="82"/>
    </row>
    <row r="56" spans="1:11" ht="12.75" customHeight="1" x14ac:dyDescent="0.2">
      <c r="B56" s="16" t="s">
        <v>96</v>
      </c>
      <c r="C56" s="16"/>
      <c r="F56" s="13">
        <v>1799.4277071999968</v>
      </c>
      <c r="G56" s="14">
        <f>+ROUND(F56/VLOOKUP("Grand Total",$B$4:$F$281,5,0),4)</f>
        <v>3.5099999999999999E-2</v>
      </c>
      <c r="H56" s="15"/>
    </row>
    <row r="57" spans="1:11" ht="12.75" customHeight="1" x14ac:dyDescent="0.2">
      <c r="B57" s="18" t="s">
        <v>86</v>
      </c>
      <c r="C57" s="18"/>
      <c r="D57" s="18"/>
      <c r="E57" s="29"/>
      <c r="F57" s="19">
        <f>SUM(F56)</f>
        <v>1799.4277071999968</v>
      </c>
      <c r="G57" s="20">
        <f>SUM(G56)</f>
        <v>3.5099999999999999E-2</v>
      </c>
      <c r="H57" s="21"/>
    </row>
    <row r="58" spans="1:11" ht="12.75" customHeight="1" x14ac:dyDescent="0.2">
      <c r="B58" s="22" t="s">
        <v>97</v>
      </c>
      <c r="C58" s="22"/>
      <c r="D58" s="22"/>
      <c r="E58" s="30"/>
      <c r="F58" s="23">
        <f>+SUMIF($B$5:B57,"Total",$F$5:F57)</f>
        <v>51288.374403399997</v>
      </c>
      <c r="G58" s="24">
        <f>+SUMIF($B$5:B57,"Total",$G$5:G57)</f>
        <v>1</v>
      </c>
      <c r="H58" s="25"/>
      <c r="I58" s="82"/>
    </row>
    <row r="59" spans="1:11" ht="12.75" customHeight="1" x14ac:dyDescent="0.2"/>
    <row r="60" spans="1:11" ht="12.75" customHeight="1" x14ac:dyDescent="0.2">
      <c r="B60" s="16" t="s">
        <v>192</v>
      </c>
      <c r="C60" s="16"/>
    </row>
    <row r="61" spans="1:11" ht="12.75" customHeight="1" x14ac:dyDescent="0.2">
      <c r="B61" s="16" t="s">
        <v>189</v>
      </c>
      <c r="C61" s="16"/>
      <c r="F61" s="42"/>
    </row>
    <row r="62" spans="1:11" ht="12.75" customHeight="1" x14ac:dyDescent="0.2">
      <c r="B62" s="16" t="s">
        <v>759</v>
      </c>
      <c r="C62" s="16"/>
      <c r="I62" s="82"/>
    </row>
    <row r="63" spans="1:11" ht="12.75" customHeight="1" x14ac:dyDescent="0.2">
      <c r="B63" s="16"/>
      <c r="C63" s="16"/>
    </row>
    <row r="64" spans="1:1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</sheetData>
  <sheetProtection password="EDB4" sheet="1" objects="1" scenarios="1"/>
  <sortState ref="J9:K19">
    <sortCondition descending="1" ref="K12:K22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4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</cols>
  <sheetData>
    <row r="1" spans="1:17" ht="18.75" x14ac:dyDescent="0.2">
      <c r="A1" s="94" t="s">
        <v>401</v>
      </c>
      <c r="B1" s="124" t="s">
        <v>351</v>
      </c>
      <c r="C1" s="125"/>
      <c r="D1" s="125"/>
      <c r="E1" s="125"/>
      <c r="F1" s="125"/>
      <c r="G1" s="125"/>
      <c r="H1" s="125"/>
      <c r="I1" s="126"/>
    </row>
    <row r="2" spans="1:17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121" t="s">
        <v>594</v>
      </c>
      <c r="I4" s="32" t="s">
        <v>7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9</v>
      </c>
      <c r="C7" s="16"/>
      <c r="F7" s="13"/>
      <c r="G7" s="14"/>
      <c r="H7" s="14"/>
      <c r="I7" s="15"/>
    </row>
    <row r="8" spans="1:17" ht="12.75" customHeight="1" x14ac:dyDescent="0.2">
      <c r="B8" s="16" t="s">
        <v>425</v>
      </c>
      <c r="C8" s="16"/>
      <c r="F8" s="13"/>
      <c r="G8" s="14"/>
      <c r="H8" s="14"/>
      <c r="I8" s="60"/>
      <c r="K8" s="17" t="s">
        <v>4</v>
      </c>
      <c r="L8" s="37" t="s">
        <v>12</v>
      </c>
    </row>
    <row r="9" spans="1:17" s="65" customFormat="1" ht="12.75" customHeight="1" x14ac:dyDescent="0.2">
      <c r="A9" s="65">
        <f>+MAX($A$7:A8)+1</f>
        <v>1</v>
      </c>
      <c r="B9" s="77" t="s">
        <v>205</v>
      </c>
      <c r="C9" s="77" t="s">
        <v>46</v>
      </c>
      <c r="D9" s="77" t="s">
        <v>26</v>
      </c>
      <c r="E9" s="74">
        <v>25834</v>
      </c>
      <c r="F9" s="75">
        <v>66.147957000000005</v>
      </c>
      <c r="G9" s="76">
        <f t="shared" ref="G9:G31" si="0">+ROUND(F9/VLOOKUP("Grand Total",$B$4:$F$273,5,0),4)</f>
        <v>0.02</v>
      </c>
      <c r="H9" s="76"/>
      <c r="I9" s="91" t="s">
        <v>388</v>
      </c>
      <c r="J9" s="101"/>
      <c r="K9" s="90" t="s">
        <v>26</v>
      </c>
      <c r="L9" s="103">
        <f t="shared" ref="L9:L33" si="1">SUMIFS($G$5:$G$342,$D$5:$D$342,K9)</f>
        <v>0.10920000000000001</v>
      </c>
      <c r="M9" s="84"/>
      <c r="N9" s="90"/>
      <c r="O9" s="90"/>
      <c r="Q9" s="90"/>
    </row>
    <row r="10" spans="1:17" s="65" customFormat="1" ht="12.75" customHeight="1" x14ac:dyDescent="0.2">
      <c r="A10" s="65">
        <f>+MAX($A$7:A9)+1</f>
        <v>2</v>
      </c>
      <c r="B10" s="77" t="s">
        <v>207</v>
      </c>
      <c r="C10" s="77" t="s">
        <v>48</v>
      </c>
      <c r="D10" s="77" t="s">
        <v>26</v>
      </c>
      <c r="E10" s="74">
        <v>1027</v>
      </c>
      <c r="F10" s="75">
        <v>49.456212000000001</v>
      </c>
      <c r="G10" s="76">
        <f t="shared" si="0"/>
        <v>1.4999999999999999E-2</v>
      </c>
      <c r="H10" s="76"/>
      <c r="I10" s="91" t="s">
        <v>388</v>
      </c>
      <c r="J10" s="101"/>
      <c r="K10" s="90" t="s">
        <v>10</v>
      </c>
      <c r="L10" s="103">
        <f t="shared" si="1"/>
        <v>8.6000000000000007E-2</v>
      </c>
      <c r="M10" s="84"/>
      <c r="N10" s="90"/>
      <c r="O10" s="90"/>
      <c r="Q10" s="90"/>
    </row>
    <row r="11" spans="1:17" s="65" customFormat="1" ht="12.75" customHeight="1" x14ac:dyDescent="0.2">
      <c r="A11" s="65">
        <f>+MAX($A$7:A10)+1</f>
        <v>3</v>
      </c>
      <c r="B11" s="77" t="s">
        <v>411</v>
      </c>
      <c r="C11" s="77" t="s">
        <v>410</v>
      </c>
      <c r="D11" s="77" t="s">
        <v>26</v>
      </c>
      <c r="E11" s="74">
        <v>14000</v>
      </c>
      <c r="F11" s="75">
        <v>48.201999999999998</v>
      </c>
      <c r="G11" s="76">
        <f t="shared" si="0"/>
        <v>1.46E-2</v>
      </c>
      <c r="H11" s="76"/>
      <c r="I11" s="91" t="s">
        <v>388</v>
      </c>
      <c r="J11" s="101"/>
      <c r="K11" s="14" t="s">
        <v>24</v>
      </c>
      <c r="L11" s="103">
        <f t="shared" si="1"/>
        <v>7.9600000000000004E-2</v>
      </c>
      <c r="M11" s="84"/>
      <c r="N11" s="90"/>
      <c r="O11" s="90"/>
      <c r="Q11" s="90"/>
    </row>
    <row r="12" spans="1:17" s="65" customFormat="1" ht="12.75" customHeight="1" x14ac:dyDescent="0.2">
      <c r="A12" s="65">
        <f>+MAX($A$7:A11)+1</f>
        <v>4</v>
      </c>
      <c r="B12" s="77" t="s">
        <v>200</v>
      </c>
      <c r="C12" s="77" t="s">
        <v>25</v>
      </c>
      <c r="D12" s="77" t="s">
        <v>14</v>
      </c>
      <c r="E12" s="74">
        <v>5650</v>
      </c>
      <c r="F12" s="75">
        <v>47.911999999999999</v>
      </c>
      <c r="G12" s="76">
        <f t="shared" si="0"/>
        <v>1.4500000000000001E-2</v>
      </c>
      <c r="H12" s="76"/>
      <c r="I12" s="91" t="s">
        <v>388</v>
      </c>
      <c r="J12" s="101"/>
      <c r="K12" s="14" t="s">
        <v>20</v>
      </c>
      <c r="L12" s="103">
        <f t="shared" si="1"/>
        <v>6.0100000000000001E-2</v>
      </c>
      <c r="M12" s="84"/>
      <c r="N12" s="90"/>
      <c r="O12" s="90"/>
      <c r="Q12" s="90"/>
    </row>
    <row r="13" spans="1:17" ht="12.75" customHeight="1" x14ac:dyDescent="0.2">
      <c r="A13" s="65">
        <f>+MAX($A$7:A12)+1</f>
        <v>5</v>
      </c>
      <c r="B13" s="77" t="s">
        <v>232</v>
      </c>
      <c r="C13" s="77" t="s">
        <v>80</v>
      </c>
      <c r="D13" s="77" t="s">
        <v>51</v>
      </c>
      <c r="E13" s="74">
        <v>17030</v>
      </c>
      <c r="F13" s="75">
        <v>46.968739999999997</v>
      </c>
      <c r="G13" s="45">
        <f t="shared" si="0"/>
        <v>1.4200000000000001E-2</v>
      </c>
      <c r="H13" s="45"/>
      <c r="I13" s="42" t="s">
        <v>388</v>
      </c>
      <c r="J13" s="41"/>
      <c r="K13" s="14" t="s">
        <v>18</v>
      </c>
      <c r="L13" s="103">
        <f t="shared" si="1"/>
        <v>5.6800000000000003E-2</v>
      </c>
      <c r="M13" s="36"/>
      <c r="N13" s="14"/>
      <c r="O13" s="14"/>
      <c r="Q13" s="14"/>
    </row>
    <row r="14" spans="1:17" ht="12.75" customHeight="1" x14ac:dyDescent="0.2">
      <c r="A14" s="65">
        <f>+MAX($A$7:A13)+1</f>
        <v>6</v>
      </c>
      <c r="B14" s="77" t="s">
        <v>254</v>
      </c>
      <c r="C14" s="77" t="s">
        <v>116</v>
      </c>
      <c r="D14" s="77" t="s">
        <v>36</v>
      </c>
      <c r="E14" s="74">
        <v>25514</v>
      </c>
      <c r="F14" s="75">
        <v>46.218610999999996</v>
      </c>
      <c r="G14" s="45">
        <f t="shared" si="0"/>
        <v>1.4E-2</v>
      </c>
      <c r="H14" s="45"/>
      <c r="I14" s="42" t="s">
        <v>388</v>
      </c>
      <c r="J14" s="41"/>
      <c r="K14" s="14" t="s">
        <v>659</v>
      </c>
      <c r="L14" s="103">
        <f t="shared" si="1"/>
        <v>5.6099999999999997E-2</v>
      </c>
      <c r="M14" s="36"/>
      <c r="N14" s="14"/>
      <c r="O14" s="14"/>
      <c r="Q14" s="14"/>
    </row>
    <row r="15" spans="1:17" ht="12.75" customHeight="1" x14ac:dyDescent="0.2">
      <c r="A15" s="65">
        <f>+MAX($A$7:A14)+1</f>
        <v>7</v>
      </c>
      <c r="B15" s="77" t="s">
        <v>198</v>
      </c>
      <c r="C15" s="77" t="s">
        <v>11</v>
      </c>
      <c r="D15" s="77" t="s">
        <v>10</v>
      </c>
      <c r="E15" s="74">
        <v>14966</v>
      </c>
      <c r="F15" s="75">
        <v>46.027932999999997</v>
      </c>
      <c r="G15" s="45">
        <f t="shared" si="0"/>
        <v>1.3899999999999999E-2</v>
      </c>
      <c r="H15" s="45"/>
      <c r="I15" s="42" t="s">
        <v>388</v>
      </c>
      <c r="J15" s="41"/>
      <c r="K15" s="14" t="s">
        <v>163</v>
      </c>
      <c r="L15" s="103">
        <f t="shared" si="1"/>
        <v>5.2900000000000003E-2</v>
      </c>
      <c r="M15" s="36"/>
      <c r="N15" s="14"/>
      <c r="O15" s="14"/>
      <c r="Q15" s="14"/>
    </row>
    <row r="16" spans="1:17" ht="12.75" customHeight="1" x14ac:dyDescent="0.2">
      <c r="A16" s="65">
        <f>+MAX($A$7:A15)+1</f>
        <v>8</v>
      </c>
      <c r="B16" s="77" t="s">
        <v>681</v>
      </c>
      <c r="C16" s="77" t="s">
        <v>682</v>
      </c>
      <c r="D16" s="77" t="s">
        <v>36</v>
      </c>
      <c r="E16" s="74">
        <v>48000</v>
      </c>
      <c r="F16" s="75">
        <v>45.456000000000003</v>
      </c>
      <c r="G16" s="45">
        <f t="shared" si="0"/>
        <v>1.38E-2</v>
      </c>
      <c r="H16" s="45"/>
      <c r="I16" s="42" t="s">
        <v>388</v>
      </c>
      <c r="J16" s="41"/>
      <c r="K16" s="90" t="s">
        <v>327</v>
      </c>
      <c r="L16" s="103">
        <f t="shared" si="1"/>
        <v>4.9099999999999998E-2</v>
      </c>
      <c r="M16" s="36"/>
      <c r="N16" s="14"/>
      <c r="O16" s="14"/>
      <c r="Q16" s="14"/>
    </row>
    <row r="17" spans="1:17" ht="12.75" customHeight="1" x14ac:dyDescent="0.2">
      <c r="A17" s="65">
        <f>+MAX($A$7:A16)+1</f>
        <v>9</v>
      </c>
      <c r="B17" s="77" t="s">
        <v>196</v>
      </c>
      <c r="C17" s="77" t="s">
        <v>15</v>
      </c>
      <c r="D17" s="77" t="s">
        <v>14</v>
      </c>
      <c r="E17" s="74">
        <v>4600</v>
      </c>
      <c r="F17" s="75">
        <v>44.900599999999997</v>
      </c>
      <c r="G17" s="45">
        <f t="shared" si="0"/>
        <v>1.3599999999999999E-2</v>
      </c>
      <c r="H17" s="45"/>
      <c r="I17" s="42" t="s">
        <v>388</v>
      </c>
      <c r="J17" s="41"/>
      <c r="K17" s="14" t="s">
        <v>109</v>
      </c>
      <c r="L17" s="103">
        <f t="shared" si="1"/>
        <v>4.65E-2</v>
      </c>
      <c r="M17" s="36"/>
      <c r="N17" s="14"/>
      <c r="O17" s="14"/>
      <c r="Q17" s="14"/>
    </row>
    <row r="18" spans="1:17" ht="12.75" customHeight="1" x14ac:dyDescent="0.2">
      <c r="A18" s="65">
        <f>+MAX($A$7:A17)+1</f>
        <v>10</v>
      </c>
      <c r="B18" s="77" t="s">
        <v>16</v>
      </c>
      <c r="C18" s="77" t="s">
        <v>17</v>
      </c>
      <c r="D18" s="77" t="s">
        <v>10</v>
      </c>
      <c r="E18" s="74">
        <v>13908</v>
      </c>
      <c r="F18" s="75">
        <v>44.554277999999996</v>
      </c>
      <c r="G18" s="45">
        <f t="shared" si="0"/>
        <v>1.35E-2</v>
      </c>
      <c r="H18" s="45"/>
      <c r="I18" s="42" t="s">
        <v>388</v>
      </c>
      <c r="J18" s="41"/>
      <c r="K18" s="90" t="s">
        <v>14</v>
      </c>
      <c r="L18" s="103">
        <f t="shared" si="1"/>
        <v>4.4399999999999995E-2</v>
      </c>
      <c r="M18" s="36"/>
      <c r="N18" s="14"/>
      <c r="O18" s="14"/>
      <c r="Q18" s="14"/>
    </row>
    <row r="19" spans="1:17" ht="12.75" customHeight="1" x14ac:dyDescent="0.2">
      <c r="A19" s="65">
        <f>+MAX($A$7:A18)+1</f>
        <v>11</v>
      </c>
      <c r="B19" s="77" t="s">
        <v>235</v>
      </c>
      <c r="C19" s="77" t="s">
        <v>79</v>
      </c>
      <c r="D19" s="77" t="s">
        <v>26</v>
      </c>
      <c r="E19" s="74">
        <v>1320</v>
      </c>
      <c r="F19" s="75">
        <v>43.357379999999999</v>
      </c>
      <c r="G19" s="45">
        <f t="shared" si="0"/>
        <v>1.3100000000000001E-2</v>
      </c>
      <c r="H19" s="45"/>
      <c r="I19" s="42" t="s">
        <v>388</v>
      </c>
      <c r="J19" s="41"/>
      <c r="K19" s="14" t="s">
        <v>146</v>
      </c>
      <c r="L19" s="103">
        <f t="shared" si="1"/>
        <v>4.1599999999999998E-2</v>
      </c>
      <c r="M19" s="36"/>
      <c r="N19" s="14"/>
      <c r="O19" s="14"/>
      <c r="Q19" s="14"/>
    </row>
    <row r="20" spans="1:17" ht="12.75" customHeight="1" x14ac:dyDescent="0.2">
      <c r="A20" s="65">
        <f>+MAX($A$7:A19)+1</f>
        <v>12</v>
      </c>
      <c r="B20" s="77" t="s">
        <v>685</v>
      </c>
      <c r="C20" s="77" t="s">
        <v>686</v>
      </c>
      <c r="D20" s="77" t="s">
        <v>107</v>
      </c>
      <c r="E20" s="74">
        <v>55000</v>
      </c>
      <c r="F20" s="75">
        <v>42.24</v>
      </c>
      <c r="G20" s="45">
        <f t="shared" si="0"/>
        <v>1.2800000000000001E-2</v>
      </c>
      <c r="H20" s="45"/>
      <c r="I20" s="42" t="s">
        <v>388</v>
      </c>
      <c r="J20" s="41"/>
      <c r="K20" s="14" t="s">
        <v>38</v>
      </c>
      <c r="L20" s="103">
        <f t="shared" si="1"/>
        <v>3.73E-2</v>
      </c>
      <c r="M20" s="36"/>
      <c r="N20" s="14"/>
      <c r="O20" s="14"/>
      <c r="Q20" s="14"/>
    </row>
    <row r="21" spans="1:17" ht="12.75" customHeight="1" x14ac:dyDescent="0.2">
      <c r="A21" s="65">
        <f>+MAX($A$7:A20)+1</f>
        <v>13</v>
      </c>
      <c r="B21" s="77" t="s">
        <v>40</v>
      </c>
      <c r="C21" s="77" t="s">
        <v>42</v>
      </c>
      <c r="D21" s="77" t="s">
        <v>10</v>
      </c>
      <c r="E21" s="74">
        <v>23000</v>
      </c>
      <c r="F21" s="75">
        <v>38.893000000000001</v>
      </c>
      <c r="G21" s="45">
        <f t="shared" si="0"/>
        <v>1.18E-2</v>
      </c>
      <c r="H21" s="45"/>
      <c r="I21" s="42" t="s">
        <v>388</v>
      </c>
      <c r="J21" s="41"/>
      <c r="K21" s="90" t="s">
        <v>36</v>
      </c>
      <c r="L21" s="103">
        <f t="shared" si="1"/>
        <v>3.1300000000000001E-2</v>
      </c>
      <c r="M21" s="36"/>
      <c r="N21" s="14"/>
      <c r="O21" s="14"/>
      <c r="Q21" s="14"/>
    </row>
    <row r="22" spans="1:17" ht="12.75" customHeight="1" x14ac:dyDescent="0.2">
      <c r="A22" s="65">
        <f>+MAX($A$7:A21)+1</f>
        <v>14</v>
      </c>
      <c r="B22" s="77" t="s">
        <v>287</v>
      </c>
      <c r="C22" s="77" t="s">
        <v>158</v>
      </c>
      <c r="D22" s="77" t="s">
        <v>41</v>
      </c>
      <c r="E22" s="74">
        <v>2490</v>
      </c>
      <c r="F22" s="75">
        <v>36.691395</v>
      </c>
      <c r="G22" s="45">
        <f t="shared" si="0"/>
        <v>1.11E-2</v>
      </c>
      <c r="H22" s="45"/>
      <c r="I22" s="42" t="s">
        <v>388</v>
      </c>
      <c r="J22" s="41"/>
      <c r="K22" s="14" t="s">
        <v>178</v>
      </c>
      <c r="L22" s="103">
        <f t="shared" si="1"/>
        <v>2.6100000000000002E-2</v>
      </c>
      <c r="M22" s="36"/>
      <c r="N22" s="14"/>
      <c r="O22" s="14"/>
      <c r="Q22" s="14"/>
    </row>
    <row r="23" spans="1:17" ht="12.75" customHeight="1" x14ac:dyDescent="0.2">
      <c r="A23" s="65">
        <f>+MAX($A$7:A22)+1</f>
        <v>15</v>
      </c>
      <c r="B23" s="77" t="s">
        <v>252</v>
      </c>
      <c r="C23" s="77" t="s">
        <v>113</v>
      </c>
      <c r="D23" s="77" t="s">
        <v>20</v>
      </c>
      <c r="E23" s="74">
        <v>1006</v>
      </c>
      <c r="F23" s="75">
        <v>36.554518999999999</v>
      </c>
      <c r="G23" s="45">
        <f t="shared" si="0"/>
        <v>1.11E-2</v>
      </c>
      <c r="H23" s="45"/>
      <c r="I23" s="42" t="s">
        <v>388</v>
      </c>
      <c r="J23" s="41"/>
      <c r="K23" s="14" t="s">
        <v>22</v>
      </c>
      <c r="L23" s="103">
        <f t="shared" si="1"/>
        <v>2.4500000000000001E-2</v>
      </c>
      <c r="M23" s="36"/>
      <c r="N23" s="14"/>
      <c r="O23" s="14"/>
      <c r="Q23" s="14"/>
    </row>
    <row r="24" spans="1:17" ht="12.75" customHeight="1" x14ac:dyDescent="0.2">
      <c r="A24" s="65">
        <f>+MAX($A$7:A23)+1</f>
        <v>16</v>
      </c>
      <c r="B24" s="77" t="s">
        <v>221</v>
      </c>
      <c r="C24" s="77" t="s">
        <v>29</v>
      </c>
      <c r="D24" s="77" t="s">
        <v>10</v>
      </c>
      <c r="E24" s="74">
        <v>6645</v>
      </c>
      <c r="F24" s="75">
        <v>35.577330000000003</v>
      </c>
      <c r="G24" s="45">
        <f t="shared" si="0"/>
        <v>1.0800000000000001E-2</v>
      </c>
      <c r="H24" s="45"/>
      <c r="I24" s="42" t="s">
        <v>388</v>
      </c>
      <c r="J24" s="41"/>
      <c r="K24" s="14" t="s">
        <v>103</v>
      </c>
      <c r="L24" s="103">
        <f t="shared" si="1"/>
        <v>1.5800000000000002E-2</v>
      </c>
      <c r="M24" s="36"/>
      <c r="N24" s="14"/>
      <c r="O24" s="14"/>
      <c r="Q24" s="14"/>
    </row>
    <row r="25" spans="1:17" ht="12.75" customHeight="1" x14ac:dyDescent="0.2">
      <c r="A25" s="65">
        <f>+MAX($A$7:A24)+1</f>
        <v>17</v>
      </c>
      <c r="B25" s="77" t="s">
        <v>213</v>
      </c>
      <c r="C25" s="77" t="s">
        <v>49</v>
      </c>
      <c r="D25" s="77" t="s">
        <v>20</v>
      </c>
      <c r="E25" s="74">
        <v>378</v>
      </c>
      <c r="F25" s="75">
        <v>32.504598000000001</v>
      </c>
      <c r="G25" s="45">
        <f t="shared" si="0"/>
        <v>9.7999999999999997E-3</v>
      </c>
      <c r="H25" s="45"/>
      <c r="I25" s="42" t="s">
        <v>388</v>
      </c>
      <c r="J25" s="41"/>
      <c r="K25" s="14" t="s">
        <v>376</v>
      </c>
      <c r="L25" s="103">
        <f t="shared" si="1"/>
        <v>1.5299999999999999E-2</v>
      </c>
      <c r="M25" s="36"/>
      <c r="N25" s="14"/>
      <c r="O25" s="14"/>
      <c r="Q25" s="14"/>
    </row>
    <row r="26" spans="1:17" ht="12.75" customHeight="1" x14ac:dyDescent="0.2">
      <c r="A26" s="65">
        <f>+MAX($A$7:A25)+1</f>
        <v>18</v>
      </c>
      <c r="B26" s="77" t="s">
        <v>199</v>
      </c>
      <c r="C26" s="77" t="s">
        <v>21</v>
      </c>
      <c r="D26" s="77" t="s">
        <v>20</v>
      </c>
      <c r="E26" s="74">
        <v>7550</v>
      </c>
      <c r="F26" s="75">
        <v>30.513324999999998</v>
      </c>
      <c r="G26" s="45">
        <f t="shared" si="0"/>
        <v>9.1999999999999998E-3</v>
      </c>
      <c r="H26" s="45"/>
      <c r="I26" s="42" t="s">
        <v>388</v>
      </c>
      <c r="J26" s="41"/>
      <c r="K26" s="14" t="s">
        <v>298</v>
      </c>
      <c r="L26" s="103">
        <f t="shared" si="1"/>
        <v>1.52E-2</v>
      </c>
      <c r="M26" s="36"/>
      <c r="N26" s="14"/>
      <c r="O26" s="14"/>
      <c r="Q26" s="14"/>
    </row>
    <row r="27" spans="1:17" ht="12.75" customHeight="1" x14ac:dyDescent="0.2">
      <c r="A27" s="65">
        <f>+MAX($A$7:A26)+1</f>
        <v>19</v>
      </c>
      <c r="B27" s="77" t="s">
        <v>206</v>
      </c>
      <c r="C27" s="77" t="s">
        <v>44</v>
      </c>
      <c r="D27" s="77" t="s">
        <v>24</v>
      </c>
      <c r="E27" s="74">
        <v>4505</v>
      </c>
      <c r="F27" s="75">
        <v>27.775577500000001</v>
      </c>
      <c r="G27" s="45">
        <f t="shared" si="0"/>
        <v>8.3999999999999995E-3</v>
      </c>
      <c r="H27" s="45"/>
      <c r="I27" s="42" t="s">
        <v>388</v>
      </c>
      <c r="J27" s="41"/>
      <c r="K27" s="90" t="s">
        <v>51</v>
      </c>
      <c r="L27" s="103">
        <f t="shared" si="1"/>
        <v>1.4200000000000001E-2</v>
      </c>
      <c r="M27" s="36"/>
      <c r="N27" s="14"/>
      <c r="O27" s="14"/>
      <c r="Q27" s="14"/>
    </row>
    <row r="28" spans="1:17" ht="12.75" customHeight="1" x14ac:dyDescent="0.2">
      <c r="A28" s="65">
        <f>+MAX($A$7:A27)+1</f>
        <v>20</v>
      </c>
      <c r="B28" s="77" t="s">
        <v>218</v>
      </c>
      <c r="C28" s="77" t="s">
        <v>65</v>
      </c>
      <c r="D28" s="77" t="s">
        <v>34</v>
      </c>
      <c r="E28" s="74">
        <v>5505</v>
      </c>
      <c r="F28" s="75">
        <v>27.329572500000001</v>
      </c>
      <c r="G28" s="45">
        <f t="shared" si="0"/>
        <v>8.3000000000000001E-3</v>
      </c>
      <c r="H28" s="45"/>
      <c r="I28" s="42" t="s">
        <v>388</v>
      </c>
      <c r="J28" s="41"/>
      <c r="K28" s="14" t="s">
        <v>32</v>
      </c>
      <c r="L28" s="103">
        <f t="shared" si="1"/>
        <v>1.3899999999999999E-2</v>
      </c>
      <c r="M28" s="36"/>
      <c r="N28" s="14"/>
      <c r="O28" s="14"/>
      <c r="Q28" s="14"/>
    </row>
    <row r="29" spans="1:17" ht="12.75" customHeight="1" x14ac:dyDescent="0.2">
      <c r="A29" s="65">
        <f>+MAX($A$7:A28)+1</f>
        <v>21</v>
      </c>
      <c r="B29" s="77" t="s">
        <v>255</v>
      </c>
      <c r="C29" s="77" t="s">
        <v>595</v>
      </c>
      <c r="D29" s="77" t="s">
        <v>10</v>
      </c>
      <c r="E29" s="74">
        <v>7900</v>
      </c>
      <c r="F29" s="75">
        <v>24.245100000000001</v>
      </c>
      <c r="G29" s="45">
        <f t="shared" si="0"/>
        <v>7.3000000000000001E-3</v>
      </c>
      <c r="H29" s="45"/>
      <c r="I29" s="42" t="s">
        <v>388</v>
      </c>
      <c r="J29" s="41"/>
      <c r="K29" s="14" t="s">
        <v>107</v>
      </c>
      <c r="L29" s="103">
        <f t="shared" si="1"/>
        <v>1.2800000000000001E-2</v>
      </c>
      <c r="M29" s="36"/>
      <c r="N29" s="14"/>
      <c r="O29" s="14"/>
      <c r="Q29" s="14"/>
    </row>
    <row r="30" spans="1:17" ht="12.75" customHeight="1" x14ac:dyDescent="0.2">
      <c r="A30" s="65">
        <f>+MAX($A$7:A29)+1</f>
        <v>22</v>
      </c>
      <c r="B30" s="77" t="s">
        <v>219</v>
      </c>
      <c r="C30" s="77" t="s">
        <v>61</v>
      </c>
      <c r="D30" s="77" t="s">
        <v>22</v>
      </c>
      <c r="E30" s="74">
        <v>2866</v>
      </c>
      <c r="F30" s="75">
        <v>19.857081000000001</v>
      </c>
      <c r="G30" s="45">
        <f t="shared" si="0"/>
        <v>6.0000000000000001E-3</v>
      </c>
      <c r="H30" s="45"/>
      <c r="I30" s="42" t="s">
        <v>388</v>
      </c>
      <c r="J30" s="41"/>
      <c r="K30" s="90" t="s">
        <v>41</v>
      </c>
      <c r="L30" s="103">
        <f t="shared" si="1"/>
        <v>1.11E-2</v>
      </c>
      <c r="M30" s="36"/>
      <c r="N30" s="14"/>
      <c r="O30" s="14"/>
      <c r="Q30" s="14"/>
    </row>
    <row r="31" spans="1:17" ht="12.75" customHeight="1" x14ac:dyDescent="0.2">
      <c r="A31" s="65">
        <f>+MAX($A$7:A30)+1</f>
        <v>23</v>
      </c>
      <c r="B31" s="77" t="s">
        <v>683</v>
      </c>
      <c r="C31" s="77" t="s">
        <v>684</v>
      </c>
      <c r="D31" s="77" t="s">
        <v>26</v>
      </c>
      <c r="E31" s="74">
        <v>231</v>
      </c>
      <c r="F31" s="75">
        <v>14.059815</v>
      </c>
      <c r="G31" s="45">
        <f t="shared" si="0"/>
        <v>4.3E-3</v>
      </c>
      <c r="H31" s="45"/>
      <c r="I31" s="42" t="s">
        <v>388</v>
      </c>
      <c r="J31" s="41"/>
      <c r="K31" s="14" t="s">
        <v>45</v>
      </c>
      <c r="L31" s="103">
        <f t="shared" si="1"/>
        <v>1.0200000000000001E-2</v>
      </c>
      <c r="M31" s="36"/>
      <c r="N31" s="14"/>
      <c r="O31" s="14"/>
      <c r="Q31" s="14"/>
    </row>
    <row r="32" spans="1:17" ht="12.75" customHeight="1" x14ac:dyDescent="0.2">
      <c r="B32" s="18" t="s">
        <v>86</v>
      </c>
      <c r="C32" s="18"/>
      <c r="D32" s="18"/>
      <c r="E32" s="19"/>
      <c r="F32" s="19">
        <f>SUM(F9:F31)</f>
        <v>895.44302400000004</v>
      </c>
      <c r="G32" s="20">
        <f>SUM(G9:G31)</f>
        <v>0.27110000000000001</v>
      </c>
      <c r="H32" s="20"/>
      <c r="I32" s="21"/>
      <c r="J32" s="49"/>
      <c r="K32" s="14" t="s">
        <v>34</v>
      </c>
      <c r="L32" s="103">
        <f t="shared" si="1"/>
        <v>8.3000000000000001E-3</v>
      </c>
    </row>
    <row r="33" spans="1:17" ht="12.75" customHeight="1" x14ac:dyDescent="0.2">
      <c r="F33" s="44"/>
      <c r="G33" s="14"/>
      <c r="H33" s="14"/>
      <c r="I33" s="15"/>
      <c r="K33" s="14" t="s">
        <v>330</v>
      </c>
      <c r="L33" s="103">
        <f t="shared" si="1"/>
        <v>0</v>
      </c>
    </row>
    <row r="34" spans="1:17" ht="12.75" customHeight="1" x14ac:dyDescent="0.2">
      <c r="A34" s="46"/>
      <c r="B34" s="16" t="s">
        <v>760</v>
      </c>
      <c r="C34" s="16"/>
      <c r="E34" s="38"/>
      <c r="F34" s="44"/>
      <c r="G34" s="45"/>
      <c r="H34" s="45"/>
      <c r="I34" s="47"/>
      <c r="K34" s="14" t="s">
        <v>64</v>
      </c>
      <c r="L34" s="48">
        <f>+SUMIFS($G$5:$G$999,$B$5:$B$999,"CBLO / Reverse Repo Investments")+SUMIFS($G$5:$G$999,$B$5:$B$999,"Net Receivable/Payable")</f>
        <v>8.1699999999999995E-2</v>
      </c>
      <c r="O34" s="14"/>
    </row>
    <row r="35" spans="1:17" s="65" customFormat="1" ht="12.75" customHeight="1" x14ac:dyDescent="0.2">
      <c r="A35" s="65">
        <f>+MAX($A$7:A34)+1</f>
        <v>24</v>
      </c>
      <c r="B35" s="77" t="s">
        <v>204</v>
      </c>
      <c r="C35" s="77" t="s">
        <v>35</v>
      </c>
      <c r="D35" s="77" t="s">
        <v>18</v>
      </c>
      <c r="E35" s="74">
        <v>14300</v>
      </c>
      <c r="F35" s="75">
        <v>187.60169999999999</v>
      </c>
      <c r="G35" s="76">
        <f>+ROUND(F35/VLOOKUP("Grand Total",$B$4:$F$273,5,0),4)</f>
        <v>5.6800000000000003E-2</v>
      </c>
      <c r="H35" s="76"/>
      <c r="I35" s="91" t="s">
        <v>388</v>
      </c>
      <c r="J35" s="101"/>
      <c r="K35" s="90"/>
      <c r="L35" s="103"/>
      <c r="M35" s="84"/>
      <c r="N35" s="90"/>
      <c r="O35" s="90"/>
      <c r="Q35" s="90"/>
    </row>
    <row r="36" spans="1:17" s="65" customFormat="1" ht="12.75" customHeight="1" x14ac:dyDescent="0.2">
      <c r="A36" s="65">
        <f>+A35+1</f>
        <v>25</v>
      </c>
      <c r="B36" s="77" t="s">
        <v>204</v>
      </c>
      <c r="C36" s="123" t="s">
        <v>584</v>
      </c>
      <c r="D36" s="77" t="s">
        <v>330</v>
      </c>
      <c r="E36" s="74">
        <v>-14300</v>
      </c>
      <c r="F36" s="75">
        <v>-188.76714999999999</v>
      </c>
      <c r="G36" s="76"/>
      <c r="H36" s="76">
        <f>+ROUND(F36/VLOOKUP("Grand Total",$B$4:$F$273,5,0),4)</f>
        <v>-5.7200000000000001E-2</v>
      </c>
      <c r="I36" s="89">
        <v>43097</v>
      </c>
      <c r="J36" s="101"/>
      <c r="K36" s="90"/>
      <c r="L36" s="103"/>
      <c r="M36" s="84"/>
      <c r="N36" s="90"/>
      <c r="O36" s="90"/>
      <c r="Q36" s="90"/>
    </row>
    <row r="37" spans="1:17" s="65" customFormat="1" ht="12.75" customHeight="1" x14ac:dyDescent="0.2">
      <c r="A37" s="65">
        <f t="shared" ref="A37:A64" si="2">+A36+1</f>
        <v>26</v>
      </c>
      <c r="B37" s="77" t="s">
        <v>206</v>
      </c>
      <c r="C37" s="77" t="s">
        <v>44</v>
      </c>
      <c r="D37" s="77" t="s">
        <v>24</v>
      </c>
      <c r="E37" s="74">
        <v>30000</v>
      </c>
      <c r="F37" s="75">
        <v>184.965</v>
      </c>
      <c r="G37" s="76">
        <f>+ROUND(F37/VLOOKUP("Grand Total",$B$4:$F$273,5,0),4)</f>
        <v>5.6000000000000001E-2</v>
      </c>
      <c r="H37" s="76"/>
      <c r="I37" s="91" t="s">
        <v>388</v>
      </c>
      <c r="J37" s="101"/>
      <c r="K37" s="90"/>
      <c r="L37" s="103"/>
      <c r="M37" s="84"/>
      <c r="N37" s="90"/>
      <c r="O37" s="90"/>
      <c r="Q37" s="90"/>
    </row>
    <row r="38" spans="1:17" s="65" customFormat="1" ht="12.75" customHeight="1" x14ac:dyDescent="0.2">
      <c r="A38" s="65">
        <f t="shared" si="2"/>
        <v>27</v>
      </c>
      <c r="B38" s="77" t="s">
        <v>206</v>
      </c>
      <c r="C38" s="123" t="s">
        <v>584</v>
      </c>
      <c r="D38" s="77" t="s">
        <v>330</v>
      </c>
      <c r="E38" s="74">
        <v>-30000</v>
      </c>
      <c r="F38" s="75">
        <v>-186.04499999999999</v>
      </c>
      <c r="G38" s="76"/>
      <c r="H38" s="76">
        <f>+ROUND(F38/VLOOKUP("Grand Total",$B$4:$F$273,5,0),4)</f>
        <v>-5.6399999999999999E-2</v>
      </c>
      <c r="I38" s="89">
        <v>43097</v>
      </c>
      <c r="J38" s="101"/>
      <c r="K38" s="90"/>
      <c r="L38" s="103"/>
      <c r="M38" s="84"/>
      <c r="N38" s="90"/>
      <c r="O38" s="90"/>
      <c r="Q38" s="90"/>
    </row>
    <row r="39" spans="1:17" s="65" customFormat="1" ht="12.75" customHeight="1" x14ac:dyDescent="0.2">
      <c r="A39" s="65">
        <f t="shared" si="2"/>
        <v>28</v>
      </c>
      <c r="B39" s="77" t="s">
        <v>570</v>
      </c>
      <c r="C39" s="77" t="s">
        <v>571</v>
      </c>
      <c r="D39" s="77" t="s">
        <v>26</v>
      </c>
      <c r="E39" s="74">
        <v>87500</v>
      </c>
      <c r="F39" s="75">
        <v>139.25624999999999</v>
      </c>
      <c r="G39" s="76">
        <f>+ROUND(F39/VLOOKUP("Grand Total",$B$4:$F$273,5,0),4)</f>
        <v>4.2200000000000001E-2</v>
      </c>
      <c r="H39" s="76"/>
      <c r="I39" s="91" t="s">
        <v>388</v>
      </c>
      <c r="J39" s="101"/>
      <c r="K39" s="90"/>
      <c r="L39" s="103"/>
      <c r="M39" s="84"/>
      <c r="N39" s="90"/>
      <c r="O39" s="90"/>
      <c r="Q39" s="90"/>
    </row>
    <row r="40" spans="1:17" s="65" customFormat="1" ht="12.75" customHeight="1" x14ac:dyDescent="0.2">
      <c r="A40" s="65">
        <f t="shared" si="2"/>
        <v>29</v>
      </c>
      <c r="B40" s="77" t="s">
        <v>570</v>
      </c>
      <c r="C40" s="123" t="s">
        <v>584</v>
      </c>
      <c r="D40" s="77" t="s">
        <v>330</v>
      </c>
      <c r="E40" s="74">
        <v>-87500</v>
      </c>
      <c r="F40" s="75">
        <v>-140.30625000000001</v>
      </c>
      <c r="G40" s="76"/>
      <c r="H40" s="76">
        <f>+ROUND(F40/VLOOKUP("Grand Total",$B$4:$F$273,5,0),4)</f>
        <v>-4.2500000000000003E-2</v>
      </c>
      <c r="I40" s="89">
        <v>43097</v>
      </c>
      <c r="J40" s="101"/>
      <c r="K40" s="90"/>
      <c r="L40" s="103"/>
      <c r="M40" s="84"/>
      <c r="N40" s="90"/>
      <c r="O40" s="90"/>
      <c r="Q40" s="90"/>
    </row>
    <row r="41" spans="1:17" s="65" customFormat="1" ht="12.75" customHeight="1" x14ac:dyDescent="0.2">
      <c r="A41" s="65">
        <f t="shared" si="2"/>
        <v>30</v>
      </c>
      <c r="B41" s="77" t="s">
        <v>284</v>
      </c>
      <c r="C41" s="77" t="s">
        <v>156</v>
      </c>
      <c r="D41" s="77" t="s">
        <v>146</v>
      </c>
      <c r="E41" s="74">
        <v>18700</v>
      </c>
      <c r="F41" s="75">
        <v>137.30475000000001</v>
      </c>
      <c r="G41" s="76">
        <f>+ROUND(F41/VLOOKUP("Grand Total",$B$4:$F$273,5,0),4)</f>
        <v>4.1599999999999998E-2</v>
      </c>
      <c r="H41" s="76"/>
      <c r="I41" s="91" t="s">
        <v>388</v>
      </c>
      <c r="J41" s="101"/>
      <c r="K41" s="90"/>
      <c r="L41" s="103"/>
      <c r="M41" s="84"/>
      <c r="N41" s="90"/>
      <c r="O41" s="90"/>
      <c r="Q41" s="90"/>
    </row>
    <row r="42" spans="1:17" s="65" customFormat="1" ht="12.75" customHeight="1" x14ac:dyDescent="0.2">
      <c r="A42" s="65">
        <f t="shared" si="2"/>
        <v>31</v>
      </c>
      <c r="B42" s="77" t="s">
        <v>284</v>
      </c>
      <c r="C42" s="123" t="s">
        <v>584</v>
      </c>
      <c r="D42" s="77" t="s">
        <v>330</v>
      </c>
      <c r="E42" s="74">
        <v>-18700</v>
      </c>
      <c r="F42" s="75">
        <v>-138.30520000000001</v>
      </c>
      <c r="G42" s="76"/>
      <c r="H42" s="76">
        <f>+ROUND(F42/VLOOKUP("Grand Total",$B$4:$F$273,5,0),4)</f>
        <v>-4.19E-2</v>
      </c>
      <c r="I42" s="89">
        <v>43097</v>
      </c>
      <c r="J42" s="101"/>
      <c r="K42" s="90"/>
      <c r="L42" s="103"/>
      <c r="M42" s="84"/>
      <c r="N42" s="90"/>
      <c r="O42" s="90"/>
      <c r="Q42" s="90"/>
    </row>
    <row r="43" spans="1:17" s="65" customFormat="1" ht="12.75" customHeight="1" x14ac:dyDescent="0.2">
      <c r="A43" s="65">
        <f t="shared" si="2"/>
        <v>32</v>
      </c>
      <c r="B43" s="77" t="s">
        <v>303</v>
      </c>
      <c r="C43" s="77" t="s">
        <v>181</v>
      </c>
      <c r="D43" s="77" t="s">
        <v>38</v>
      </c>
      <c r="E43" s="74">
        <v>60000</v>
      </c>
      <c r="F43" s="75">
        <v>123.03</v>
      </c>
      <c r="G43" s="76">
        <f>+ROUND(F43/VLOOKUP("Grand Total",$B$4:$F$273,5,0),4)</f>
        <v>3.73E-2</v>
      </c>
      <c r="H43" s="76"/>
      <c r="I43" s="91" t="s">
        <v>388</v>
      </c>
      <c r="J43" s="101"/>
      <c r="K43" s="90"/>
      <c r="L43" s="103"/>
      <c r="M43" s="84"/>
      <c r="N43" s="90"/>
      <c r="O43" s="90"/>
      <c r="Q43" s="90"/>
    </row>
    <row r="44" spans="1:17" s="65" customFormat="1" ht="12.75" customHeight="1" x14ac:dyDescent="0.2">
      <c r="A44" s="65">
        <f t="shared" si="2"/>
        <v>33</v>
      </c>
      <c r="B44" s="77" t="s">
        <v>303</v>
      </c>
      <c r="C44" s="123" t="s">
        <v>584</v>
      </c>
      <c r="D44" s="77" t="s">
        <v>330</v>
      </c>
      <c r="E44" s="74">
        <v>-60000</v>
      </c>
      <c r="F44" s="75">
        <v>-123.66</v>
      </c>
      <c r="G44" s="76"/>
      <c r="H44" s="76">
        <f>+ROUND(F44/VLOOKUP("Grand Total",$B$4:$F$273,5,0),4)</f>
        <v>-3.7499999999999999E-2</v>
      </c>
      <c r="I44" s="89">
        <v>43097</v>
      </c>
      <c r="J44" s="101"/>
      <c r="K44" s="90"/>
      <c r="L44" s="103"/>
      <c r="M44" s="84"/>
      <c r="N44" s="90"/>
      <c r="O44" s="90"/>
      <c r="Q44" s="90"/>
    </row>
    <row r="45" spans="1:17" s="65" customFormat="1" ht="12.75" customHeight="1" x14ac:dyDescent="0.2">
      <c r="A45" s="65">
        <f t="shared" si="2"/>
        <v>34</v>
      </c>
      <c r="B45" s="77" t="s">
        <v>354</v>
      </c>
      <c r="C45" s="77" t="s">
        <v>355</v>
      </c>
      <c r="D45" s="77" t="s">
        <v>20</v>
      </c>
      <c r="E45" s="74">
        <v>84000</v>
      </c>
      <c r="F45" s="75">
        <v>98.994</v>
      </c>
      <c r="G45" s="76">
        <f>+ROUND(F45/VLOOKUP("Grand Total",$B$4:$F$273,5,0),4)</f>
        <v>0.03</v>
      </c>
      <c r="H45" s="76"/>
      <c r="I45" s="91" t="s">
        <v>388</v>
      </c>
      <c r="J45" s="101"/>
      <c r="K45" s="90"/>
      <c r="L45" s="103"/>
      <c r="M45" s="84"/>
      <c r="N45" s="90"/>
      <c r="O45" s="90"/>
      <c r="Q45" s="90"/>
    </row>
    <row r="46" spans="1:17" s="65" customFormat="1" ht="12.75" customHeight="1" x14ac:dyDescent="0.2">
      <c r="A46" s="65">
        <f t="shared" si="2"/>
        <v>35</v>
      </c>
      <c r="B46" s="77" t="s">
        <v>354</v>
      </c>
      <c r="C46" s="123" t="s">
        <v>584</v>
      </c>
      <c r="D46" s="77" t="s">
        <v>330</v>
      </c>
      <c r="E46" s="74">
        <v>-84000</v>
      </c>
      <c r="F46" s="75">
        <v>-99.834000000000003</v>
      </c>
      <c r="G46" s="76"/>
      <c r="H46" s="76">
        <f>+ROUND(F46/VLOOKUP("Grand Total",$B$4:$F$273,5,0),4)</f>
        <v>-3.0200000000000001E-2</v>
      </c>
      <c r="I46" s="89">
        <v>43097</v>
      </c>
      <c r="J46" s="101"/>
      <c r="K46" s="90"/>
      <c r="L46" s="103"/>
      <c r="M46" s="84"/>
      <c r="N46" s="90"/>
      <c r="O46" s="90"/>
      <c r="Q46" s="90"/>
    </row>
    <row r="47" spans="1:17" s="65" customFormat="1" ht="12.75" customHeight="1" x14ac:dyDescent="0.2">
      <c r="A47" s="65">
        <f t="shared" si="2"/>
        <v>36</v>
      </c>
      <c r="B47" s="77" t="s">
        <v>40</v>
      </c>
      <c r="C47" s="77" t="s">
        <v>42</v>
      </c>
      <c r="D47" s="77" t="s">
        <v>10</v>
      </c>
      <c r="E47" s="74">
        <v>56000</v>
      </c>
      <c r="F47" s="75">
        <v>94.695999999999998</v>
      </c>
      <c r="G47" s="76">
        <f>+ROUND(F47/VLOOKUP("Grand Total",$B$4:$F$273,5,0),4)</f>
        <v>2.87E-2</v>
      </c>
      <c r="H47" s="76"/>
      <c r="I47" s="91" t="s">
        <v>388</v>
      </c>
      <c r="J47" s="101"/>
      <c r="K47" s="90"/>
      <c r="L47" s="103"/>
      <c r="M47" s="84"/>
      <c r="N47" s="90"/>
      <c r="O47" s="90"/>
      <c r="Q47" s="90"/>
    </row>
    <row r="48" spans="1:17" s="65" customFormat="1" ht="12.75" customHeight="1" x14ac:dyDescent="0.2">
      <c r="A48" s="65">
        <f t="shared" si="2"/>
        <v>37</v>
      </c>
      <c r="B48" s="77" t="s">
        <v>40</v>
      </c>
      <c r="C48" s="123" t="s">
        <v>584</v>
      </c>
      <c r="D48" s="77" t="s">
        <v>330</v>
      </c>
      <c r="E48" s="74">
        <v>-56000</v>
      </c>
      <c r="F48" s="75">
        <v>-95.284000000000006</v>
      </c>
      <c r="G48" s="76"/>
      <c r="H48" s="76">
        <f>+ROUND(F48/VLOOKUP("Grand Total",$B$4:$F$273,5,0),4)</f>
        <v>-2.8899999999999999E-2</v>
      </c>
      <c r="I48" s="89">
        <v>43097</v>
      </c>
      <c r="J48" s="101"/>
      <c r="K48" s="90"/>
      <c r="L48" s="103"/>
      <c r="M48" s="84"/>
      <c r="N48" s="90"/>
      <c r="O48" s="90"/>
      <c r="Q48" s="90"/>
    </row>
    <row r="49" spans="1:17" s="65" customFormat="1" ht="12.75" customHeight="1" x14ac:dyDescent="0.2">
      <c r="A49" s="65">
        <f t="shared" si="2"/>
        <v>38</v>
      </c>
      <c r="B49" s="77" t="s">
        <v>513</v>
      </c>
      <c r="C49" s="77" t="s">
        <v>514</v>
      </c>
      <c r="D49" s="77" t="s">
        <v>178</v>
      </c>
      <c r="E49" s="74">
        <v>59400</v>
      </c>
      <c r="F49" s="75">
        <v>86.040899999999993</v>
      </c>
      <c r="G49" s="76">
        <f>+ROUND(F49/VLOOKUP("Grand Total",$B$4:$F$273,5,0),4)</f>
        <v>2.6100000000000002E-2</v>
      </c>
      <c r="H49" s="76"/>
      <c r="I49" s="91" t="s">
        <v>388</v>
      </c>
      <c r="J49" s="101"/>
      <c r="K49" s="90"/>
      <c r="L49" s="103"/>
      <c r="M49" s="84"/>
      <c r="N49" s="90"/>
      <c r="O49" s="90"/>
      <c r="Q49" s="90"/>
    </row>
    <row r="50" spans="1:17" s="65" customFormat="1" ht="12.75" customHeight="1" x14ac:dyDescent="0.2">
      <c r="A50" s="65">
        <f t="shared" si="2"/>
        <v>39</v>
      </c>
      <c r="B50" s="77" t="s">
        <v>513</v>
      </c>
      <c r="C50" s="123" t="s">
        <v>584</v>
      </c>
      <c r="D50" s="77" t="s">
        <v>330</v>
      </c>
      <c r="E50" s="74">
        <v>-59400</v>
      </c>
      <c r="F50" s="75">
        <v>-86.456699999999998</v>
      </c>
      <c r="G50" s="76"/>
      <c r="H50" s="76">
        <f>+ROUND(F50/VLOOKUP("Grand Total",$B$4:$F$273,5,0),4)</f>
        <v>-2.6200000000000001E-2</v>
      </c>
      <c r="I50" s="89">
        <v>43097</v>
      </c>
      <c r="J50" s="101"/>
      <c r="K50" s="90"/>
      <c r="L50" s="103"/>
      <c r="M50" s="84"/>
      <c r="N50" s="90"/>
      <c r="O50" s="90"/>
      <c r="Q50" s="90"/>
    </row>
    <row r="51" spans="1:17" s="65" customFormat="1" ht="12.75" customHeight="1" x14ac:dyDescent="0.2">
      <c r="A51" s="65">
        <f t="shared" si="2"/>
        <v>40</v>
      </c>
      <c r="B51" s="77" t="s">
        <v>219</v>
      </c>
      <c r="C51" s="77" t="s">
        <v>61</v>
      </c>
      <c r="D51" s="77" t="s">
        <v>22</v>
      </c>
      <c r="E51" s="74">
        <v>8800</v>
      </c>
      <c r="F51" s="75">
        <v>60.970799999999997</v>
      </c>
      <c r="G51" s="76">
        <f>+ROUND(F51/VLOOKUP("Grand Total",$B$4:$F$273,5,0),4)</f>
        <v>1.8499999999999999E-2</v>
      </c>
      <c r="H51" s="76"/>
      <c r="I51" s="91" t="s">
        <v>388</v>
      </c>
      <c r="J51" s="101"/>
      <c r="K51" s="90"/>
      <c r="L51" s="103"/>
      <c r="M51" s="84"/>
      <c r="N51" s="90"/>
      <c r="O51" s="90"/>
      <c r="Q51" s="90"/>
    </row>
    <row r="52" spans="1:17" s="65" customFormat="1" ht="12.75" customHeight="1" x14ac:dyDescent="0.2">
      <c r="A52" s="65">
        <f t="shared" si="2"/>
        <v>41</v>
      </c>
      <c r="B52" s="77" t="s">
        <v>219</v>
      </c>
      <c r="C52" s="123" t="s">
        <v>584</v>
      </c>
      <c r="D52" s="77" t="s">
        <v>330</v>
      </c>
      <c r="E52" s="74">
        <v>-8800</v>
      </c>
      <c r="F52" s="75">
        <v>-61.410800000000002</v>
      </c>
      <c r="G52" s="76"/>
      <c r="H52" s="76">
        <f>+ROUND(F52/VLOOKUP("Grand Total",$B$4:$F$273,5,0),4)</f>
        <v>-1.8599999999999998E-2</v>
      </c>
      <c r="I52" s="89">
        <v>43097</v>
      </c>
      <c r="J52" s="101"/>
      <c r="K52" s="90"/>
      <c r="L52" s="103"/>
      <c r="M52" s="84"/>
      <c r="N52" s="90"/>
      <c r="O52" s="90"/>
      <c r="Q52" s="90"/>
    </row>
    <row r="53" spans="1:17" s="65" customFormat="1" ht="12.75" customHeight="1" x14ac:dyDescent="0.2">
      <c r="A53" s="65">
        <f t="shared" si="2"/>
        <v>42</v>
      </c>
      <c r="B53" s="77" t="s">
        <v>196</v>
      </c>
      <c r="C53" s="77" t="s">
        <v>15</v>
      </c>
      <c r="D53" s="77" t="s">
        <v>14</v>
      </c>
      <c r="E53" s="74">
        <v>5500</v>
      </c>
      <c r="F53" s="75">
        <v>53.685499999999998</v>
      </c>
      <c r="G53" s="76">
        <f>+ROUND(F53/VLOOKUP("Grand Total",$B$4:$F$273,5,0),4)</f>
        <v>1.6299999999999999E-2</v>
      </c>
      <c r="H53" s="76"/>
      <c r="I53" s="91" t="s">
        <v>388</v>
      </c>
      <c r="J53" s="101"/>
      <c r="K53" s="90"/>
      <c r="L53" s="103"/>
      <c r="M53" s="84"/>
      <c r="N53" s="90"/>
      <c r="O53" s="90"/>
      <c r="Q53" s="90"/>
    </row>
    <row r="54" spans="1:17" s="65" customFormat="1" ht="12.75" customHeight="1" x14ac:dyDescent="0.2">
      <c r="A54" s="65">
        <f t="shared" si="2"/>
        <v>43</v>
      </c>
      <c r="B54" s="77" t="s">
        <v>196</v>
      </c>
      <c r="C54" s="123" t="s">
        <v>584</v>
      </c>
      <c r="D54" s="77" t="s">
        <v>330</v>
      </c>
      <c r="E54" s="74">
        <v>-5500</v>
      </c>
      <c r="F54" s="75">
        <v>-53.77075</v>
      </c>
      <c r="G54" s="76"/>
      <c r="H54" s="76">
        <f>+ROUND(F54/VLOOKUP("Grand Total",$B$4:$F$273,5,0),4)</f>
        <v>-1.6299999999999999E-2</v>
      </c>
      <c r="I54" s="89">
        <v>43097</v>
      </c>
      <c r="J54" s="101"/>
      <c r="K54" s="90"/>
      <c r="L54" s="103"/>
      <c r="M54" s="84"/>
      <c r="N54" s="90"/>
      <c r="O54" s="90"/>
      <c r="Q54" s="90"/>
    </row>
    <row r="55" spans="1:17" s="65" customFormat="1" ht="12.75" customHeight="1" x14ac:dyDescent="0.2">
      <c r="A55" s="65">
        <f t="shared" si="2"/>
        <v>44</v>
      </c>
      <c r="B55" s="77" t="s">
        <v>305</v>
      </c>
      <c r="C55" s="77" t="s">
        <v>183</v>
      </c>
      <c r="D55" s="77" t="s">
        <v>103</v>
      </c>
      <c r="E55" s="74">
        <v>6000</v>
      </c>
      <c r="F55" s="75">
        <v>52.176000000000002</v>
      </c>
      <c r="G55" s="76">
        <f>+ROUND(F55/VLOOKUP("Grand Total",$B$4:$F$273,5,0),4)</f>
        <v>1.5800000000000002E-2</v>
      </c>
      <c r="H55" s="76"/>
      <c r="I55" s="91" t="s">
        <v>388</v>
      </c>
      <c r="J55" s="101"/>
      <c r="K55" s="90"/>
      <c r="L55" s="103"/>
      <c r="M55" s="84"/>
      <c r="N55" s="90"/>
      <c r="O55" s="90"/>
      <c r="Q55" s="90"/>
    </row>
    <row r="56" spans="1:17" s="65" customFormat="1" ht="12.75" customHeight="1" x14ac:dyDescent="0.2">
      <c r="A56" s="65">
        <f t="shared" si="2"/>
        <v>45</v>
      </c>
      <c r="B56" s="77" t="s">
        <v>305</v>
      </c>
      <c r="C56" s="123" t="s">
        <v>584</v>
      </c>
      <c r="D56" s="77" t="s">
        <v>330</v>
      </c>
      <c r="E56" s="74">
        <v>-6000</v>
      </c>
      <c r="F56" s="75">
        <v>-52.457999999999998</v>
      </c>
      <c r="G56" s="76"/>
      <c r="H56" s="76">
        <f>+ROUND(F56/VLOOKUP("Grand Total",$B$4:$F$273,5,0),4)</f>
        <v>-1.5900000000000001E-2</v>
      </c>
      <c r="I56" s="89">
        <v>43097</v>
      </c>
      <c r="J56" s="101"/>
      <c r="K56" s="90"/>
      <c r="L56" s="103"/>
      <c r="M56" s="84"/>
      <c r="N56" s="90"/>
      <c r="O56" s="90"/>
      <c r="Q56" s="90"/>
    </row>
    <row r="57" spans="1:17" s="65" customFormat="1" ht="12.75" customHeight="1" x14ac:dyDescent="0.2">
      <c r="A57" s="65">
        <f t="shared" si="2"/>
        <v>46</v>
      </c>
      <c r="B57" s="77" t="s">
        <v>201</v>
      </c>
      <c r="C57" s="77" t="s">
        <v>27</v>
      </c>
      <c r="D57" s="77" t="s">
        <v>24</v>
      </c>
      <c r="E57" s="74">
        <v>3000</v>
      </c>
      <c r="F57" s="75">
        <v>50.271000000000001</v>
      </c>
      <c r="G57" s="76">
        <f>+ROUND(F57/VLOOKUP("Grand Total",$B$4:$F$273,5,0),4)</f>
        <v>1.52E-2</v>
      </c>
      <c r="H57" s="76"/>
      <c r="I57" s="91" t="s">
        <v>388</v>
      </c>
      <c r="J57" s="101"/>
      <c r="K57" s="90"/>
      <c r="L57" s="103"/>
      <c r="M57" s="84"/>
      <c r="N57" s="90"/>
      <c r="O57" s="90"/>
      <c r="Q57" s="90"/>
    </row>
    <row r="58" spans="1:17" s="65" customFormat="1" ht="12.75" customHeight="1" x14ac:dyDescent="0.2">
      <c r="A58" s="65">
        <f t="shared" si="2"/>
        <v>47</v>
      </c>
      <c r="B58" s="77" t="s">
        <v>201</v>
      </c>
      <c r="C58" s="123" t="s">
        <v>584</v>
      </c>
      <c r="D58" s="77" t="s">
        <v>330</v>
      </c>
      <c r="E58" s="74">
        <v>-3000</v>
      </c>
      <c r="F58" s="75">
        <v>-50.570999999999998</v>
      </c>
      <c r="G58" s="76"/>
      <c r="H58" s="76">
        <f>+ROUND(F58/VLOOKUP("Grand Total",$B$4:$F$273,5,0),4)</f>
        <v>-1.5299999999999999E-2</v>
      </c>
      <c r="I58" s="89">
        <v>43097</v>
      </c>
      <c r="J58" s="101"/>
      <c r="K58" s="90"/>
      <c r="L58" s="103"/>
      <c r="M58" s="84"/>
      <c r="N58" s="90"/>
      <c r="O58" s="90"/>
      <c r="Q58" s="90"/>
    </row>
    <row r="59" spans="1:17" s="65" customFormat="1" ht="12.75" customHeight="1" x14ac:dyDescent="0.2">
      <c r="A59" s="65">
        <f t="shared" si="2"/>
        <v>48</v>
      </c>
      <c r="B59" s="77" t="s">
        <v>222</v>
      </c>
      <c r="C59" s="77" t="s">
        <v>74</v>
      </c>
      <c r="D59" s="77" t="s">
        <v>32</v>
      </c>
      <c r="E59" s="74">
        <v>20000</v>
      </c>
      <c r="F59" s="75">
        <v>45.95</v>
      </c>
      <c r="G59" s="76">
        <f>+ROUND(F59/VLOOKUP("Grand Total",$B$4:$F$273,5,0),4)</f>
        <v>1.3899999999999999E-2</v>
      </c>
      <c r="H59" s="76"/>
      <c r="I59" s="91" t="s">
        <v>388</v>
      </c>
      <c r="J59" s="101"/>
      <c r="K59" s="90"/>
      <c r="L59" s="103"/>
      <c r="M59" s="84"/>
      <c r="N59" s="90"/>
      <c r="O59" s="90"/>
      <c r="Q59" s="90"/>
    </row>
    <row r="60" spans="1:17" s="65" customFormat="1" ht="12.75" customHeight="1" x14ac:dyDescent="0.2">
      <c r="A60" s="65">
        <f t="shared" si="2"/>
        <v>49</v>
      </c>
      <c r="B60" s="77" t="s">
        <v>222</v>
      </c>
      <c r="C60" s="123" t="s">
        <v>584</v>
      </c>
      <c r="D60" s="77" t="s">
        <v>330</v>
      </c>
      <c r="E60" s="74">
        <v>-20000</v>
      </c>
      <c r="F60" s="75">
        <v>-46.23</v>
      </c>
      <c r="G60" s="76"/>
      <c r="H60" s="76">
        <f>+ROUND(F60/VLOOKUP("Grand Total",$B$4:$F$273,5,0),4)</f>
        <v>-1.4E-2</v>
      </c>
      <c r="I60" s="89">
        <v>43097</v>
      </c>
      <c r="J60" s="101"/>
      <c r="K60" s="90"/>
      <c r="L60" s="103"/>
      <c r="M60" s="84"/>
      <c r="N60" s="90"/>
      <c r="O60" s="90"/>
      <c r="Q60" s="90"/>
    </row>
    <row r="61" spans="1:17" s="65" customFormat="1" ht="12.75" customHeight="1" x14ac:dyDescent="0.2">
      <c r="A61" s="65">
        <f t="shared" si="2"/>
        <v>50</v>
      </c>
      <c r="B61" s="77" t="s">
        <v>264</v>
      </c>
      <c r="C61" s="77" t="s">
        <v>125</v>
      </c>
      <c r="D61" s="77" t="s">
        <v>45</v>
      </c>
      <c r="E61" s="74">
        <v>14000</v>
      </c>
      <c r="F61" s="75">
        <v>33.662999999999997</v>
      </c>
      <c r="G61" s="76">
        <f>+ROUND(F61/VLOOKUP("Grand Total",$B$4:$F$273,5,0),4)</f>
        <v>1.0200000000000001E-2</v>
      </c>
      <c r="H61" s="76"/>
      <c r="I61" s="91" t="s">
        <v>388</v>
      </c>
      <c r="J61" s="101"/>
      <c r="K61" s="90"/>
      <c r="L61" s="103"/>
      <c r="M61" s="84"/>
      <c r="N61" s="90"/>
      <c r="O61" s="90"/>
      <c r="Q61" s="90"/>
    </row>
    <row r="62" spans="1:17" s="65" customFormat="1" ht="12.75" customHeight="1" x14ac:dyDescent="0.2">
      <c r="A62" s="65">
        <f t="shared" si="2"/>
        <v>51</v>
      </c>
      <c r="B62" s="77" t="s">
        <v>264</v>
      </c>
      <c r="C62" s="123" t="s">
        <v>584</v>
      </c>
      <c r="D62" s="77" t="s">
        <v>330</v>
      </c>
      <c r="E62" s="74">
        <v>-14000</v>
      </c>
      <c r="F62" s="75">
        <v>-33.831000000000003</v>
      </c>
      <c r="G62" s="76"/>
      <c r="H62" s="76">
        <f>+ROUND(F62/VLOOKUP("Grand Total",$B$4:$F$273,5,0),4)</f>
        <v>-1.0200000000000001E-2</v>
      </c>
      <c r="I62" s="89">
        <v>43097</v>
      </c>
      <c r="J62" s="101"/>
      <c r="K62" s="90"/>
      <c r="L62" s="103"/>
      <c r="M62" s="84"/>
      <c r="N62" s="90"/>
      <c r="O62" s="90"/>
      <c r="Q62" s="90"/>
    </row>
    <row r="63" spans="1:17" s="65" customFormat="1" ht="12.75" customHeight="1" x14ac:dyDescent="0.2">
      <c r="A63" s="65">
        <f t="shared" si="2"/>
        <v>52</v>
      </c>
      <c r="B63" s="77" t="s">
        <v>302</v>
      </c>
      <c r="C63" s="77" t="s">
        <v>182</v>
      </c>
      <c r="D63" s="77" t="s">
        <v>36</v>
      </c>
      <c r="E63" s="74">
        <v>2600</v>
      </c>
      <c r="F63" s="75">
        <v>11.438700000000001</v>
      </c>
      <c r="G63" s="76">
        <f>+ROUND(F63/VLOOKUP("Grand Total",$B$4:$F$273,5,0),4)</f>
        <v>3.5000000000000001E-3</v>
      </c>
      <c r="H63" s="76"/>
      <c r="I63" s="91" t="s">
        <v>388</v>
      </c>
      <c r="J63" s="101"/>
      <c r="K63" s="90"/>
      <c r="L63" s="103"/>
      <c r="M63" s="84"/>
      <c r="N63" s="90"/>
      <c r="O63" s="90"/>
      <c r="Q63" s="90"/>
    </row>
    <row r="64" spans="1:17" s="65" customFormat="1" ht="12.75" customHeight="1" x14ac:dyDescent="0.2">
      <c r="A64" s="65">
        <f t="shared" si="2"/>
        <v>53</v>
      </c>
      <c r="B64" s="77" t="s">
        <v>302</v>
      </c>
      <c r="C64" s="123" t="s">
        <v>584</v>
      </c>
      <c r="D64" s="77" t="s">
        <v>330</v>
      </c>
      <c r="E64" s="74">
        <v>-2600</v>
      </c>
      <c r="F64" s="75">
        <v>-11.4998</v>
      </c>
      <c r="G64" s="76"/>
      <c r="H64" s="76">
        <f>+ROUND(F64/VLOOKUP("Grand Total",$B$4:$F$273,5,0),4)</f>
        <v>-3.5000000000000001E-3</v>
      </c>
      <c r="I64" s="89">
        <v>43097</v>
      </c>
      <c r="J64" s="101"/>
      <c r="K64" s="90"/>
      <c r="L64" s="103"/>
      <c r="M64" s="84"/>
      <c r="N64" s="90"/>
      <c r="O64" s="90"/>
      <c r="Q64" s="90"/>
    </row>
    <row r="65" spans="1:13" s="46" customFormat="1" x14ac:dyDescent="0.2">
      <c r="A65"/>
      <c r="B65" s="18" t="s">
        <v>86</v>
      </c>
      <c r="C65" s="18"/>
      <c r="D65" s="18"/>
      <c r="E65" s="19"/>
      <c r="F65" s="19">
        <f>+F35+F37+F39+F41+F43+F45+F47+F49+F51+F53+F55+F57+F59+F61+F63</f>
        <v>1360.0436</v>
      </c>
      <c r="G65" s="20">
        <f>+G35+G37+G39+G41+G43+G45+G47+G49+G51+G53+G55+G57+G59+G61+G63</f>
        <v>0.41210000000000002</v>
      </c>
      <c r="H65" s="20">
        <f>SUM(H35:H64)</f>
        <v>-0.41459999999999997</v>
      </c>
      <c r="I65" s="21"/>
      <c r="J65" s="55"/>
      <c r="K65"/>
      <c r="L65" s="36"/>
      <c r="M65"/>
    </row>
    <row r="66" spans="1:13" s="46" customFormat="1" x14ac:dyDescent="0.2">
      <c r="A66"/>
      <c r="B66"/>
      <c r="C66"/>
      <c r="D66"/>
      <c r="E66" s="28"/>
      <c r="F66" s="44"/>
      <c r="G66" s="14"/>
      <c r="H66" s="14"/>
      <c r="I66" s="15"/>
      <c r="J66" s="56"/>
      <c r="L66" s="48"/>
    </row>
    <row r="67" spans="1:13" s="46" customFormat="1" x14ac:dyDescent="0.2">
      <c r="A67"/>
      <c r="B67" s="16" t="s">
        <v>92</v>
      </c>
      <c r="C67"/>
      <c r="D67"/>
      <c r="E67" s="28"/>
      <c r="F67" s="44"/>
      <c r="G67" s="14"/>
      <c r="H67" s="14"/>
      <c r="I67" s="15"/>
      <c r="J67" s="56"/>
      <c r="L67" s="48"/>
    </row>
    <row r="68" spans="1:13" ht="12.75" customHeight="1" x14ac:dyDescent="0.2">
      <c r="B68" s="16" t="s">
        <v>314</v>
      </c>
      <c r="F68" s="13"/>
      <c r="G68" s="14"/>
      <c r="H68" s="14"/>
      <c r="I68" s="33"/>
      <c r="J68"/>
      <c r="K68" s="36"/>
      <c r="L68"/>
    </row>
    <row r="69" spans="1:13" ht="12.75" customHeight="1" x14ac:dyDescent="0.2">
      <c r="A69" s="65">
        <f>+MAX($A$7:A68)+1</f>
        <v>54</v>
      </c>
      <c r="B69" t="s">
        <v>297</v>
      </c>
      <c r="C69" t="s">
        <v>706</v>
      </c>
      <c r="D69" t="s">
        <v>659</v>
      </c>
      <c r="E69" s="28">
        <v>40</v>
      </c>
      <c r="F69" s="13">
        <v>185.1054</v>
      </c>
      <c r="G69" s="14">
        <f>+ROUND(F69/VLOOKUP("Grand Total",$B$4:$F$302,5,0),4)</f>
        <v>5.6099999999999997E-2</v>
      </c>
      <c r="H69" s="14"/>
      <c r="I69" s="15">
        <v>43426</v>
      </c>
      <c r="J69"/>
      <c r="K69" s="36"/>
      <c r="L69"/>
    </row>
    <row r="70" spans="1:13" ht="12.75" customHeight="1" x14ac:dyDescent="0.2">
      <c r="A70" s="65">
        <f>+MAX($A$7:A69)+1</f>
        <v>55</v>
      </c>
      <c r="B70" t="s">
        <v>624</v>
      </c>
      <c r="C70" t="s">
        <v>707</v>
      </c>
      <c r="D70" t="s">
        <v>163</v>
      </c>
      <c r="E70" s="28">
        <v>20</v>
      </c>
      <c r="F70" s="13">
        <v>99.641099999999994</v>
      </c>
      <c r="G70" s="14">
        <f>+ROUND(F70/VLOOKUP("Grand Total",$B$4:$F$302,5,0),4)</f>
        <v>3.0200000000000001E-2</v>
      </c>
      <c r="H70" s="14"/>
      <c r="I70" s="15">
        <v>43090</v>
      </c>
      <c r="J70"/>
      <c r="K70" s="36"/>
      <c r="L70"/>
    </row>
    <row r="71" spans="1:13" ht="12.75" customHeight="1" x14ac:dyDescent="0.2">
      <c r="A71" s="65">
        <f>+MAX($A$7:A70)+1</f>
        <v>56</v>
      </c>
      <c r="B71" t="s">
        <v>708</v>
      </c>
      <c r="C71" t="s">
        <v>709</v>
      </c>
      <c r="D71" t="s">
        <v>163</v>
      </c>
      <c r="E71" s="28">
        <v>15</v>
      </c>
      <c r="F71" s="13">
        <v>74.961524999999995</v>
      </c>
      <c r="G71" s="14">
        <f>+ROUND(F71/VLOOKUP("Grand Total",$B$4:$F$302,5,0),4)</f>
        <v>2.2700000000000001E-2</v>
      </c>
      <c r="H71" s="14"/>
      <c r="I71" s="15">
        <v>43073</v>
      </c>
      <c r="J71"/>
      <c r="K71" s="36"/>
      <c r="L71"/>
    </row>
    <row r="72" spans="1:13" ht="12.75" customHeight="1" x14ac:dyDescent="0.2">
      <c r="B72" s="18" t="s">
        <v>86</v>
      </c>
      <c r="C72" s="18"/>
      <c r="D72" s="18"/>
      <c r="E72" s="29"/>
      <c r="F72" s="19">
        <f>SUM(F69:F71)</f>
        <v>359.70802499999996</v>
      </c>
      <c r="G72" s="20">
        <f>SUM(G69:G71)</f>
        <v>0.109</v>
      </c>
      <c r="H72" s="20"/>
      <c r="I72" s="21"/>
      <c r="J72"/>
      <c r="K72" s="36"/>
      <c r="L72"/>
    </row>
    <row r="73" spans="1:13" x14ac:dyDescent="0.2">
      <c r="F73" s="44"/>
      <c r="G73" s="14"/>
      <c r="H73" s="14"/>
      <c r="I73" s="15"/>
      <c r="J73" s="56"/>
      <c r="K73" s="48"/>
      <c r="L73" s="46"/>
      <c r="M73" s="46"/>
    </row>
    <row r="74" spans="1:13" x14ac:dyDescent="0.2">
      <c r="B74" s="16" t="s">
        <v>126</v>
      </c>
      <c r="F74" s="44"/>
      <c r="G74" s="14"/>
      <c r="H74" s="14"/>
      <c r="I74" s="15"/>
      <c r="J74" s="56"/>
      <c r="K74" s="48"/>
      <c r="L74" s="46"/>
      <c r="M74" s="46"/>
    </row>
    <row r="75" spans="1:13" ht="12.75" customHeight="1" x14ac:dyDescent="0.2">
      <c r="B75" s="31" t="s">
        <v>313</v>
      </c>
      <c r="F75" s="13"/>
      <c r="G75" s="14"/>
      <c r="H75" s="14"/>
      <c r="I75" s="33"/>
      <c r="J75"/>
      <c r="K75" s="36"/>
      <c r="L75"/>
    </row>
    <row r="76" spans="1:13" ht="12.75" customHeight="1" x14ac:dyDescent="0.2">
      <c r="A76">
        <f>+MAX($A$7:A75)+1</f>
        <v>57</v>
      </c>
      <c r="B76" s="65" t="s">
        <v>550</v>
      </c>
      <c r="C76" t="s">
        <v>551</v>
      </c>
      <c r="D76" t="s">
        <v>109</v>
      </c>
      <c r="E76" s="28">
        <v>10</v>
      </c>
      <c r="F76" s="13">
        <v>100.351</v>
      </c>
      <c r="G76" s="14">
        <f>+ROUND(F76/VLOOKUP("Grand Total",$B$4:$F$302,5,0),4)</f>
        <v>3.04E-2</v>
      </c>
      <c r="H76" s="14"/>
      <c r="I76" s="15">
        <v>44091</v>
      </c>
      <c r="J76"/>
      <c r="K76" s="36"/>
      <c r="L76"/>
    </row>
    <row r="77" spans="1:13" ht="12.75" customHeight="1" x14ac:dyDescent="0.2">
      <c r="A77">
        <f>+MAX($A$7:A76)+1</f>
        <v>58</v>
      </c>
      <c r="B77" s="65" t="s">
        <v>722</v>
      </c>
      <c r="C77" t="s">
        <v>723</v>
      </c>
      <c r="D77" t="s">
        <v>109</v>
      </c>
      <c r="E77" s="28">
        <v>4</v>
      </c>
      <c r="F77" s="13">
        <v>53.039149999999999</v>
      </c>
      <c r="G77" s="14">
        <f>+ROUND(F77/VLOOKUP("Grand Total",$B$4:$F$302,5,0),4)</f>
        <v>1.61E-2</v>
      </c>
      <c r="H77" s="14"/>
      <c r="I77" s="15">
        <v>44401</v>
      </c>
      <c r="J77"/>
      <c r="K77" s="36"/>
      <c r="L77"/>
    </row>
    <row r="78" spans="1:13" ht="12.75" customHeight="1" x14ac:dyDescent="0.2">
      <c r="A78">
        <f>+MAX($A$7:A77)+1</f>
        <v>59</v>
      </c>
      <c r="B78" s="65" t="s">
        <v>441</v>
      </c>
      <c r="C78" t="s">
        <v>442</v>
      </c>
      <c r="D78" t="s">
        <v>376</v>
      </c>
      <c r="E78" s="28">
        <v>5</v>
      </c>
      <c r="F78" s="13">
        <v>50.355550000000001</v>
      </c>
      <c r="G78" s="14">
        <f>+ROUND(F78/VLOOKUP("Grand Total",$B$4:$F$302,5,0),4)</f>
        <v>1.5299999999999999E-2</v>
      </c>
      <c r="H78" s="14"/>
      <c r="I78" s="15">
        <v>43322</v>
      </c>
      <c r="J78"/>
      <c r="K78" s="36"/>
      <c r="L78"/>
    </row>
    <row r="79" spans="1:13" ht="12.75" customHeight="1" x14ac:dyDescent="0.2">
      <c r="A79">
        <f>+MAX($A$7:A78)+1</f>
        <v>60</v>
      </c>
      <c r="B79" s="65" t="s">
        <v>519</v>
      </c>
      <c r="C79" t="s">
        <v>520</v>
      </c>
      <c r="D79" t="s">
        <v>298</v>
      </c>
      <c r="E79" s="28">
        <v>5</v>
      </c>
      <c r="F79" s="13">
        <v>50.069400000000002</v>
      </c>
      <c r="G79" s="14">
        <f>+ROUND(F79/VLOOKUP("Grand Total",$B$4:$F$302,5,0),4)</f>
        <v>1.52E-2</v>
      </c>
      <c r="H79" s="14"/>
      <c r="I79" s="15">
        <v>43630</v>
      </c>
      <c r="J79"/>
      <c r="K79" s="36"/>
      <c r="L79"/>
    </row>
    <row r="80" spans="1:13" ht="12.75" customHeight="1" x14ac:dyDescent="0.2">
      <c r="B80" s="18" t="s">
        <v>86</v>
      </c>
      <c r="C80" s="18"/>
      <c r="D80" s="18"/>
      <c r="E80" s="29"/>
      <c r="F80" s="19">
        <f>SUM(F76:F79)</f>
        <v>253.8151</v>
      </c>
      <c r="G80" s="20">
        <f>SUM(G76:G79)</f>
        <v>7.6999999999999999E-2</v>
      </c>
      <c r="H80" s="20"/>
      <c r="I80" s="21"/>
      <c r="J80"/>
      <c r="K80" s="36"/>
      <c r="L80"/>
    </row>
    <row r="81" spans="1:13" x14ac:dyDescent="0.2">
      <c r="F81" s="44"/>
      <c r="G81" s="14"/>
      <c r="H81" s="14"/>
      <c r="I81" s="15"/>
      <c r="J81" s="56"/>
      <c r="K81" s="48"/>
      <c r="L81" s="46"/>
      <c r="M81" s="46"/>
    </row>
    <row r="82" spans="1:13" ht="12.75" customHeight="1" x14ac:dyDescent="0.2">
      <c r="B82" s="16" t="s">
        <v>93</v>
      </c>
      <c r="F82" s="13"/>
      <c r="G82" s="14"/>
      <c r="H82" s="14"/>
      <c r="I82" s="33"/>
      <c r="J82"/>
      <c r="K82" s="36"/>
      <c r="L82"/>
    </row>
    <row r="83" spans="1:13" ht="12.75" customHeight="1" x14ac:dyDescent="0.2">
      <c r="A83">
        <f>+MAX($A$7:A82)+1</f>
        <v>61</v>
      </c>
      <c r="B83" t="s">
        <v>472</v>
      </c>
      <c r="C83" t="s">
        <v>367</v>
      </c>
      <c r="D83" t="s">
        <v>327</v>
      </c>
      <c r="E83" s="28">
        <v>9842.8194000000003</v>
      </c>
      <c r="F83" s="13">
        <v>162.25009800000001</v>
      </c>
      <c r="G83" s="14">
        <f>+ROUND(F83/VLOOKUP("Grand Total",$B$4:$F$302,5,0),4)</f>
        <v>4.9099999999999998E-2</v>
      </c>
      <c r="H83" s="14"/>
      <c r="I83" s="33" t="s">
        <v>388</v>
      </c>
      <c r="J83"/>
      <c r="K83" s="36"/>
      <c r="L83"/>
    </row>
    <row r="84" spans="1:13" ht="12.75" customHeight="1" x14ac:dyDescent="0.2">
      <c r="B84" s="18" t="s">
        <v>86</v>
      </c>
      <c r="C84" s="18"/>
      <c r="D84" s="18"/>
      <c r="E84" s="29"/>
      <c r="F84" s="19">
        <f>SUM(F83)</f>
        <v>162.25009800000001</v>
      </c>
      <c r="G84" s="20">
        <f>SUM(G83)</f>
        <v>4.9099999999999998E-2</v>
      </c>
      <c r="H84" s="20"/>
      <c r="I84" s="21"/>
      <c r="J84"/>
      <c r="K84" s="36"/>
      <c r="L84"/>
    </row>
    <row r="85" spans="1:13" x14ac:dyDescent="0.2">
      <c r="F85" s="44"/>
      <c r="G85" s="14"/>
      <c r="H85" s="14"/>
      <c r="I85" s="15"/>
      <c r="J85" s="56"/>
      <c r="K85" s="48"/>
      <c r="L85" s="46"/>
      <c r="M85" s="46"/>
    </row>
    <row r="86" spans="1:13" x14ac:dyDescent="0.2">
      <c r="A86" s="95" t="s">
        <v>387</v>
      </c>
      <c r="B86" s="16" t="s">
        <v>94</v>
      </c>
      <c r="C86" s="16"/>
      <c r="F86" s="13">
        <v>232.81030559999999</v>
      </c>
      <c r="G86" s="14">
        <f>+ROUND(F86/VLOOKUP("Grand Total",$B$4:$F$278,5,0),4)</f>
        <v>7.0499999999999993E-2</v>
      </c>
      <c r="H86" s="14"/>
      <c r="I86" s="15">
        <v>43073</v>
      </c>
      <c r="J86" s="56"/>
      <c r="K86" s="36"/>
      <c r="L86"/>
    </row>
    <row r="87" spans="1:13" x14ac:dyDescent="0.2">
      <c r="B87" s="18" t="s">
        <v>86</v>
      </c>
      <c r="C87" s="18"/>
      <c r="D87" s="18"/>
      <c r="E87" s="29"/>
      <c r="F87" s="19">
        <f>SUM(F86)</f>
        <v>232.81030559999999</v>
      </c>
      <c r="G87" s="20">
        <f>SUM(G86)</f>
        <v>7.0499999999999993E-2</v>
      </c>
      <c r="H87" s="20"/>
      <c r="I87" s="21"/>
      <c r="J87" s="55"/>
    </row>
    <row r="88" spans="1:13" x14ac:dyDescent="0.2">
      <c r="F88" s="13"/>
      <c r="G88" s="14"/>
      <c r="H88" s="14"/>
      <c r="I88" s="15"/>
      <c r="J88" s="56"/>
    </row>
    <row r="89" spans="1:13" x14ac:dyDescent="0.2">
      <c r="B89" s="16" t="s">
        <v>95</v>
      </c>
      <c r="C89" s="16"/>
      <c r="F89" s="13"/>
      <c r="G89" s="14"/>
      <c r="H89" s="14"/>
      <c r="I89" s="15"/>
      <c r="J89" s="56"/>
    </row>
    <row r="90" spans="1:13" x14ac:dyDescent="0.2">
      <c r="B90" s="16" t="s">
        <v>96</v>
      </c>
      <c r="C90" s="16"/>
      <c r="F90" s="44">
        <f>+F92-SUMIF($B$5:B89,"Total",$F$5:F89)</f>
        <v>37.352119700000003</v>
      </c>
      <c r="G90" s="45">
        <f>+ROUND(F90/VLOOKUP("Grand Total",$B$4:$F$278,5,0),4)-0.01%</f>
        <v>1.12E-2</v>
      </c>
      <c r="H90" s="45"/>
      <c r="I90" s="15"/>
      <c r="J90" s="56"/>
    </row>
    <row r="91" spans="1:13" x14ac:dyDescent="0.2">
      <c r="B91" s="18" t="s">
        <v>86</v>
      </c>
      <c r="C91" s="18"/>
      <c r="D91" s="18"/>
      <c r="E91" s="29"/>
      <c r="F91" s="19">
        <f>SUM(F90)</f>
        <v>37.352119700000003</v>
      </c>
      <c r="G91" s="20">
        <f>SUM(G90)</f>
        <v>1.12E-2</v>
      </c>
      <c r="H91" s="20"/>
      <c r="I91" s="21"/>
      <c r="J91" s="55"/>
    </row>
    <row r="92" spans="1:13" x14ac:dyDescent="0.2">
      <c r="B92" s="22" t="s">
        <v>97</v>
      </c>
      <c r="C92" s="22"/>
      <c r="D92" s="22"/>
      <c r="E92" s="30"/>
      <c r="F92" s="23">
        <v>3301.4222722999998</v>
      </c>
      <c r="G92" s="24">
        <f>+SUMIF($B$5:B91,"Total",$G$5:G91)</f>
        <v>1</v>
      </c>
      <c r="H92" s="24"/>
      <c r="I92" s="25"/>
      <c r="J92" s="39"/>
    </row>
    <row r="93" spans="1:13" x14ac:dyDescent="0.2">
      <c r="F93" s="40"/>
      <c r="L93"/>
    </row>
    <row r="94" spans="1:13" x14ac:dyDescent="0.2">
      <c r="B94" s="16" t="s">
        <v>192</v>
      </c>
      <c r="C94" s="16"/>
      <c r="L94"/>
    </row>
    <row r="95" spans="1:13" x14ac:dyDescent="0.2">
      <c r="B95" s="16" t="s">
        <v>189</v>
      </c>
      <c r="C95" s="16"/>
      <c r="L95"/>
    </row>
    <row r="96" spans="1:13" x14ac:dyDescent="0.2">
      <c r="L96"/>
    </row>
    <row r="97" spans="5:12" x14ac:dyDescent="0.2">
      <c r="L97"/>
    </row>
    <row r="98" spans="5:12" x14ac:dyDescent="0.2">
      <c r="L98"/>
    </row>
    <row r="99" spans="5:12" x14ac:dyDescent="0.2">
      <c r="L99"/>
    </row>
    <row r="100" spans="5:12" x14ac:dyDescent="0.2">
      <c r="L100"/>
    </row>
    <row r="101" spans="5:12" x14ac:dyDescent="0.2">
      <c r="L101"/>
    </row>
    <row r="102" spans="5:12" x14ac:dyDescent="0.2">
      <c r="L102"/>
    </row>
    <row r="103" spans="5:12" x14ac:dyDescent="0.2">
      <c r="L103"/>
    </row>
    <row r="104" spans="5:12" x14ac:dyDescent="0.2">
      <c r="L104"/>
    </row>
    <row r="105" spans="5:12" x14ac:dyDescent="0.2">
      <c r="E105"/>
      <c r="J105"/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E109"/>
      <c r="J109"/>
      <c r="L109"/>
    </row>
    <row r="110" spans="5:12" x14ac:dyDescent="0.2">
      <c r="E110"/>
      <c r="J110"/>
      <c r="L110"/>
    </row>
    <row r="111" spans="5:12" x14ac:dyDescent="0.2">
      <c r="E111"/>
      <c r="J111"/>
      <c r="L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E122"/>
      <c r="J122"/>
      <c r="L122"/>
    </row>
    <row r="123" spans="5:12" x14ac:dyDescent="0.2">
      <c r="E123"/>
      <c r="J123"/>
      <c r="L123"/>
    </row>
    <row r="124" spans="5:12" x14ac:dyDescent="0.2">
      <c r="E124"/>
      <c r="J124"/>
      <c r="L124"/>
    </row>
    <row r="125" spans="5:12" x14ac:dyDescent="0.2">
      <c r="E125"/>
      <c r="J125"/>
      <c r="L125"/>
    </row>
    <row r="126" spans="5:12" x14ac:dyDescent="0.2">
      <c r="E126"/>
      <c r="J126"/>
      <c r="L126"/>
    </row>
    <row r="127" spans="5:12" x14ac:dyDescent="0.2">
      <c r="E127"/>
      <c r="J127"/>
      <c r="L127"/>
    </row>
    <row r="128" spans="5:12" x14ac:dyDescent="0.2">
      <c r="E128"/>
      <c r="J128"/>
      <c r="L128"/>
    </row>
    <row r="129" spans="5:12" x14ac:dyDescent="0.2">
      <c r="E129"/>
      <c r="J129"/>
      <c r="L129"/>
    </row>
    <row r="130" spans="5:12" x14ac:dyDescent="0.2">
      <c r="E130"/>
      <c r="J130"/>
      <c r="L130"/>
    </row>
    <row r="131" spans="5:12" x14ac:dyDescent="0.2">
      <c r="E131"/>
      <c r="J131"/>
      <c r="L131"/>
    </row>
    <row r="132" spans="5:12" x14ac:dyDescent="0.2">
      <c r="E132"/>
      <c r="J132"/>
      <c r="L132"/>
    </row>
    <row r="133" spans="5:12" x14ac:dyDescent="0.2">
      <c r="E133"/>
      <c r="J133"/>
      <c r="L133"/>
    </row>
    <row r="134" spans="5:12" x14ac:dyDescent="0.2">
      <c r="E134"/>
      <c r="J134"/>
      <c r="L134"/>
    </row>
    <row r="135" spans="5:12" x14ac:dyDescent="0.2">
      <c r="E135"/>
      <c r="J135"/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</sheetData>
  <sheetProtection password="EDB4" sheet="1" objects="1" scenarios="1"/>
  <sortState ref="K9:L33">
    <sortCondition descending="1" ref="L9:L33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6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402</v>
      </c>
      <c r="B1" s="124" t="s">
        <v>486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C7" s="16"/>
      <c r="F7" s="13"/>
      <c r="G7" s="14"/>
      <c r="H7" s="15"/>
    </row>
    <row r="8" spans="1:16" ht="12.75" customHeight="1" x14ac:dyDescent="0.2">
      <c r="B8" s="16" t="s">
        <v>170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695</v>
      </c>
      <c r="C9" t="s">
        <v>696</v>
      </c>
      <c r="D9" t="s">
        <v>420</v>
      </c>
      <c r="E9" s="28">
        <v>18000</v>
      </c>
      <c r="F9" s="13">
        <v>17.69661</v>
      </c>
      <c r="G9" s="14">
        <f>+ROUND(F9/VLOOKUP("Grand Total",$B$4:$F$286,5,0),4)</f>
        <v>8.0000000000000002E-3</v>
      </c>
      <c r="H9" s="15">
        <v>43172</v>
      </c>
      <c r="J9" s="14" t="s">
        <v>420</v>
      </c>
      <c r="K9" s="48">
        <f>SUMIFS($G$5:$G$316,$D$5:$D$316,J9)</f>
        <v>0.44350000000000001</v>
      </c>
    </row>
    <row r="10" spans="1:16" ht="12.75" customHeight="1" x14ac:dyDescent="0.2">
      <c r="B10" s="18" t="s">
        <v>86</v>
      </c>
      <c r="C10" s="18"/>
      <c r="D10" s="18"/>
      <c r="E10" s="29"/>
      <c r="F10" s="19">
        <f>SUM(F9:F9)</f>
        <v>17.69661</v>
      </c>
      <c r="G10" s="20">
        <f>SUM(G9:G9)</f>
        <v>8.0000000000000002E-3</v>
      </c>
      <c r="H10" s="21"/>
      <c r="J10" t="s">
        <v>172</v>
      </c>
      <c r="K10" s="48">
        <f>SUMIFS($G$5:$G$316,$D$5:$D$316,J10)</f>
        <v>9.11E-2</v>
      </c>
    </row>
    <row r="11" spans="1:16" ht="12.75" customHeight="1" x14ac:dyDescent="0.2">
      <c r="B11" s="16"/>
      <c r="C11" s="16"/>
      <c r="F11" s="13"/>
      <c r="G11" s="14"/>
      <c r="H11" s="15"/>
      <c r="J11" t="s">
        <v>298</v>
      </c>
      <c r="K11" s="48">
        <f>SUMIFS($G$5:$G$316,$D$5:$D$316,J11)</f>
        <v>9.0700000000000003E-2</v>
      </c>
    </row>
    <row r="12" spans="1:16" ht="12.75" customHeight="1" x14ac:dyDescent="0.2">
      <c r="B12" s="16" t="s">
        <v>171</v>
      </c>
      <c r="C12" s="16"/>
      <c r="F12" s="13"/>
      <c r="G12" s="14"/>
      <c r="H12" s="15"/>
      <c r="J12" s="46" t="s">
        <v>376</v>
      </c>
      <c r="K12" s="48">
        <f>SUMIFS($G$5:$G$316,$D$5:$D$316,J12)</f>
        <v>8.6499999999999994E-2</v>
      </c>
      <c r="M12" s="14"/>
      <c r="N12" s="36"/>
      <c r="P12" s="14"/>
    </row>
    <row r="13" spans="1:16" ht="12.75" customHeight="1" x14ac:dyDescent="0.2">
      <c r="A13">
        <f>+MAX($A$7:A12)+1</f>
        <v>2</v>
      </c>
      <c r="B13" s="1" t="s">
        <v>627</v>
      </c>
      <c r="C13" t="s">
        <v>628</v>
      </c>
      <c r="D13" t="s">
        <v>420</v>
      </c>
      <c r="E13" s="28">
        <v>1000000</v>
      </c>
      <c r="F13" s="13">
        <v>962.23900000000003</v>
      </c>
      <c r="G13" s="14">
        <f>+ROUND(F13/VLOOKUP("Grand Total",$B$4:$F$284,5,0),4)</f>
        <v>0.4355</v>
      </c>
      <c r="H13" s="15">
        <v>48108</v>
      </c>
      <c r="J13" s="14" t="s">
        <v>521</v>
      </c>
      <c r="K13" s="48">
        <f t="shared" ref="K13:K16" si="0">SUMIFS($G$5:$G$316,$D$5:$D$316,J13)</f>
        <v>8.14E-2</v>
      </c>
      <c r="M13" s="14"/>
      <c r="N13" s="36"/>
      <c r="P13" s="14"/>
    </row>
    <row r="14" spans="1:16" ht="12.75" customHeight="1" x14ac:dyDescent="0.2">
      <c r="B14" s="18" t="s">
        <v>86</v>
      </c>
      <c r="C14" s="18"/>
      <c r="D14" s="18"/>
      <c r="E14" s="29"/>
      <c r="F14" s="19">
        <f>SUM(F13:F13)</f>
        <v>962.23900000000003</v>
      </c>
      <c r="G14" s="20">
        <f>SUM(G13:G13)</f>
        <v>0.4355</v>
      </c>
      <c r="H14" s="21"/>
      <c r="I14" s="35"/>
      <c r="J14" t="s">
        <v>573</v>
      </c>
      <c r="K14" s="48">
        <f t="shared" si="0"/>
        <v>6.8500000000000005E-2</v>
      </c>
      <c r="L14" s="54"/>
      <c r="M14" s="14"/>
      <c r="N14" s="36"/>
      <c r="P14" s="14"/>
    </row>
    <row r="15" spans="1:16" ht="12.75" customHeight="1" x14ac:dyDescent="0.2">
      <c r="F15" s="13"/>
      <c r="G15" s="14"/>
      <c r="H15" s="15"/>
      <c r="J15" t="s">
        <v>176</v>
      </c>
      <c r="K15" s="48">
        <f t="shared" si="0"/>
        <v>6.83E-2</v>
      </c>
      <c r="L15" s="54"/>
      <c r="M15" s="14"/>
      <c r="N15" s="36"/>
      <c r="P15" s="14"/>
    </row>
    <row r="16" spans="1:16" ht="12.75" customHeight="1" x14ac:dyDescent="0.2">
      <c r="B16" s="16" t="s">
        <v>126</v>
      </c>
      <c r="C16" s="16"/>
      <c r="F16" s="13"/>
      <c r="G16" s="14"/>
      <c r="H16" s="15"/>
      <c r="J16" s="14" t="s">
        <v>109</v>
      </c>
      <c r="K16" s="48">
        <f t="shared" si="0"/>
        <v>4.6399999999999997E-2</v>
      </c>
      <c r="L16" s="54">
        <f>+SUM($K$12:K16)</f>
        <v>0.35109999999999997</v>
      </c>
      <c r="M16" s="14"/>
      <c r="N16" s="36"/>
      <c r="P16" s="14"/>
    </row>
    <row r="17" spans="1:11" ht="12.75" customHeight="1" x14ac:dyDescent="0.2">
      <c r="B17" s="31" t="s">
        <v>313</v>
      </c>
      <c r="C17" s="16"/>
      <c r="F17" s="13"/>
      <c r="G17" s="14"/>
      <c r="H17" s="15"/>
      <c r="J17" s="14" t="s">
        <v>64</v>
      </c>
      <c r="K17" s="48">
        <f>+SUMIFS($G$5:$G$999,$B$5:$B$999,"CBLO / Reverse Repo Investments")+SUMIFS($G$5:$G$999,$B$5:$B$999,"Net Receivable/Payable")</f>
        <v>2.3599999999999999E-2</v>
      </c>
    </row>
    <row r="18" spans="1:11" ht="12.75" customHeight="1" x14ac:dyDescent="0.2">
      <c r="A18">
        <f>+MAX($A$7:A17)+1</f>
        <v>3</v>
      </c>
      <c r="B18" s="1" t="s">
        <v>323</v>
      </c>
      <c r="C18" t="s">
        <v>173</v>
      </c>
      <c r="D18" t="s">
        <v>172</v>
      </c>
      <c r="E18" s="28">
        <v>20</v>
      </c>
      <c r="F18" s="13">
        <v>201.33840000000001</v>
      </c>
      <c r="G18" s="14">
        <f>+ROUND(F18/VLOOKUP("Grand Total",$B$4:$F$284,5,0),4)</f>
        <v>9.11E-2</v>
      </c>
      <c r="H18" s="15">
        <v>43259</v>
      </c>
      <c r="J18" s="52"/>
    </row>
    <row r="19" spans="1:11" ht="12.75" customHeight="1" x14ac:dyDescent="0.2">
      <c r="A19">
        <f>+MAX($A$7:A18)+1</f>
        <v>4</v>
      </c>
      <c r="B19" t="s">
        <v>519</v>
      </c>
      <c r="C19" t="s">
        <v>520</v>
      </c>
      <c r="D19" t="s">
        <v>298</v>
      </c>
      <c r="E19" s="28">
        <v>20</v>
      </c>
      <c r="F19" s="13">
        <v>200.27760000000001</v>
      </c>
      <c r="G19" s="14">
        <f t="shared" ref="G19:G25" si="1">+ROUND(F19/VLOOKUP("Grand Total",$B$4:$F$284,5,0),4)</f>
        <v>9.0700000000000003E-2</v>
      </c>
      <c r="H19" s="15">
        <v>43630</v>
      </c>
    </row>
    <row r="20" spans="1:11" ht="12.75" customHeight="1" x14ac:dyDescent="0.2">
      <c r="A20">
        <f>+MAX($A$7:A19)+1</f>
        <v>5</v>
      </c>
      <c r="B20" t="s">
        <v>577</v>
      </c>
      <c r="C20" t="s">
        <v>553</v>
      </c>
      <c r="D20" t="s">
        <v>521</v>
      </c>
      <c r="E20" s="28">
        <v>18</v>
      </c>
      <c r="F20" s="13">
        <v>179.88030000000001</v>
      </c>
      <c r="G20" s="14">
        <f t="shared" si="1"/>
        <v>8.14E-2</v>
      </c>
      <c r="H20" s="15">
        <v>44026</v>
      </c>
      <c r="J20" s="52"/>
    </row>
    <row r="21" spans="1:11" ht="12.75" customHeight="1" x14ac:dyDescent="0.2">
      <c r="A21">
        <f>+MAX($A$7:A20)+1</f>
        <v>6</v>
      </c>
      <c r="B21" s="65" t="s">
        <v>374</v>
      </c>
      <c r="C21" t="s">
        <v>377</v>
      </c>
      <c r="D21" t="s">
        <v>376</v>
      </c>
      <c r="E21" s="28">
        <v>17</v>
      </c>
      <c r="F21" s="13">
        <v>170.75599</v>
      </c>
      <c r="G21" s="14">
        <f t="shared" si="1"/>
        <v>7.7299999999999994E-2</v>
      </c>
      <c r="H21" s="15">
        <v>43175</v>
      </c>
      <c r="J21" s="52"/>
    </row>
    <row r="22" spans="1:11" ht="12.75" customHeight="1" x14ac:dyDescent="0.2">
      <c r="A22">
        <f>+MAX($A$7:A21)+1</f>
        <v>7</v>
      </c>
      <c r="B22" t="s">
        <v>364</v>
      </c>
      <c r="C22" t="s">
        <v>365</v>
      </c>
      <c r="D22" t="s">
        <v>573</v>
      </c>
      <c r="E22" s="28">
        <v>15</v>
      </c>
      <c r="F22" s="13">
        <v>151.27695</v>
      </c>
      <c r="G22" s="14">
        <f t="shared" si="1"/>
        <v>6.8500000000000005E-2</v>
      </c>
      <c r="H22" s="15">
        <v>43309</v>
      </c>
      <c r="J22" s="52"/>
    </row>
    <row r="23" spans="1:11" ht="12.75" customHeight="1" x14ac:dyDescent="0.2">
      <c r="A23">
        <f>+MAX($A$7:A22)+1</f>
        <v>8</v>
      </c>
      <c r="B23" t="s">
        <v>666</v>
      </c>
      <c r="C23" t="s">
        <v>366</v>
      </c>
      <c r="D23" t="s">
        <v>176</v>
      </c>
      <c r="E23" s="28">
        <v>15</v>
      </c>
      <c r="F23" s="13">
        <v>150.93254999999999</v>
      </c>
      <c r="G23" s="14">
        <f t="shared" si="1"/>
        <v>6.83E-2</v>
      </c>
      <c r="H23" s="15">
        <v>43299</v>
      </c>
      <c r="J23" s="52"/>
    </row>
    <row r="24" spans="1:11" ht="12.75" customHeight="1" x14ac:dyDescent="0.2">
      <c r="A24">
        <f>+MAX($A$7:A23)+1</f>
        <v>9</v>
      </c>
      <c r="B24" t="s">
        <v>668</v>
      </c>
      <c r="C24" t="s">
        <v>428</v>
      </c>
      <c r="D24" t="s">
        <v>109</v>
      </c>
      <c r="E24" s="28">
        <v>10</v>
      </c>
      <c r="F24" s="13">
        <v>102.4284</v>
      </c>
      <c r="G24" s="14">
        <f t="shared" si="1"/>
        <v>4.6399999999999997E-2</v>
      </c>
      <c r="H24" s="15">
        <v>44343</v>
      </c>
      <c r="J24" s="52"/>
    </row>
    <row r="25" spans="1:11" ht="12.75" customHeight="1" x14ac:dyDescent="0.2">
      <c r="A25">
        <f>+MAX($A$7:A24)+1</f>
        <v>10</v>
      </c>
      <c r="B25" t="s">
        <v>477</v>
      </c>
      <c r="C25" t="s">
        <v>443</v>
      </c>
      <c r="D25" t="s">
        <v>376</v>
      </c>
      <c r="E25" s="28">
        <v>2000</v>
      </c>
      <c r="F25" s="13">
        <v>20.285900000000002</v>
      </c>
      <c r="G25" s="14">
        <f t="shared" si="1"/>
        <v>9.1999999999999998E-3</v>
      </c>
      <c r="H25" s="15">
        <v>43717</v>
      </c>
      <c r="J25" s="52"/>
    </row>
    <row r="26" spans="1:11" ht="12.75" customHeight="1" x14ac:dyDescent="0.2">
      <c r="B26" s="18" t="s">
        <v>86</v>
      </c>
      <c r="C26" s="18"/>
      <c r="D26" s="18"/>
      <c r="E26" s="29"/>
      <c r="F26" s="19">
        <f>SUM(F18:F25)</f>
        <v>1177.1760900000002</v>
      </c>
      <c r="G26" s="20">
        <f>SUM(G18:G25)</f>
        <v>0.53289999999999993</v>
      </c>
      <c r="H26" s="21"/>
      <c r="J26" s="52"/>
    </row>
    <row r="27" spans="1:11" ht="12.75" customHeight="1" x14ac:dyDescent="0.2">
      <c r="F27" s="13"/>
      <c r="G27" s="14"/>
      <c r="H27" s="15"/>
    </row>
    <row r="28" spans="1:11" ht="12.75" customHeight="1" x14ac:dyDescent="0.2">
      <c r="A28" s="95" t="s">
        <v>387</v>
      </c>
      <c r="B28" s="16" t="s">
        <v>94</v>
      </c>
      <c r="C28" s="16"/>
      <c r="F28" s="13">
        <v>11.0766996</v>
      </c>
      <c r="G28" s="14">
        <f>+ROUND(F28/VLOOKUP("Grand Total",$B$4:$F$284,5,0),4)</f>
        <v>5.0000000000000001E-3</v>
      </c>
      <c r="H28" s="15">
        <v>43073</v>
      </c>
    </row>
    <row r="29" spans="1:11" ht="12.75" customHeight="1" x14ac:dyDescent="0.2">
      <c r="B29" s="18" t="s">
        <v>86</v>
      </c>
      <c r="C29" s="18"/>
      <c r="D29" s="18"/>
      <c r="E29" s="29"/>
      <c r="F29" s="19">
        <f>SUM(F28)</f>
        <v>11.0766996</v>
      </c>
      <c r="G29" s="20">
        <f>SUM(G28)</f>
        <v>5.0000000000000001E-3</v>
      </c>
      <c r="H29" s="21"/>
      <c r="I29" s="35"/>
    </row>
    <row r="30" spans="1:11" ht="12.75" customHeight="1" x14ac:dyDescent="0.2">
      <c r="F30" s="13"/>
      <c r="G30" s="14"/>
      <c r="H30" s="15"/>
    </row>
    <row r="31" spans="1:11" ht="12.75" customHeight="1" x14ac:dyDescent="0.2">
      <c r="B31" s="16" t="s">
        <v>95</v>
      </c>
      <c r="C31" s="16"/>
      <c r="F31" s="13"/>
      <c r="G31" s="14"/>
      <c r="H31" s="15"/>
    </row>
    <row r="32" spans="1:11" ht="12.75" customHeight="1" x14ac:dyDescent="0.2">
      <c r="B32" s="16" t="s">
        <v>96</v>
      </c>
      <c r="C32" s="16"/>
      <c r="F32" s="13">
        <v>41.149612400000024</v>
      </c>
      <c r="G32" s="14">
        <f>+ROUND(F32/VLOOKUP("Grand Total",$B$4:$F$284,5,0),4)</f>
        <v>1.8599999999999998E-2</v>
      </c>
      <c r="H32" s="15"/>
    </row>
    <row r="33" spans="2:9" ht="12.75" customHeight="1" x14ac:dyDescent="0.2">
      <c r="B33" s="18" t="s">
        <v>86</v>
      </c>
      <c r="C33" s="18"/>
      <c r="D33" s="18"/>
      <c r="E33" s="29"/>
      <c r="F33" s="19">
        <f>SUM(F32)</f>
        <v>41.149612400000024</v>
      </c>
      <c r="G33" s="20">
        <f>SUM(G32)</f>
        <v>1.8599999999999998E-2</v>
      </c>
      <c r="H33" s="21"/>
      <c r="I33" s="35"/>
    </row>
    <row r="34" spans="2:9" ht="12.75" customHeight="1" x14ac:dyDescent="0.2">
      <c r="B34" s="22" t="s">
        <v>97</v>
      </c>
      <c r="C34" s="22"/>
      <c r="D34" s="22"/>
      <c r="E34" s="30"/>
      <c r="F34" s="23">
        <f>+SUMIF($B$5:B33,"Total",$F$5:F33)</f>
        <v>2209.3380120000006</v>
      </c>
      <c r="G34" s="24">
        <f>+SUMIF($B$5:B33,"Total",$G$5:G33)</f>
        <v>0.99999999999999989</v>
      </c>
      <c r="H34" s="25"/>
      <c r="I34" s="35"/>
    </row>
    <row r="35" spans="2:9" ht="12.75" customHeight="1" x14ac:dyDescent="0.2"/>
    <row r="36" spans="2:9" ht="12.75" customHeight="1" x14ac:dyDescent="0.2">
      <c r="B36" s="16" t="s">
        <v>192</v>
      </c>
      <c r="C36" s="16"/>
    </row>
    <row r="37" spans="2:9" ht="12.75" customHeight="1" x14ac:dyDescent="0.2">
      <c r="B37" s="16" t="s">
        <v>189</v>
      </c>
      <c r="C37" s="16"/>
    </row>
    <row r="38" spans="2:9" ht="12.75" customHeight="1" x14ac:dyDescent="0.2">
      <c r="B38" s="16"/>
      <c r="C38" s="16"/>
    </row>
    <row r="39" spans="2:9" ht="12.75" customHeight="1" x14ac:dyDescent="0.2">
      <c r="B39" s="16"/>
      <c r="C39" s="16"/>
    </row>
    <row r="40" spans="2:9" ht="12.75" customHeight="1" x14ac:dyDescent="0.2">
      <c r="B40" s="16"/>
      <c r="C40" s="16"/>
    </row>
    <row r="41" spans="2:9" ht="12.75" customHeight="1" x14ac:dyDescent="0.2"/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sheetProtection password="EDB4" sheet="1" objects="1" scenarios="1"/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7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403</v>
      </c>
      <c r="B1" s="124" t="s">
        <v>174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425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205</v>
      </c>
      <c r="C9" t="s">
        <v>46</v>
      </c>
      <c r="D9" t="s">
        <v>26</v>
      </c>
      <c r="E9" s="28">
        <v>681277</v>
      </c>
      <c r="F9" s="13">
        <v>1744.4097585</v>
      </c>
      <c r="G9" s="14">
        <f t="shared" ref="G9:G40" si="0">+ROUND(F9/VLOOKUP("Grand Total",$B$4:$F$322,5,0),4)</f>
        <v>2.47E-2</v>
      </c>
      <c r="H9" s="15" t="s">
        <v>388</v>
      </c>
      <c r="I9" s="107"/>
      <c r="J9" s="14" t="s">
        <v>420</v>
      </c>
      <c r="K9" s="48">
        <f>SUMIFS($G$5:$G$360,$D$5:$D$360,J9)</f>
        <v>0.1237</v>
      </c>
    </row>
    <row r="10" spans="1:16" ht="12.75" customHeight="1" x14ac:dyDescent="0.2">
      <c r="A10">
        <f>+MAX($A$7:A9)+1</f>
        <v>2</v>
      </c>
      <c r="B10" t="s">
        <v>198</v>
      </c>
      <c r="C10" t="s">
        <v>11</v>
      </c>
      <c r="D10" t="s">
        <v>10</v>
      </c>
      <c r="E10" s="28">
        <v>509976</v>
      </c>
      <c r="F10" s="13">
        <v>1568.431188</v>
      </c>
      <c r="G10" s="14">
        <f t="shared" si="0"/>
        <v>2.2200000000000001E-2</v>
      </c>
      <c r="H10" s="15" t="s">
        <v>388</v>
      </c>
      <c r="I10" s="107"/>
      <c r="J10" s="14" t="s">
        <v>10</v>
      </c>
      <c r="K10" s="48">
        <f>SUMIFS($G$5:$G$360,$D$5:$D$360,J10)</f>
        <v>0.12340000000000002</v>
      </c>
    </row>
    <row r="11" spans="1:16" ht="12.75" customHeight="1" x14ac:dyDescent="0.2">
      <c r="A11">
        <f>+MAX($A$7:A10)+1</f>
        <v>3</v>
      </c>
      <c r="B11" t="s">
        <v>16</v>
      </c>
      <c r="C11" t="s">
        <v>17</v>
      </c>
      <c r="D11" t="s">
        <v>10</v>
      </c>
      <c r="E11" s="28">
        <v>462536</v>
      </c>
      <c r="F11" s="13">
        <v>1481.734076</v>
      </c>
      <c r="G11" s="14">
        <f t="shared" si="0"/>
        <v>2.1000000000000001E-2</v>
      </c>
      <c r="H11" s="15" t="s">
        <v>388</v>
      </c>
      <c r="I11" s="107"/>
      <c r="J11" s="14" t="s">
        <v>26</v>
      </c>
      <c r="K11" s="48">
        <f>SUMIFS($G$5:$G$360,$D$5:$D$360,J11)</f>
        <v>9.6600000000000005E-2</v>
      </c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220</v>
      </c>
      <c r="C12" t="s">
        <v>19</v>
      </c>
      <c r="D12" t="s">
        <v>14</v>
      </c>
      <c r="E12" s="28">
        <v>49759</v>
      </c>
      <c r="F12" s="13">
        <v>1312.14483</v>
      </c>
      <c r="G12" s="14">
        <f t="shared" si="0"/>
        <v>1.8599999999999998E-2</v>
      </c>
      <c r="H12" s="15" t="s">
        <v>388</v>
      </c>
      <c r="I12" s="107"/>
      <c r="J12" t="s">
        <v>109</v>
      </c>
      <c r="K12" s="48">
        <f>SUMIFS($G$5:$G$360,$D$5:$D$360,J12)</f>
        <v>8.1399999999999986E-2</v>
      </c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597</v>
      </c>
      <c r="C13" t="s">
        <v>598</v>
      </c>
      <c r="D13" t="s">
        <v>136</v>
      </c>
      <c r="E13" s="28">
        <v>356291</v>
      </c>
      <c r="F13" s="13">
        <v>1263.5860315</v>
      </c>
      <c r="G13" s="14">
        <f t="shared" si="0"/>
        <v>1.7899999999999999E-2</v>
      </c>
      <c r="H13" s="15" t="s">
        <v>388</v>
      </c>
      <c r="I13" s="107"/>
      <c r="J13" s="14" t="s">
        <v>14</v>
      </c>
      <c r="K13" s="48">
        <f>SUMIFS($G$5:$G$360,$D$5:$D$360,J13)</f>
        <v>5.4699999999999999E-2</v>
      </c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232</v>
      </c>
      <c r="C14" t="s">
        <v>80</v>
      </c>
      <c r="D14" t="s">
        <v>51</v>
      </c>
      <c r="E14" s="28">
        <v>436568</v>
      </c>
      <c r="F14" s="13">
        <v>1204.0545440000001</v>
      </c>
      <c r="G14" s="14">
        <f t="shared" si="0"/>
        <v>1.7100000000000001E-2</v>
      </c>
      <c r="H14" s="15" t="s">
        <v>388</v>
      </c>
      <c r="I14" s="107"/>
      <c r="J14" s="14" t="s">
        <v>136</v>
      </c>
      <c r="K14" s="48">
        <f t="shared" ref="K14:K47" si="1">SUMIFS($G$5:$G$360,$D$5:$D$360,J14)</f>
        <v>3.9800000000000002E-2</v>
      </c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254</v>
      </c>
      <c r="C15" t="s">
        <v>116</v>
      </c>
      <c r="D15" t="s">
        <v>36</v>
      </c>
      <c r="E15" s="28">
        <v>658080</v>
      </c>
      <c r="F15" s="13">
        <v>1192.1119200000001</v>
      </c>
      <c r="G15" s="14">
        <f t="shared" si="0"/>
        <v>1.6899999999999998E-2</v>
      </c>
      <c r="H15" s="15" t="s">
        <v>388</v>
      </c>
      <c r="I15" s="107"/>
      <c r="J15" s="14" t="s">
        <v>20</v>
      </c>
      <c r="K15" s="48">
        <f t="shared" si="1"/>
        <v>3.95E-2</v>
      </c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235</v>
      </c>
      <c r="C16" t="s">
        <v>79</v>
      </c>
      <c r="D16" t="s">
        <v>26</v>
      </c>
      <c r="E16" s="28">
        <v>36025</v>
      </c>
      <c r="F16" s="13">
        <v>1183.2951625000001</v>
      </c>
      <c r="G16" s="14">
        <f t="shared" si="0"/>
        <v>1.6799999999999999E-2</v>
      </c>
      <c r="H16" s="15" t="s">
        <v>388</v>
      </c>
      <c r="I16" s="107"/>
      <c r="J16" s="14" t="s">
        <v>24</v>
      </c>
      <c r="K16" s="48">
        <f t="shared" si="1"/>
        <v>3.6299999999999999E-2</v>
      </c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195</v>
      </c>
      <c r="C17" t="s">
        <v>13</v>
      </c>
      <c r="D17" t="s">
        <v>10</v>
      </c>
      <c r="E17" s="28">
        <v>63703</v>
      </c>
      <c r="F17" s="13">
        <v>1180.862511</v>
      </c>
      <c r="G17" s="14">
        <f t="shared" si="0"/>
        <v>1.67E-2</v>
      </c>
      <c r="H17" s="15" t="s">
        <v>388</v>
      </c>
      <c r="I17" s="107"/>
      <c r="J17" s="14" t="s">
        <v>18</v>
      </c>
      <c r="K17" s="48">
        <f t="shared" si="1"/>
        <v>3.4099999999999998E-2</v>
      </c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196</v>
      </c>
      <c r="C18" t="s">
        <v>15</v>
      </c>
      <c r="D18" t="s">
        <v>14</v>
      </c>
      <c r="E18" s="28">
        <v>116500</v>
      </c>
      <c r="F18" s="13">
        <v>1137.1565000000001</v>
      </c>
      <c r="G18" s="14">
        <f t="shared" si="0"/>
        <v>1.61E-2</v>
      </c>
      <c r="H18" s="15" t="s">
        <v>388</v>
      </c>
      <c r="I18" s="107"/>
      <c r="J18" s="14" t="s">
        <v>36</v>
      </c>
      <c r="K18" s="48">
        <f t="shared" si="1"/>
        <v>3.1E-2</v>
      </c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411</v>
      </c>
      <c r="C19" t="s">
        <v>410</v>
      </c>
      <c r="D19" t="s">
        <v>26</v>
      </c>
      <c r="E19" s="28">
        <v>324109</v>
      </c>
      <c r="F19" s="13">
        <v>1115.907287</v>
      </c>
      <c r="G19" s="14">
        <f t="shared" si="0"/>
        <v>1.5800000000000002E-2</v>
      </c>
      <c r="H19" s="15" t="s">
        <v>388</v>
      </c>
      <c r="I19" s="107"/>
      <c r="J19" s="14" t="s">
        <v>22</v>
      </c>
      <c r="K19" s="48">
        <f t="shared" si="1"/>
        <v>2.8399999999999998E-2</v>
      </c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252</v>
      </c>
      <c r="C20" t="s">
        <v>113</v>
      </c>
      <c r="D20" t="s">
        <v>20</v>
      </c>
      <c r="E20" s="28">
        <v>29440</v>
      </c>
      <c r="F20" s="13">
        <v>1069.74656</v>
      </c>
      <c r="G20" s="14">
        <f t="shared" si="0"/>
        <v>1.52E-2</v>
      </c>
      <c r="H20" s="15" t="s">
        <v>388</v>
      </c>
      <c r="I20" s="107"/>
      <c r="J20" s="14" t="s">
        <v>176</v>
      </c>
      <c r="K20" s="48">
        <f t="shared" si="1"/>
        <v>2.4E-2</v>
      </c>
      <c r="M20" s="14"/>
      <c r="N20" s="36"/>
      <c r="P20" s="14"/>
    </row>
    <row r="21" spans="1:16" ht="12.75" customHeight="1" x14ac:dyDescent="0.2">
      <c r="A21">
        <f>+MAX($A$7:A20)+1</f>
        <v>13</v>
      </c>
      <c r="B21" s="65" t="s">
        <v>199</v>
      </c>
      <c r="C21" t="s">
        <v>21</v>
      </c>
      <c r="D21" t="s">
        <v>20</v>
      </c>
      <c r="E21" s="28">
        <v>255228</v>
      </c>
      <c r="F21" s="13">
        <v>1031.503962</v>
      </c>
      <c r="G21" s="14">
        <f t="shared" si="0"/>
        <v>1.46E-2</v>
      </c>
      <c r="H21" s="15" t="s">
        <v>388</v>
      </c>
      <c r="I21" s="107"/>
      <c r="J21" s="14" t="s">
        <v>41</v>
      </c>
      <c r="K21" s="48">
        <f t="shared" si="1"/>
        <v>2.3100000000000002E-2</v>
      </c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681</v>
      </c>
      <c r="C22" t="s">
        <v>682</v>
      </c>
      <c r="D22" t="s">
        <v>36</v>
      </c>
      <c r="E22" s="28">
        <v>1050000</v>
      </c>
      <c r="F22" s="13">
        <v>994.35</v>
      </c>
      <c r="G22" s="14">
        <f t="shared" si="0"/>
        <v>1.41E-2</v>
      </c>
      <c r="H22" s="15" t="s">
        <v>388</v>
      </c>
      <c r="I22" s="107"/>
      <c r="J22" s="14" t="s">
        <v>45</v>
      </c>
      <c r="K22" s="48">
        <f t="shared" si="1"/>
        <v>2.24E-2</v>
      </c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478</v>
      </c>
      <c r="C23" t="s">
        <v>479</v>
      </c>
      <c r="D23" t="s">
        <v>24</v>
      </c>
      <c r="E23" s="28">
        <v>572097</v>
      </c>
      <c r="F23" s="13">
        <v>990.87200400000006</v>
      </c>
      <c r="G23" s="14">
        <f t="shared" si="0"/>
        <v>1.4E-2</v>
      </c>
      <c r="H23" s="15" t="s">
        <v>388</v>
      </c>
      <c r="I23" s="107"/>
      <c r="J23" s="14" t="s">
        <v>51</v>
      </c>
      <c r="K23" s="48">
        <f t="shared" si="1"/>
        <v>1.7100000000000001E-2</v>
      </c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40</v>
      </c>
      <c r="C24" t="s">
        <v>42</v>
      </c>
      <c r="D24" t="s">
        <v>10</v>
      </c>
      <c r="E24" s="28">
        <v>561699</v>
      </c>
      <c r="F24" s="13">
        <v>949.83300900000006</v>
      </c>
      <c r="G24" s="14">
        <f t="shared" si="0"/>
        <v>1.35E-2</v>
      </c>
      <c r="H24" s="15" t="s">
        <v>388</v>
      </c>
      <c r="I24" s="107"/>
      <c r="J24" s="14" t="s">
        <v>38</v>
      </c>
      <c r="K24" s="48">
        <f t="shared" si="1"/>
        <v>1.66E-2</v>
      </c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243</v>
      </c>
      <c r="C25" t="s">
        <v>102</v>
      </c>
      <c r="D25" t="s">
        <v>26</v>
      </c>
      <c r="E25" s="28">
        <v>74235</v>
      </c>
      <c r="F25" s="13">
        <v>944.60325750000004</v>
      </c>
      <c r="G25" s="14">
        <f t="shared" si="0"/>
        <v>1.34E-2</v>
      </c>
      <c r="H25" s="15" t="s">
        <v>388</v>
      </c>
      <c r="I25" s="107"/>
      <c r="J25" s="14" t="s">
        <v>28</v>
      </c>
      <c r="K25" s="48">
        <f t="shared" si="1"/>
        <v>1.5800000000000002E-2</v>
      </c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200</v>
      </c>
      <c r="C26" t="s">
        <v>25</v>
      </c>
      <c r="D26" t="s">
        <v>14</v>
      </c>
      <c r="E26" s="28">
        <v>109437</v>
      </c>
      <c r="F26" s="13">
        <v>928.02575999999999</v>
      </c>
      <c r="G26" s="14">
        <f t="shared" si="0"/>
        <v>1.32E-2</v>
      </c>
      <c r="H26" s="15" t="s">
        <v>388</v>
      </c>
      <c r="I26" s="107"/>
      <c r="J26" s="14" t="s">
        <v>499</v>
      </c>
      <c r="K26" s="48">
        <f t="shared" si="1"/>
        <v>1.43E-2</v>
      </c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651</v>
      </c>
      <c r="C27" t="s">
        <v>652</v>
      </c>
      <c r="D27" t="s">
        <v>136</v>
      </c>
      <c r="E27" s="28">
        <v>208302</v>
      </c>
      <c r="F27" s="13">
        <v>921.63219900000001</v>
      </c>
      <c r="G27" s="14">
        <f t="shared" si="0"/>
        <v>1.3100000000000001E-2</v>
      </c>
      <c r="H27" s="15" t="s">
        <v>388</v>
      </c>
      <c r="I27" s="107"/>
      <c r="J27" s="14" t="s">
        <v>34</v>
      </c>
      <c r="K27" s="48">
        <f t="shared" si="1"/>
        <v>1.23E-2</v>
      </c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206</v>
      </c>
      <c r="C28" t="s">
        <v>44</v>
      </c>
      <c r="D28" t="s">
        <v>24</v>
      </c>
      <c r="E28" s="28">
        <v>145008</v>
      </c>
      <c r="F28" s="13">
        <v>894.04682400000002</v>
      </c>
      <c r="G28" s="14">
        <f t="shared" si="0"/>
        <v>1.2699999999999999E-2</v>
      </c>
      <c r="H28" s="15" t="s">
        <v>388</v>
      </c>
      <c r="I28" s="107"/>
      <c r="J28" s="14" t="s">
        <v>146</v>
      </c>
      <c r="K28" s="48">
        <f t="shared" si="1"/>
        <v>1.11E-2</v>
      </c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218</v>
      </c>
      <c r="C29" t="s">
        <v>65</v>
      </c>
      <c r="D29" t="s">
        <v>34</v>
      </c>
      <c r="E29" s="28">
        <v>174829</v>
      </c>
      <c r="F29" s="13">
        <v>867.93857049999997</v>
      </c>
      <c r="G29" s="14">
        <f t="shared" si="0"/>
        <v>1.23E-2</v>
      </c>
      <c r="H29" s="15" t="s">
        <v>388</v>
      </c>
      <c r="I29" s="107"/>
      <c r="J29" s="14" t="s">
        <v>529</v>
      </c>
      <c r="K29" s="48">
        <f t="shared" si="1"/>
        <v>1.0800000000000001E-2</v>
      </c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219</v>
      </c>
      <c r="C30" t="s">
        <v>61</v>
      </c>
      <c r="D30" t="s">
        <v>22</v>
      </c>
      <c r="E30" s="28">
        <v>124760</v>
      </c>
      <c r="F30" s="13">
        <v>864.39966000000004</v>
      </c>
      <c r="G30" s="14">
        <f t="shared" si="0"/>
        <v>1.23E-2</v>
      </c>
      <c r="H30" s="15" t="s">
        <v>388</v>
      </c>
      <c r="I30" s="107"/>
      <c r="J30" t="s">
        <v>376</v>
      </c>
      <c r="K30" s="48">
        <f t="shared" si="1"/>
        <v>9.1000000000000004E-3</v>
      </c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599</v>
      </c>
      <c r="C31" t="s">
        <v>600</v>
      </c>
      <c r="D31" t="s">
        <v>45</v>
      </c>
      <c r="E31" s="28">
        <v>1021430</v>
      </c>
      <c r="F31" s="13">
        <v>836.04045499999995</v>
      </c>
      <c r="G31" s="14">
        <f t="shared" si="0"/>
        <v>1.1900000000000001E-2</v>
      </c>
      <c r="H31" s="15" t="s">
        <v>388</v>
      </c>
      <c r="I31" s="107"/>
      <c r="J31" t="s">
        <v>30</v>
      </c>
      <c r="K31" s="48">
        <f t="shared" si="1"/>
        <v>9.0000000000000011E-3</v>
      </c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229</v>
      </c>
      <c r="C32" t="s">
        <v>71</v>
      </c>
      <c r="D32" t="s">
        <v>28</v>
      </c>
      <c r="E32" s="28">
        <v>67626</v>
      </c>
      <c r="F32" s="13">
        <v>822.70410299999992</v>
      </c>
      <c r="G32" s="14">
        <f t="shared" si="0"/>
        <v>1.17E-2</v>
      </c>
      <c r="H32" s="15" t="s">
        <v>388</v>
      </c>
      <c r="I32" s="107"/>
      <c r="J32" t="s">
        <v>32</v>
      </c>
      <c r="K32" s="48">
        <f t="shared" si="1"/>
        <v>8.8999999999999999E-3</v>
      </c>
      <c r="L32" s="54">
        <f>+SUM($K$9:K37)</f>
        <v>0.92310000000000003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324</v>
      </c>
      <c r="C33" t="s">
        <v>325</v>
      </c>
      <c r="D33" t="s">
        <v>146</v>
      </c>
      <c r="E33" s="28">
        <v>167043</v>
      </c>
      <c r="F33" s="13">
        <v>780.09081000000003</v>
      </c>
      <c r="G33" s="14">
        <f t="shared" si="0"/>
        <v>1.11E-2</v>
      </c>
      <c r="H33" s="15" t="s">
        <v>388</v>
      </c>
      <c r="I33" s="107"/>
      <c r="J33" s="14" t="s">
        <v>107</v>
      </c>
      <c r="K33" s="48">
        <f t="shared" si="1"/>
        <v>8.6999999999999994E-3</v>
      </c>
      <c r="M33" s="14"/>
      <c r="N33" s="36"/>
      <c r="P33" s="14"/>
    </row>
    <row r="34" spans="1:16" ht="12.75" customHeight="1" x14ac:dyDescent="0.2">
      <c r="A34">
        <f>+MAX($A$7:A33)+1</f>
        <v>26</v>
      </c>
      <c r="B34" t="s">
        <v>208</v>
      </c>
      <c r="C34" t="s">
        <v>53</v>
      </c>
      <c r="D34" t="s">
        <v>18</v>
      </c>
      <c r="E34" s="28">
        <v>18538</v>
      </c>
      <c r="F34" s="13">
        <v>779.30044400000008</v>
      </c>
      <c r="G34" s="14">
        <f t="shared" si="0"/>
        <v>1.0999999999999999E-2</v>
      </c>
      <c r="H34" s="15" t="s">
        <v>388</v>
      </c>
      <c r="I34" s="107"/>
      <c r="J34" s="14" t="s">
        <v>620</v>
      </c>
      <c r="K34" s="48">
        <f t="shared" si="1"/>
        <v>8.3999999999999995E-3</v>
      </c>
      <c r="M34" s="14"/>
      <c r="N34" s="36"/>
      <c r="P34" s="14"/>
    </row>
    <row r="35" spans="1:16" ht="12.75" customHeight="1" x14ac:dyDescent="0.2">
      <c r="A35">
        <f>+MAX($A$7:A34)+1</f>
        <v>27</v>
      </c>
      <c r="B35" t="s">
        <v>215</v>
      </c>
      <c r="C35" t="s">
        <v>75</v>
      </c>
      <c r="D35" t="s">
        <v>529</v>
      </c>
      <c r="E35" s="28">
        <v>615888</v>
      </c>
      <c r="F35" s="13">
        <v>761.23756800000001</v>
      </c>
      <c r="G35" s="14">
        <f t="shared" si="0"/>
        <v>1.0800000000000001E-2</v>
      </c>
      <c r="H35" s="15" t="s">
        <v>388</v>
      </c>
      <c r="I35" s="107"/>
      <c r="J35" s="14" t="s">
        <v>43</v>
      </c>
      <c r="K35" s="48">
        <f t="shared" si="1"/>
        <v>8.2000000000000007E-3</v>
      </c>
      <c r="M35" s="14"/>
      <c r="N35" s="36"/>
      <c r="P35" s="14"/>
    </row>
    <row r="36" spans="1:16" ht="12.75" customHeight="1" x14ac:dyDescent="0.2">
      <c r="A36">
        <f>+MAX($A$7:A35)+1</f>
        <v>28</v>
      </c>
      <c r="B36" t="s">
        <v>658</v>
      </c>
      <c r="C36" t="s">
        <v>672</v>
      </c>
      <c r="D36" t="s">
        <v>10</v>
      </c>
      <c r="E36" s="28">
        <v>450000</v>
      </c>
      <c r="F36" s="13">
        <v>738.45</v>
      </c>
      <c r="G36" s="14">
        <f t="shared" si="0"/>
        <v>1.0500000000000001E-2</v>
      </c>
      <c r="H36" s="15" t="s">
        <v>388</v>
      </c>
      <c r="I36" s="107"/>
      <c r="J36" s="14" t="s">
        <v>382</v>
      </c>
      <c r="K36" s="48">
        <f t="shared" si="1"/>
        <v>7.3000000000000001E-3</v>
      </c>
      <c r="M36" s="14"/>
      <c r="N36" s="36"/>
      <c r="P36" s="14"/>
    </row>
    <row r="37" spans="1:16" ht="12.75" customHeight="1" x14ac:dyDescent="0.2">
      <c r="A37">
        <f>+MAX($A$7:A36)+1</f>
        <v>29</v>
      </c>
      <c r="B37" t="s">
        <v>596</v>
      </c>
      <c r="C37" t="s">
        <v>501</v>
      </c>
      <c r="D37" t="s">
        <v>22</v>
      </c>
      <c r="E37" s="28">
        <v>236994</v>
      </c>
      <c r="F37" s="13">
        <v>734.56290300000001</v>
      </c>
      <c r="G37" s="14">
        <f t="shared" si="0"/>
        <v>1.04E-2</v>
      </c>
      <c r="H37" s="15" t="s">
        <v>388</v>
      </c>
      <c r="I37" s="107"/>
      <c r="J37" t="s">
        <v>521</v>
      </c>
      <c r="K37" s="48">
        <f t="shared" si="1"/>
        <v>7.1000000000000004E-3</v>
      </c>
      <c r="M37" s="14"/>
      <c r="N37" s="36"/>
      <c r="P37" s="14"/>
    </row>
    <row r="38" spans="1:16" ht="12.75" customHeight="1" x14ac:dyDescent="0.2">
      <c r="A38">
        <f>+MAX($A$7:A37)+1</f>
        <v>30</v>
      </c>
      <c r="B38" t="s">
        <v>213</v>
      </c>
      <c r="C38" t="s">
        <v>49</v>
      </c>
      <c r="D38" t="s">
        <v>20</v>
      </c>
      <c r="E38" s="28">
        <v>7924</v>
      </c>
      <c r="F38" s="13">
        <v>681.39268400000003</v>
      </c>
      <c r="G38" s="14">
        <f t="shared" si="0"/>
        <v>9.7000000000000003E-3</v>
      </c>
      <c r="H38" s="15" t="s">
        <v>388</v>
      </c>
      <c r="I38" s="107"/>
      <c r="J38" s="14" t="s">
        <v>296</v>
      </c>
      <c r="K38" s="48">
        <f t="shared" si="1"/>
        <v>7.1000000000000004E-3</v>
      </c>
    </row>
    <row r="39" spans="1:16" ht="12.75" customHeight="1" x14ac:dyDescent="0.2">
      <c r="A39">
        <f>+MAX($A$7:A38)+1</f>
        <v>31</v>
      </c>
      <c r="B39" t="s">
        <v>554</v>
      </c>
      <c r="C39" t="s">
        <v>555</v>
      </c>
      <c r="D39" t="s">
        <v>32</v>
      </c>
      <c r="E39" s="28">
        <v>305000</v>
      </c>
      <c r="F39" s="13">
        <v>631.04499999999996</v>
      </c>
      <c r="G39" s="14">
        <f t="shared" si="0"/>
        <v>8.8999999999999999E-3</v>
      </c>
      <c r="H39" s="15" t="s">
        <v>388</v>
      </c>
      <c r="I39" s="107"/>
      <c r="J39" s="14" t="s">
        <v>163</v>
      </c>
      <c r="K39" s="48">
        <f t="shared" si="1"/>
        <v>7.0000000000000001E-3</v>
      </c>
    </row>
    <row r="40" spans="1:16" ht="12.75" customHeight="1" x14ac:dyDescent="0.2">
      <c r="A40">
        <f>+MAX($A$7:A39)+1</f>
        <v>32</v>
      </c>
      <c r="B40" t="s">
        <v>383</v>
      </c>
      <c r="C40" t="s">
        <v>384</v>
      </c>
      <c r="D40" t="s">
        <v>38</v>
      </c>
      <c r="E40" s="28">
        <v>644886</v>
      </c>
      <c r="F40" s="13">
        <v>620.70277499999997</v>
      </c>
      <c r="G40" s="14">
        <f t="shared" si="0"/>
        <v>8.8000000000000005E-3</v>
      </c>
      <c r="H40" s="15" t="s">
        <v>388</v>
      </c>
      <c r="I40" s="107"/>
      <c r="J40" t="s">
        <v>659</v>
      </c>
      <c r="K40" s="48">
        <f t="shared" si="1"/>
        <v>6.7000000000000002E-3</v>
      </c>
    </row>
    <row r="41" spans="1:16" ht="12.75" customHeight="1" x14ac:dyDescent="0.2">
      <c r="A41">
        <f>+MAX($A$7:A40)+1</f>
        <v>33</v>
      </c>
      <c r="B41" t="s">
        <v>360</v>
      </c>
      <c r="C41" t="s">
        <v>433</v>
      </c>
      <c r="D41" t="s">
        <v>136</v>
      </c>
      <c r="E41" s="28">
        <v>65699</v>
      </c>
      <c r="F41" s="13">
        <v>619.96861350000006</v>
      </c>
      <c r="G41" s="14">
        <f t="shared" ref="G41:G72" si="2">+ROUND(F41/VLOOKUP("Grand Total",$B$4:$F$322,5,0),4)</f>
        <v>8.8000000000000005E-3</v>
      </c>
      <c r="H41" s="15" t="s">
        <v>388</v>
      </c>
      <c r="I41" s="107"/>
      <c r="J41" s="90" t="s">
        <v>431</v>
      </c>
      <c r="K41" s="48">
        <f t="shared" si="1"/>
        <v>6.1000000000000004E-3</v>
      </c>
    </row>
    <row r="42" spans="1:16" ht="12.75" customHeight="1" x14ac:dyDescent="0.2">
      <c r="A42">
        <f>+MAX($A$7:A41)+1</f>
        <v>34</v>
      </c>
      <c r="B42" t="s">
        <v>685</v>
      </c>
      <c r="C42" t="s">
        <v>686</v>
      </c>
      <c r="D42" t="s">
        <v>107</v>
      </c>
      <c r="E42" s="28">
        <v>800000</v>
      </c>
      <c r="F42" s="13">
        <v>614.4</v>
      </c>
      <c r="G42" s="14">
        <f t="shared" si="2"/>
        <v>8.6999999999999994E-3</v>
      </c>
      <c r="H42" s="15" t="s">
        <v>388</v>
      </c>
      <c r="I42" s="107"/>
      <c r="J42" t="s">
        <v>512</v>
      </c>
      <c r="K42" s="48">
        <f t="shared" si="1"/>
        <v>3.3999999999999998E-3</v>
      </c>
    </row>
    <row r="43" spans="1:16" ht="12.75" customHeight="1" x14ac:dyDescent="0.2">
      <c r="A43">
        <f>+MAX($A$7:A42)+1</f>
        <v>35</v>
      </c>
      <c r="B43" s="65" t="s">
        <v>530</v>
      </c>
      <c r="C43" s="65" t="s">
        <v>531</v>
      </c>
      <c r="D43" t="s">
        <v>43</v>
      </c>
      <c r="E43" s="28">
        <v>59992</v>
      </c>
      <c r="F43" s="13">
        <v>579.04278399999998</v>
      </c>
      <c r="G43" s="14">
        <f t="shared" si="2"/>
        <v>8.2000000000000007E-3</v>
      </c>
      <c r="H43" s="15" t="s">
        <v>388</v>
      </c>
      <c r="I43" s="107"/>
      <c r="J43" t="s">
        <v>299</v>
      </c>
      <c r="K43" s="48">
        <f t="shared" si="1"/>
        <v>1.4E-3</v>
      </c>
    </row>
    <row r="44" spans="1:16" ht="12.75" customHeight="1" x14ac:dyDescent="0.2">
      <c r="A44">
        <f>+MAX($A$7:A43)+1</f>
        <v>36</v>
      </c>
      <c r="B44" t="s">
        <v>452</v>
      </c>
      <c r="C44" t="s">
        <v>453</v>
      </c>
      <c r="D44" t="s">
        <v>26</v>
      </c>
      <c r="E44" s="28">
        <v>102900</v>
      </c>
      <c r="F44" s="13">
        <v>578.86395000000005</v>
      </c>
      <c r="G44" s="14">
        <f t="shared" si="2"/>
        <v>8.2000000000000007E-3</v>
      </c>
      <c r="H44" s="15" t="s">
        <v>388</v>
      </c>
      <c r="I44" s="107"/>
      <c r="J44" s="14" t="s">
        <v>458</v>
      </c>
      <c r="K44" s="48">
        <f t="shared" si="1"/>
        <v>8.0000000000000004E-4</v>
      </c>
    </row>
    <row r="45" spans="1:16" ht="12.75" customHeight="1" x14ac:dyDescent="0.2">
      <c r="A45">
        <f>+MAX($A$7:A44)+1</f>
        <v>37</v>
      </c>
      <c r="B45" t="s">
        <v>216</v>
      </c>
      <c r="C45" t="s">
        <v>99</v>
      </c>
      <c r="D45" t="s">
        <v>10</v>
      </c>
      <c r="E45" s="28">
        <v>57716</v>
      </c>
      <c r="F45" s="13">
        <v>577.33314799999994</v>
      </c>
      <c r="G45" s="14">
        <f t="shared" si="2"/>
        <v>8.2000000000000007E-3</v>
      </c>
      <c r="H45" s="15" t="s">
        <v>388</v>
      </c>
      <c r="I45" s="107"/>
      <c r="J45" t="s">
        <v>103</v>
      </c>
      <c r="K45" s="48">
        <f t="shared" si="1"/>
        <v>0</v>
      </c>
    </row>
    <row r="46" spans="1:16" ht="12.75" customHeight="1" x14ac:dyDescent="0.2">
      <c r="A46">
        <f>+MAX($A$7:A45)+1</f>
        <v>38</v>
      </c>
      <c r="B46" t="s">
        <v>316</v>
      </c>
      <c r="C46" t="s">
        <v>57</v>
      </c>
      <c r="D46" t="s">
        <v>26</v>
      </c>
      <c r="E46" s="28">
        <v>37027</v>
      </c>
      <c r="F46" s="13">
        <v>565.66147899999999</v>
      </c>
      <c r="G46" s="14">
        <f t="shared" si="2"/>
        <v>8.0000000000000002E-3</v>
      </c>
      <c r="H46" s="15" t="s">
        <v>388</v>
      </c>
      <c r="I46" s="107"/>
      <c r="J46" s="14" t="s">
        <v>64</v>
      </c>
      <c r="K46" s="48">
        <f>+SUMIFS($G$5:$G$999,$B$5:$B$999,"CBLO / Reverse Repo Investments")+SUMIFS($G$5:$G$999,$B$5:$B$999,"Net Receivable/Payable")</f>
        <v>4.0099999999999997E-2</v>
      </c>
    </row>
    <row r="47" spans="1:16" ht="12.75" customHeight="1" x14ac:dyDescent="0.2">
      <c r="A47">
        <f>+MAX($A$7:A46)+1</f>
        <v>39</v>
      </c>
      <c r="B47" t="s">
        <v>317</v>
      </c>
      <c r="C47" t="s">
        <v>77</v>
      </c>
      <c r="D47" t="s">
        <v>38</v>
      </c>
      <c r="E47" s="28">
        <v>146336</v>
      </c>
      <c r="F47" s="13">
        <v>547.00396799999999</v>
      </c>
      <c r="G47" s="14">
        <f t="shared" si="2"/>
        <v>7.7999999999999996E-3</v>
      </c>
      <c r="H47" s="15" t="s">
        <v>388</v>
      </c>
      <c r="I47" s="107"/>
      <c r="J47" s="65" t="s">
        <v>761</v>
      </c>
      <c r="K47" s="48">
        <f t="shared" si="1"/>
        <v>4.3E-3</v>
      </c>
    </row>
    <row r="48" spans="1:16" ht="12.75" customHeight="1" x14ac:dyDescent="0.2">
      <c r="A48">
        <f>+MAX($A$7:A47)+1</f>
        <v>40</v>
      </c>
      <c r="B48" t="s">
        <v>508</v>
      </c>
      <c r="C48" t="s">
        <v>509</v>
      </c>
      <c r="D48" t="s">
        <v>41</v>
      </c>
      <c r="E48" s="28">
        <v>115000</v>
      </c>
      <c r="F48" s="13">
        <v>527.16</v>
      </c>
      <c r="G48" s="14">
        <f t="shared" si="2"/>
        <v>7.4999999999999997E-3</v>
      </c>
      <c r="H48" s="15" t="s">
        <v>388</v>
      </c>
      <c r="I48" s="107"/>
    </row>
    <row r="49" spans="1:9" ht="12.75" customHeight="1" x14ac:dyDescent="0.2">
      <c r="A49">
        <f>+MAX($A$7:A48)+1</f>
        <v>41</v>
      </c>
      <c r="B49" t="s">
        <v>562</v>
      </c>
      <c r="C49" t="s">
        <v>563</v>
      </c>
      <c r="D49" t="s">
        <v>41</v>
      </c>
      <c r="E49" s="28">
        <v>30000</v>
      </c>
      <c r="F49" s="13">
        <v>524.76</v>
      </c>
      <c r="G49" s="14">
        <f t="shared" si="2"/>
        <v>7.4000000000000003E-3</v>
      </c>
      <c r="H49" s="15" t="s">
        <v>388</v>
      </c>
      <c r="I49" s="107"/>
    </row>
    <row r="50" spans="1:9" ht="12.75" customHeight="1" x14ac:dyDescent="0.2">
      <c r="A50">
        <f>+MAX($A$7:A49)+1</f>
        <v>42</v>
      </c>
      <c r="B50" t="s">
        <v>304</v>
      </c>
      <c r="C50" t="s">
        <v>424</v>
      </c>
      <c r="D50" t="s">
        <v>10</v>
      </c>
      <c r="E50" s="28">
        <v>457578</v>
      </c>
      <c r="F50" s="13">
        <v>521.18134200000009</v>
      </c>
      <c r="G50" s="14">
        <f t="shared" si="2"/>
        <v>7.4000000000000003E-3</v>
      </c>
      <c r="H50" s="15" t="s">
        <v>388</v>
      </c>
      <c r="I50" s="107"/>
    </row>
    <row r="51" spans="1:9" ht="12.75" customHeight="1" x14ac:dyDescent="0.2">
      <c r="A51">
        <f>+MAX($A$7:A50)+1</f>
        <v>43</v>
      </c>
      <c r="B51" t="s">
        <v>197</v>
      </c>
      <c r="C51" t="s">
        <v>31</v>
      </c>
      <c r="D51" t="s">
        <v>30</v>
      </c>
      <c r="E51" s="28">
        <v>54300</v>
      </c>
      <c r="F51" s="13">
        <v>500.40165000000002</v>
      </c>
      <c r="G51" s="14">
        <f t="shared" si="2"/>
        <v>7.1000000000000004E-3</v>
      </c>
      <c r="H51" s="15" t="s">
        <v>388</v>
      </c>
      <c r="I51" s="107"/>
    </row>
    <row r="52" spans="1:9" ht="12.75" customHeight="1" x14ac:dyDescent="0.2">
      <c r="A52">
        <f>+MAX($A$7:A51)+1</f>
        <v>44</v>
      </c>
      <c r="B52" t="s">
        <v>253</v>
      </c>
      <c r="C52" t="s">
        <v>114</v>
      </c>
      <c r="D52" t="s">
        <v>14</v>
      </c>
      <c r="E52" s="28">
        <v>97852</v>
      </c>
      <c r="F52" s="13">
        <v>478.74090999999999</v>
      </c>
      <c r="G52" s="14">
        <f t="shared" si="2"/>
        <v>6.7999999999999996E-3</v>
      </c>
      <c r="H52" s="15" t="s">
        <v>388</v>
      </c>
      <c r="I52" s="107"/>
    </row>
    <row r="53" spans="1:9" ht="12.75" customHeight="1" x14ac:dyDescent="0.2">
      <c r="A53">
        <f>+MAX($A$7:A52)+1</f>
        <v>45</v>
      </c>
      <c r="B53" t="s">
        <v>204</v>
      </c>
      <c r="C53" t="s">
        <v>35</v>
      </c>
      <c r="D53" t="s">
        <v>18</v>
      </c>
      <c r="E53" s="28">
        <v>36110</v>
      </c>
      <c r="F53" s="13">
        <v>473.72708999999998</v>
      </c>
      <c r="G53" s="14">
        <f t="shared" si="2"/>
        <v>6.7000000000000002E-3</v>
      </c>
      <c r="H53" s="15" t="s">
        <v>388</v>
      </c>
      <c r="I53" s="107"/>
    </row>
    <row r="54" spans="1:9" ht="12.75" customHeight="1" x14ac:dyDescent="0.2">
      <c r="A54">
        <f>+MAX($A$7:A53)+1</f>
        <v>46</v>
      </c>
      <c r="B54" t="s">
        <v>210</v>
      </c>
      <c r="C54" t="s">
        <v>52</v>
      </c>
      <c r="D54" t="s">
        <v>41</v>
      </c>
      <c r="E54" s="28">
        <v>393614</v>
      </c>
      <c r="F54" s="13">
        <v>471.74637899999999</v>
      </c>
      <c r="G54" s="14">
        <f t="shared" si="2"/>
        <v>6.7000000000000002E-3</v>
      </c>
      <c r="H54" s="15" t="s">
        <v>388</v>
      </c>
      <c r="I54" s="107"/>
    </row>
    <row r="55" spans="1:9" ht="12.75" customHeight="1" x14ac:dyDescent="0.2">
      <c r="A55">
        <f>+MAX($A$7:A54)+1</f>
        <v>47</v>
      </c>
      <c r="B55" t="s">
        <v>221</v>
      </c>
      <c r="C55" t="s">
        <v>29</v>
      </c>
      <c r="D55" t="s">
        <v>10</v>
      </c>
      <c r="E55" s="28">
        <v>85419</v>
      </c>
      <c r="F55" s="13">
        <v>457.333326</v>
      </c>
      <c r="G55" s="14">
        <f t="shared" si="2"/>
        <v>6.4999999999999997E-3</v>
      </c>
      <c r="H55" s="15" t="s">
        <v>388</v>
      </c>
      <c r="I55" s="107"/>
    </row>
    <row r="56" spans="1:9" ht="12.75" customHeight="1" x14ac:dyDescent="0.2">
      <c r="A56">
        <f>+MAX($A$7:A55)+1</f>
        <v>48</v>
      </c>
      <c r="B56" t="s">
        <v>601</v>
      </c>
      <c r="C56" t="s">
        <v>602</v>
      </c>
      <c r="D56" t="s">
        <v>10</v>
      </c>
      <c r="E56" s="28">
        <v>645520</v>
      </c>
      <c r="F56" s="13">
        <v>456.38263999999998</v>
      </c>
      <c r="G56" s="14">
        <f t="shared" si="2"/>
        <v>6.4999999999999997E-3</v>
      </c>
      <c r="H56" s="15" t="s">
        <v>388</v>
      </c>
      <c r="I56" s="107"/>
    </row>
    <row r="57" spans="1:9" ht="12.75" customHeight="1" x14ac:dyDescent="0.2">
      <c r="A57">
        <f>+MAX($A$7:A56)+1</f>
        <v>49</v>
      </c>
      <c r="B57" t="s">
        <v>227</v>
      </c>
      <c r="C57" t="s">
        <v>70</v>
      </c>
      <c r="D57" t="s">
        <v>10</v>
      </c>
      <c r="E57" s="28">
        <v>406552</v>
      </c>
      <c r="F57" s="13">
        <v>449.84978799999999</v>
      </c>
      <c r="G57" s="14">
        <f t="shared" si="2"/>
        <v>6.4000000000000003E-3</v>
      </c>
      <c r="H57" s="15" t="s">
        <v>388</v>
      </c>
      <c r="I57" s="107"/>
    </row>
    <row r="58" spans="1:9" ht="12.75" customHeight="1" x14ac:dyDescent="0.2">
      <c r="A58">
        <f>+MAX($A$7:A57)+1</f>
        <v>50</v>
      </c>
      <c r="B58" t="s">
        <v>207</v>
      </c>
      <c r="C58" t="s">
        <v>48</v>
      </c>
      <c r="D58" t="s">
        <v>26</v>
      </c>
      <c r="E58" s="28">
        <v>9276</v>
      </c>
      <c r="F58" s="13">
        <v>446.69505600000002</v>
      </c>
      <c r="G58" s="14">
        <f t="shared" si="2"/>
        <v>6.3E-3</v>
      </c>
      <c r="H58" s="15" t="s">
        <v>388</v>
      </c>
      <c r="I58" s="107"/>
    </row>
    <row r="59" spans="1:9" ht="12.75" customHeight="1" x14ac:dyDescent="0.2">
      <c r="A59">
        <f>+MAX($A$7:A58)+1</f>
        <v>51</v>
      </c>
      <c r="B59" t="s">
        <v>347</v>
      </c>
      <c r="C59" t="s">
        <v>348</v>
      </c>
      <c r="D59" t="s">
        <v>18</v>
      </c>
      <c r="E59" s="28">
        <v>39494</v>
      </c>
      <c r="F59" s="13">
        <v>443.33989700000001</v>
      </c>
      <c r="G59" s="14">
        <f t="shared" si="2"/>
        <v>6.3E-3</v>
      </c>
      <c r="H59" s="15" t="s">
        <v>388</v>
      </c>
      <c r="I59" s="107"/>
    </row>
    <row r="60" spans="1:9" ht="12.75" customHeight="1" x14ac:dyDescent="0.2">
      <c r="A60">
        <f>+MAX($A$7:A59)+1</f>
        <v>52</v>
      </c>
      <c r="B60" t="s">
        <v>429</v>
      </c>
      <c r="C60" t="s">
        <v>430</v>
      </c>
      <c r="D60" t="s">
        <v>431</v>
      </c>
      <c r="E60" s="28">
        <v>299700</v>
      </c>
      <c r="F60" s="13">
        <v>427.97160000000002</v>
      </c>
      <c r="G60" s="14">
        <f t="shared" si="2"/>
        <v>6.1000000000000004E-3</v>
      </c>
      <c r="H60" s="15" t="s">
        <v>388</v>
      </c>
      <c r="I60" s="107"/>
    </row>
    <row r="61" spans="1:9" ht="12.75" customHeight="1" x14ac:dyDescent="0.2">
      <c r="A61">
        <f>+MAX($A$7:A60)+1</f>
        <v>53</v>
      </c>
      <c r="B61" t="s">
        <v>465</v>
      </c>
      <c r="C61" t="s">
        <v>466</v>
      </c>
      <c r="D61" t="s">
        <v>45</v>
      </c>
      <c r="E61" s="28">
        <v>140625</v>
      </c>
      <c r="F61" s="13">
        <v>415.4765625</v>
      </c>
      <c r="G61" s="14">
        <f t="shared" si="2"/>
        <v>5.8999999999999999E-3</v>
      </c>
      <c r="H61" s="15" t="s">
        <v>388</v>
      </c>
      <c r="I61" s="107"/>
    </row>
    <row r="62" spans="1:9" ht="12.75" customHeight="1" x14ac:dyDescent="0.2">
      <c r="A62">
        <f>+MAX($A$7:A61)+1</f>
        <v>54</v>
      </c>
      <c r="B62" t="s">
        <v>263</v>
      </c>
      <c r="C62" t="s">
        <v>124</v>
      </c>
      <c r="D62" t="s">
        <v>18</v>
      </c>
      <c r="E62" s="28">
        <v>21646</v>
      </c>
      <c r="F62" s="13">
        <v>361.03363400000001</v>
      </c>
      <c r="G62" s="14">
        <f t="shared" si="2"/>
        <v>5.1000000000000004E-3</v>
      </c>
      <c r="H62" s="15" t="s">
        <v>388</v>
      </c>
      <c r="I62" s="107"/>
    </row>
    <row r="63" spans="1:9" ht="12.75" customHeight="1" x14ac:dyDescent="0.2">
      <c r="A63">
        <f>+MAX($A$7:A62)+1</f>
        <v>55</v>
      </c>
      <c r="B63" t="s">
        <v>262</v>
      </c>
      <c r="C63" t="s">
        <v>122</v>
      </c>
      <c r="D63" t="s">
        <v>18</v>
      </c>
      <c r="E63" s="28">
        <v>135300</v>
      </c>
      <c r="F63" s="13">
        <v>355.16250000000002</v>
      </c>
      <c r="G63" s="14">
        <f t="shared" si="2"/>
        <v>5.0000000000000001E-3</v>
      </c>
      <c r="H63" s="15" t="s">
        <v>388</v>
      </c>
      <c r="I63" s="107"/>
    </row>
    <row r="64" spans="1:9" ht="12.75" customHeight="1" x14ac:dyDescent="0.2">
      <c r="A64">
        <f>+MAX($A$7:A63)+1</f>
        <v>56</v>
      </c>
      <c r="B64" t="s">
        <v>455</v>
      </c>
      <c r="C64" t="s">
        <v>68</v>
      </c>
      <c r="D64" t="s">
        <v>22</v>
      </c>
      <c r="E64" s="28">
        <v>65514</v>
      </c>
      <c r="F64" s="13">
        <v>353.74284299999999</v>
      </c>
      <c r="G64" s="14">
        <f t="shared" si="2"/>
        <v>5.0000000000000001E-3</v>
      </c>
      <c r="H64" s="15" t="s">
        <v>388</v>
      </c>
      <c r="I64" s="107"/>
    </row>
    <row r="65" spans="1:9" ht="12.75" customHeight="1" x14ac:dyDescent="0.2">
      <c r="A65">
        <f>+MAX($A$7:A64)+1</f>
        <v>57</v>
      </c>
      <c r="B65" t="s">
        <v>532</v>
      </c>
      <c r="C65" t="s">
        <v>533</v>
      </c>
      <c r="D65" t="s">
        <v>24</v>
      </c>
      <c r="E65" s="28">
        <v>26499</v>
      </c>
      <c r="F65" s="13">
        <v>351.78747450000003</v>
      </c>
      <c r="G65" s="14">
        <f t="shared" si="2"/>
        <v>5.0000000000000001E-3</v>
      </c>
      <c r="H65" s="15" t="s">
        <v>388</v>
      </c>
      <c r="I65" s="107"/>
    </row>
    <row r="66" spans="1:9" ht="12.75" customHeight="1" x14ac:dyDescent="0.2">
      <c r="A66">
        <f>+MAX($A$7:A65)+1</f>
        <v>58</v>
      </c>
      <c r="B66" t="s">
        <v>385</v>
      </c>
      <c r="C66" t="s">
        <v>72</v>
      </c>
      <c r="D66" t="s">
        <v>24</v>
      </c>
      <c r="E66" s="28">
        <v>188372</v>
      </c>
      <c r="F66" s="13">
        <v>325.13007199999998</v>
      </c>
      <c r="G66" s="14">
        <f t="shared" si="2"/>
        <v>4.5999999999999999E-3</v>
      </c>
      <c r="H66" s="15" t="s">
        <v>388</v>
      </c>
      <c r="I66" s="107"/>
    </row>
    <row r="67" spans="1:9" ht="12.75" customHeight="1" x14ac:dyDescent="0.2">
      <c r="A67">
        <f>+MAX($A$7:A66)+1</f>
        <v>59</v>
      </c>
      <c r="B67" t="s">
        <v>234</v>
      </c>
      <c r="C67" t="s">
        <v>82</v>
      </c>
      <c r="D67" t="s">
        <v>45</v>
      </c>
      <c r="E67" s="28">
        <v>107378</v>
      </c>
      <c r="F67" s="13">
        <v>321.489732</v>
      </c>
      <c r="G67" s="14">
        <f t="shared" si="2"/>
        <v>4.5999999999999999E-3</v>
      </c>
      <c r="H67" s="15" t="s">
        <v>388</v>
      </c>
      <c r="I67" s="107"/>
    </row>
    <row r="68" spans="1:9" ht="12.75" customHeight="1" x14ac:dyDescent="0.2">
      <c r="A68">
        <f>+MAX($A$7:A67)+1</f>
        <v>60</v>
      </c>
      <c r="B68" t="s">
        <v>255</v>
      </c>
      <c r="C68" t="s">
        <v>595</v>
      </c>
      <c r="D68" t="s">
        <v>10</v>
      </c>
      <c r="E68" s="28">
        <v>104370</v>
      </c>
      <c r="F68" s="13">
        <v>320.31153</v>
      </c>
      <c r="G68" s="14">
        <f t="shared" si="2"/>
        <v>4.4999999999999997E-3</v>
      </c>
      <c r="H68" s="15" t="s">
        <v>388</v>
      </c>
      <c r="I68" s="107"/>
    </row>
    <row r="69" spans="1:9" ht="12.75" customHeight="1" x14ac:dyDescent="0.2">
      <c r="A69">
        <f>+MAX($A$7:A68)+1</f>
        <v>61</v>
      </c>
      <c r="B69" t="s">
        <v>228</v>
      </c>
      <c r="C69" t="s">
        <v>66</v>
      </c>
      <c r="D69" t="s">
        <v>28</v>
      </c>
      <c r="E69" s="28">
        <v>88862</v>
      </c>
      <c r="F69" s="13">
        <v>286.31336399999998</v>
      </c>
      <c r="G69" s="14">
        <f t="shared" si="2"/>
        <v>4.1000000000000003E-3</v>
      </c>
      <c r="H69" s="15" t="s">
        <v>388</v>
      </c>
      <c r="I69" s="107"/>
    </row>
    <row r="70" spans="1:9" ht="12.75" customHeight="1" x14ac:dyDescent="0.2">
      <c r="A70">
        <f>+MAX($A$7:A69)+1</f>
        <v>62</v>
      </c>
      <c r="B70" t="s">
        <v>683</v>
      </c>
      <c r="C70" t="s">
        <v>684</v>
      </c>
      <c r="D70" t="s">
        <v>26</v>
      </c>
      <c r="E70" s="28">
        <v>3988</v>
      </c>
      <c r="F70" s="13">
        <v>242.72962000000001</v>
      </c>
      <c r="G70" s="14">
        <f t="shared" si="2"/>
        <v>3.3999999999999998E-3</v>
      </c>
      <c r="H70" s="15" t="s">
        <v>388</v>
      </c>
      <c r="I70" s="107"/>
    </row>
    <row r="71" spans="1:9" ht="12.75" customHeight="1" x14ac:dyDescent="0.2">
      <c r="A71">
        <f>+MAX($A$7:A70)+1</f>
        <v>63</v>
      </c>
      <c r="B71" t="s">
        <v>510</v>
      </c>
      <c r="C71" t="s">
        <v>511</v>
      </c>
      <c r="D71" t="s">
        <v>512</v>
      </c>
      <c r="E71" s="28">
        <v>60000</v>
      </c>
      <c r="F71" s="13">
        <v>238.14</v>
      </c>
      <c r="G71" s="14">
        <f t="shared" si="2"/>
        <v>3.3999999999999998E-3</v>
      </c>
      <c r="H71" s="15" t="s">
        <v>388</v>
      </c>
      <c r="I71" s="107"/>
    </row>
    <row r="72" spans="1:9" ht="12.75" customHeight="1" x14ac:dyDescent="0.2">
      <c r="A72">
        <f>+MAX($A$7:A71)+1</f>
        <v>64</v>
      </c>
      <c r="B72" t="s">
        <v>269</v>
      </c>
      <c r="C72" t="s">
        <v>134</v>
      </c>
      <c r="D72" t="s">
        <v>30</v>
      </c>
      <c r="E72" s="28">
        <v>34065</v>
      </c>
      <c r="F72" s="13">
        <v>136.157805</v>
      </c>
      <c r="G72" s="14">
        <f t="shared" si="2"/>
        <v>1.9E-3</v>
      </c>
      <c r="H72" s="15" t="s">
        <v>388</v>
      </c>
      <c r="I72" s="107"/>
    </row>
    <row r="73" spans="1:9" ht="12.75" customHeight="1" x14ac:dyDescent="0.2">
      <c r="A73">
        <f>+MAX($A$7:A72)+1</f>
        <v>65</v>
      </c>
      <c r="B73" t="s">
        <v>287</v>
      </c>
      <c r="C73" t="s">
        <v>158</v>
      </c>
      <c r="D73" t="s">
        <v>41</v>
      </c>
      <c r="E73" s="28">
        <v>6975</v>
      </c>
      <c r="F73" s="13">
        <v>102.7801125</v>
      </c>
      <c r="G73" s="14">
        <f t="shared" ref="G73:G75" si="3">+ROUND(F73/VLOOKUP("Grand Total",$B$4:$F$322,5,0),4)</f>
        <v>1.5E-3</v>
      </c>
      <c r="H73" s="15" t="s">
        <v>388</v>
      </c>
      <c r="I73" s="107"/>
    </row>
    <row r="74" spans="1:9" ht="12.75" customHeight="1" x14ac:dyDescent="0.2">
      <c r="A74">
        <f>+MAX($A$7:A73)+1</f>
        <v>66</v>
      </c>
      <c r="B74" t="s">
        <v>456</v>
      </c>
      <c r="C74" t="s">
        <v>457</v>
      </c>
      <c r="D74" t="s">
        <v>458</v>
      </c>
      <c r="E74" s="28">
        <v>17235</v>
      </c>
      <c r="F74" s="13">
        <v>55.531170000000003</v>
      </c>
      <c r="G74" s="14">
        <f t="shared" si="3"/>
        <v>8.0000000000000004E-4</v>
      </c>
      <c r="H74" s="15" t="s">
        <v>388</v>
      </c>
      <c r="I74" s="107"/>
    </row>
    <row r="75" spans="1:9" ht="12.75" customHeight="1" x14ac:dyDescent="0.2">
      <c r="A75">
        <f>+MAX($A$7:A74)+1</f>
        <v>67</v>
      </c>
      <c r="B75" s="65" t="s">
        <v>356</v>
      </c>
      <c r="C75" t="s">
        <v>357</v>
      </c>
      <c r="D75" t="s">
        <v>22</v>
      </c>
      <c r="E75" s="28">
        <v>5407</v>
      </c>
      <c r="F75" s="13">
        <v>52.401940499999995</v>
      </c>
      <c r="G75" s="14">
        <f t="shared" si="3"/>
        <v>6.9999999999999999E-4</v>
      </c>
      <c r="H75" s="15" t="s">
        <v>388</v>
      </c>
      <c r="I75" s="107"/>
    </row>
    <row r="76" spans="1:9" ht="12.75" customHeight="1" x14ac:dyDescent="0.2">
      <c r="A76">
        <f>+MAX($A$7:A75)+1</f>
        <v>68</v>
      </c>
      <c r="B76" t="s">
        <v>653</v>
      </c>
      <c r="C76" t="s">
        <v>85</v>
      </c>
      <c r="D76" t="s">
        <v>103</v>
      </c>
      <c r="E76" s="28">
        <v>30579</v>
      </c>
      <c r="F76" s="13">
        <v>0</v>
      </c>
      <c r="G76" s="108" t="s">
        <v>585</v>
      </c>
      <c r="H76" s="15" t="s">
        <v>388</v>
      </c>
      <c r="I76" s="107"/>
    </row>
    <row r="77" spans="1:9" ht="12.75" customHeight="1" x14ac:dyDescent="0.2">
      <c r="B77" s="18" t="s">
        <v>86</v>
      </c>
      <c r="C77" s="18"/>
      <c r="D77" s="18"/>
      <c r="E77" s="29"/>
      <c r="F77" s="19">
        <f>SUM(F9:F76)</f>
        <v>46405.924336999989</v>
      </c>
      <c r="G77" s="20">
        <f>SUM(G9:G76)</f>
        <v>0.65809999999999969</v>
      </c>
      <c r="H77" s="21"/>
      <c r="I77" s="35"/>
    </row>
    <row r="78" spans="1:9" ht="12.75" customHeight="1" x14ac:dyDescent="0.2">
      <c r="F78" s="13"/>
      <c r="G78" s="14"/>
      <c r="H78" s="15"/>
    </row>
    <row r="79" spans="1:9" ht="12.75" customHeight="1" x14ac:dyDescent="0.2">
      <c r="B79" s="16" t="s">
        <v>92</v>
      </c>
      <c r="C79" s="16"/>
      <c r="F79" s="13"/>
      <c r="G79" s="14"/>
      <c r="H79" s="15"/>
    </row>
    <row r="80" spans="1:9" ht="12.75" customHeight="1" x14ac:dyDescent="0.2">
      <c r="B80" s="16" t="s">
        <v>314</v>
      </c>
      <c r="C80" s="16"/>
      <c r="F80" s="13"/>
      <c r="G80" s="14"/>
      <c r="H80" s="15"/>
    </row>
    <row r="81" spans="1:9" ht="12.75" customHeight="1" x14ac:dyDescent="0.2">
      <c r="A81">
        <f>+MAX($A$7:A80)+1</f>
        <v>69</v>
      </c>
      <c r="B81" s="65" t="s">
        <v>619</v>
      </c>
      <c r="C81" t="s">
        <v>703</v>
      </c>
      <c r="D81" t="s">
        <v>620</v>
      </c>
      <c r="E81" s="28">
        <v>120</v>
      </c>
      <c r="F81" s="13">
        <v>589.9896</v>
      </c>
      <c r="G81" s="14">
        <f>+ROUND(F81/VLOOKUP("Grand Total",$B$4:$F$322,5,0),4)</f>
        <v>8.3999999999999995E-3</v>
      </c>
      <c r="H81" s="15">
        <v>43129</v>
      </c>
      <c r="I81" s="107"/>
    </row>
    <row r="82" spans="1:9" ht="12.75" customHeight="1" x14ac:dyDescent="0.2">
      <c r="A82">
        <f>+MAX($A$7:A81)+1</f>
        <v>70</v>
      </c>
      <c r="B82" s="65" t="s">
        <v>660</v>
      </c>
      <c r="C82" t="s">
        <v>700</v>
      </c>
      <c r="D82" t="s">
        <v>296</v>
      </c>
      <c r="E82" s="28">
        <v>100</v>
      </c>
      <c r="F82" s="13">
        <v>497.416</v>
      </c>
      <c r="G82" s="14">
        <f>+ROUND(F82/VLOOKUP("Grand Total",$B$4:$F$322,5,0),4)</f>
        <v>7.1000000000000004E-3</v>
      </c>
      <c r="H82" s="15">
        <v>43098</v>
      </c>
      <c r="I82" s="107"/>
    </row>
    <row r="83" spans="1:9" ht="12.75" customHeight="1" x14ac:dyDescent="0.2">
      <c r="A83">
        <f>+MAX($A$7:A82)+1</f>
        <v>71</v>
      </c>
      <c r="B83" s="65" t="s">
        <v>478</v>
      </c>
      <c r="C83" t="s">
        <v>724</v>
      </c>
      <c r="D83" t="s">
        <v>163</v>
      </c>
      <c r="E83" s="28">
        <v>100</v>
      </c>
      <c r="F83" s="13">
        <v>494.03199999999998</v>
      </c>
      <c r="G83" s="14">
        <f>+ROUND(F83/VLOOKUP("Grand Total",$B$4:$F$322,5,0),4)</f>
        <v>7.0000000000000001E-3</v>
      </c>
      <c r="H83" s="15">
        <v>43129</v>
      </c>
      <c r="I83" s="107"/>
    </row>
    <row r="84" spans="1:9" ht="12.75" customHeight="1" x14ac:dyDescent="0.2">
      <c r="A84">
        <f>+MAX($A$7:A83)+1</f>
        <v>72</v>
      </c>
      <c r="B84" s="65" t="s">
        <v>297</v>
      </c>
      <c r="C84" t="s">
        <v>612</v>
      </c>
      <c r="D84" t="s">
        <v>659</v>
      </c>
      <c r="E84" s="28">
        <v>100</v>
      </c>
      <c r="F84" s="13">
        <v>470.44349999999997</v>
      </c>
      <c r="G84" s="14">
        <f>+ROUND(F84/VLOOKUP("Grand Total",$B$4:$F$322,5,0),4)</f>
        <v>6.7000000000000002E-3</v>
      </c>
      <c r="H84" s="15">
        <v>43350</v>
      </c>
      <c r="I84" s="107"/>
    </row>
    <row r="85" spans="1:9" ht="12.75" customHeight="1" x14ac:dyDescent="0.2">
      <c r="B85" s="18" t="s">
        <v>86</v>
      </c>
      <c r="C85" s="18"/>
      <c r="D85" s="18"/>
      <c r="E85" s="29"/>
      <c r="F85" s="19">
        <f>SUM(F81:F84)</f>
        <v>2051.8811000000001</v>
      </c>
      <c r="G85" s="20">
        <f>SUM(G81:G84)</f>
        <v>2.92E-2</v>
      </c>
      <c r="H85" s="21"/>
    </row>
    <row r="86" spans="1:9" ht="12.75" customHeight="1" x14ac:dyDescent="0.2">
      <c r="F86" s="13"/>
      <c r="G86" s="14"/>
      <c r="H86" s="15"/>
    </row>
    <row r="87" spans="1:9" ht="12.75" customHeight="1" x14ac:dyDescent="0.2">
      <c r="B87" s="16" t="s">
        <v>126</v>
      </c>
      <c r="C87" s="16"/>
      <c r="F87" s="13"/>
      <c r="G87" s="14"/>
      <c r="H87" s="15"/>
    </row>
    <row r="88" spans="1:9" ht="12.75" customHeight="1" x14ac:dyDescent="0.2">
      <c r="B88" s="31" t="s">
        <v>425</v>
      </c>
      <c r="C88" s="16"/>
      <c r="F88" s="13"/>
      <c r="G88" s="14"/>
      <c r="H88" s="15"/>
    </row>
    <row r="89" spans="1:9" ht="12.75" customHeight="1" x14ac:dyDescent="0.2">
      <c r="A89">
        <f>+MAX($A$7:A88)+1</f>
        <v>73</v>
      </c>
      <c r="B89" s="65" t="s">
        <v>740</v>
      </c>
      <c r="C89" t="s">
        <v>583</v>
      </c>
      <c r="D89" t="s">
        <v>176</v>
      </c>
      <c r="E89" s="28">
        <v>150</v>
      </c>
      <c r="F89" s="13">
        <v>1486.3185000000001</v>
      </c>
      <c r="G89" s="14">
        <f t="shared" ref="G89:G105" si="4">+ROUND(F89/VLOOKUP("Grand Total",$B$4:$F$322,5,0),4)</f>
        <v>2.1100000000000001E-2</v>
      </c>
      <c r="H89" s="15">
        <v>44376</v>
      </c>
      <c r="I89" s="107"/>
    </row>
    <row r="90" spans="1:9" ht="12.75" customHeight="1" x14ac:dyDescent="0.2">
      <c r="A90">
        <f>+MAX($A$7:A89)+1</f>
        <v>74</v>
      </c>
      <c r="B90" s="65" t="s">
        <v>741</v>
      </c>
      <c r="C90" t="s">
        <v>630</v>
      </c>
      <c r="D90" t="s">
        <v>109</v>
      </c>
      <c r="E90" s="28">
        <v>150</v>
      </c>
      <c r="F90" s="13">
        <v>1474.4190000000001</v>
      </c>
      <c r="G90" s="14">
        <f t="shared" si="4"/>
        <v>2.0899999999999998E-2</v>
      </c>
      <c r="H90" s="15">
        <v>44804</v>
      </c>
      <c r="I90" s="107"/>
    </row>
    <row r="91" spans="1:9" ht="12.75" customHeight="1" x14ac:dyDescent="0.2">
      <c r="A91">
        <f>+MAX($A$7:A90)+1</f>
        <v>75</v>
      </c>
      <c r="B91" s="65" t="s">
        <v>742</v>
      </c>
      <c r="C91" t="s">
        <v>551</v>
      </c>
      <c r="D91" t="s">
        <v>109</v>
      </c>
      <c r="E91" s="28">
        <v>110</v>
      </c>
      <c r="F91" s="13">
        <v>1103.8610000000001</v>
      </c>
      <c r="G91" s="14">
        <f t="shared" si="4"/>
        <v>1.5599999999999999E-2</v>
      </c>
      <c r="H91" s="15">
        <v>44091</v>
      </c>
      <c r="I91" s="107"/>
    </row>
    <row r="92" spans="1:9" ht="12.75" customHeight="1" x14ac:dyDescent="0.2">
      <c r="A92">
        <f>+MAX($A$7:A91)+1</f>
        <v>76</v>
      </c>
      <c r="B92" s="65" t="s">
        <v>743</v>
      </c>
      <c r="C92" t="s">
        <v>716</v>
      </c>
      <c r="D92" t="s">
        <v>109</v>
      </c>
      <c r="E92" s="28">
        <v>100</v>
      </c>
      <c r="F92" s="13">
        <v>1041.7449999999999</v>
      </c>
      <c r="G92" s="14">
        <f t="shared" si="4"/>
        <v>1.4800000000000001E-2</v>
      </c>
      <c r="H92" s="15">
        <v>45042</v>
      </c>
      <c r="I92" s="107"/>
    </row>
    <row r="93" spans="1:9" ht="12.75" customHeight="1" x14ac:dyDescent="0.2">
      <c r="A93">
        <f>+MAX($A$7:A92)+1</f>
        <v>77</v>
      </c>
      <c r="B93" s="65" t="s">
        <v>667</v>
      </c>
      <c r="C93" t="s">
        <v>498</v>
      </c>
      <c r="D93" t="s">
        <v>499</v>
      </c>
      <c r="E93" s="28">
        <v>100</v>
      </c>
      <c r="F93" s="13">
        <v>1011.539</v>
      </c>
      <c r="G93" s="14">
        <f t="shared" si="4"/>
        <v>1.43E-2</v>
      </c>
      <c r="H93" s="15">
        <v>44693</v>
      </c>
      <c r="I93" s="107"/>
    </row>
    <row r="94" spans="1:9" ht="12.75" customHeight="1" x14ac:dyDescent="0.2">
      <c r="A94">
        <f>+MAX($A$7:A93)+1</f>
        <v>78</v>
      </c>
      <c r="B94" s="65" t="s">
        <v>744</v>
      </c>
      <c r="C94" t="s">
        <v>631</v>
      </c>
      <c r="D94" t="s">
        <v>109</v>
      </c>
      <c r="E94" s="28">
        <v>50</v>
      </c>
      <c r="F94" s="13">
        <v>512.7115</v>
      </c>
      <c r="G94" s="14">
        <f t="shared" si="4"/>
        <v>7.3000000000000001E-3</v>
      </c>
      <c r="H94" s="15">
        <v>44004</v>
      </c>
      <c r="I94" s="107"/>
    </row>
    <row r="95" spans="1:9" ht="12.75" customHeight="1" x14ac:dyDescent="0.2">
      <c r="A95">
        <f>+MAX($A$7:A94)+1</f>
        <v>79</v>
      </c>
      <c r="B95" s="65" t="s">
        <v>745</v>
      </c>
      <c r="C95" t="s">
        <v>525</v>
      </c>
      <c r="D95" t="s">
        <v>109</v>
      </c>
      <c r="E95" s="28">
        <v>50</v>
      </c>
      <c r="F95" s="13">
        <v>503.97800000000001</v>
      </c>
      <c r="G95" s="14">
        <f t="shared" si="4"/>
        <v>7.1000000000000004E-3</v>
      </c>
      <c r="H95" s="15">
        <v>46465</v>
      </c>
      <c r="I95" s="107"/>
    </row>
    <row r="96" spans="1:9" ht="12.75" customHeight="1" x14ac:dyDescent="0.2">
      <c r="A96">
        <f>+MAX($A$7:A95)+1</f>
        <v>80</v>
      </c>
      <c r="B96" s="65" t="s">
        <v>746</v>
      </c>
      <c r="C96" t="s">
        <v>480</v>
      </c>
      <c r="D96" t="s">
        <v>109</v>
      </c>
      <c r="E96" s="28">
        <v>50</v>
      </c>
      <c r="F96" s="13">
        <v>501.90899999999999</v>
      </c>
      <c r="G96" s="14">
        <f t="shared" si="4"/>
        <v>7.1000000000000004E-3</v>
      </c>
      <c r="H96" s="15">
        <v>44006</v>
      </c>
      <c r="I96" s="107"/>
    </row>
    <row r="97" spans="1:11" ht="12.75" customHeight="1" x14ac:dyDescent="0.2">
      <c r="A97">
        <f>+MAX($A$7:A96)+1</f>
        <v>81</v>
      </c>
      <c r="B97" s="65" t="s">
        <v>747</v>
      </c>
      <c r="C97" t="s">
        <v>481</v>
      </c>
      <c r="D97" t="s">
        <v>109</v>
      </c>
      <c r="E97" s="28">
        <v>5</v>
      </c>
      <c r="F97" s="13">
        <v>501.29399999999998</v>
      </c>
      <c r="G97" s="14">
        <f t="shared" si="4"/>
        <v>7.1000000000000004E-3</v>
      </c>
      <c r="H97" s="15">
        <v>43544</v>
      </c>
      <c r="I97" s="107"/>
    </row>
    <row r="98" spans="1:11" ht="12.75" customHeight="1" x14ac:dyDescent="0.2">
      <c r="A98">
        <f>+MAX($A$7:A97)+1</f>
        <v>82</v>
      </c>
      <c r="B98" s="65" t="s">
        <v>748</v>
      </c>
      <c r="C98" t="s">
        <v>553</v>
      </c>
      <c r="D98" t="s">
        <v>521</v>
      </c>
      <c r="E98" s="28">
        <v>50</v>
      </c>
      <c r="F98" s="13">
        <v>499.66750000000002</v>
      </c>
      <c r="G98" s="14">
        <f t="shared" si="4"/>
        <v>7.1000000000000004E-3</v>
      </c>
      <c r="H98" s="15">
        <v>44026</v>
      </c>
      <c r="I98" s="107"/>
    </row>
    <row r="99" spans="1:11" ht="12.75" customHeight="1" x14ac:dyDescent="0.2">
      <c r="A99">
        <f>+MAX($A$7:A98)+1</f>
        <v>83</v>
      </c>
      <c r="B99" s="65" t="s">
        <v>749</v>
      </c>
      <c r="C99" t="s">
        <v>574</v>
      </c>
      <c r="D99" t="s">
        <v>376</v>
      </c>
      <c r="E99" s="28">
        <v>30000</v>
      </c>
      <c r="F99" s="13">
        <v>304.59960000000001</v>
      </c>
      <c r="G99" s="14">
        <f t="shared" si="4"/>
        <v>4.3E-3</v>
      </c>
      <c r="H99" s="15">
        <v>43717</v>
      </c>
      <c r="I99" s="107"/>
    </row>
    <row r="100" spans="1:11" ht="12.75" customHeight="1" x14ac:dyDescent="0.2">
      <c r="A100">
        <f>+MAX($A$7:A99)+1</f>
        <v>84</v>
      </c>
      <c r="B100" s="65" t="s">
        <v>750</v>
      </c>
      <c r="C100" t="s">
        <v>495</v>
      </c>
      <c r="D100" s="65" t="s">
        <v>761</v>
      </c>
      <c r="E100" s="28">
        <v>30</v>
      </c>
      <c r="F100" s="13">
        <v>299.9667</v>
      </c>
      <c r="G100" s="14">
        <f t="shared" si="4"/>
        <v>4.3E-3</v>
      </c>
      <c r="H100" s="15">
        <v>43105</v>
      </c>
      <c r="I100" s="107"/>
    </row>
    <row r="101" spans="1:11" ht="12.75" customHeight="1" x14ac:dyDescent="0.2">
      <c r="A101">
        <f>+MAX($A$7:A100)+1</f>
        <v>85</v>
      </c>
      <c r="B101" s="65" t="s">
        <v>749</v>
      </c>
      <c r="C101" t="s">
        <v>462</v>
      </c>
      <c r="D101" t="s">
        <v>376</v>
      </c>
      <c r="E101" s="28">
        <v>20000</v>
      </c>
      <c r="F101" s="13">
        <v>202.9042</v>
      </c>
      <c r="G101" s="14">
        <f t="shared" si="4"/>
        <v>2.8999999999999998E-3</v>
      </c>
      <c r="H101" s="15">
        <v>43693</v>
      </c>
      <c r="I101" s="107"/>
    </row>
    <row r="102" spans="1:11" ht="12.75" customHeight="1" x14ac:dyDescent="0.2">
      <c r="A102">
        <f>+MAX($A$7:A101)+1</f>
        <v>86</v>
      </c>
      <c r="B102" s="65" t="s">
        <v>751</v>
      </c>
      <c r="C102" t="s">
        <v>473</v>
      </c>
      <c r="D102" t="s">
        <v>176</v>
      </c>
      <c r="E102" s="28">
        <v>20</v>
      </c>
      <c r="F102" s="13">
        <v>201.70699999999999</v>
      </c>
      <c r="G102" s="14">
        <f t="shared" si="4"/>
        <v>2.8999999999999998E-3</v>
      </c>
      <c r="H102" s="15">
        <v>43678</v>
      </c>
      <c r="I102" s="107"/>
    </row>
    <row r="103" spans="1:11" ht="12.75" customHeight="1" x14ac:dyDescent="0.2">
      <c r="A103">
        <f>+MAX($A$7:A102)+1</f>
        <v>87</v>
      </c>
      <c r="B103" s="65" t="s">
        <v>752</v>
      </c>
      <c r="C103" t="s">
        <v>442</v>
      </c>
      <c r="D103" t="s">
        <v>376</v>
      </c>
      <c r="E103" s="28">
        <v>13</v>
      </c>
      <c r="F103" s="13">
        <v>130.92443</v>
      </c>
      <c r="G103" s="14">
        <f t="shared" si="4"/>
        <v>1.9E-3</v>
      </c>
      <c r="H103" s="15">
        <v>43322</v>
      </c>
      <c r="I103" s="107"/>
    </row>
    <row r="104" spans="1:11" ht="12.75" customHeight="1" x14ac:dyDescent="0.2">
      <c r="A104">
        <f>+MAX($A$7:A103)+1</f>
        <v>88</v>
      </c>
      <c r="B104" s="65" t="s">
        <v>753</v>
      </c>
      <c r="C104" t="s">
        <v>428</v>
      </c>
      <c r="D104" t="s">
        <v>109</v>
      </c>
      <c r="E104" s="28">
        <v>10</v>
      </c>
      <c r="F104" s="13">
        <v>102.4284</v>
      </c>
      <c r="G104" s="14">
        <f t="shared" si="4"/>
        <v>1.5E-3</v>
      </c>
      <c r="H104" s="15">
        <v>44343</v>
      </c>
      <c r="I104" s="107"/>
    </row>
    <row r="105" spans="1:11" ht="12.75" customHeight="1" x14ac:dyDescent="0.2">
      <c r="A105">
        <f>+MAX($A$7:A104)+1</f>
        <v>89</v>
      </c>
      <c r="B105" s="65" t="s">
        <v>754</v>
      </c>
      <c r="C105" t="s">
        <v>342</v>
      </c>
      <c r="D105" t="s">
        <v>299</v>
      </c>
      <c r="E105" s="28">
        <v>10</v>
      </c>
      <c r="F105" s="13">
        <v>101.8419</v>
      </c>
      <c r="G105" s="14">
        <f t="shared" si="4"/>
        <v>1.4E-3</v>
      </c>
      <c r="H105" s="15">
        <v>43621</v>
      </c>
      <c r="I105" s="107"/>
    </row>
    <row r="106" spans="1:11" ht="12.75" customHeight="1" x14ac:dyDescent="0.2">
      <c r="B106" s="18" t="s">
        <v>86</v>
      </c>
      <c r="C106" s="18"/>
      <c r="D106" s="18"/>
      <c r="E106" s="29"/>
      <c r="F106" s="19">
        <f>SUM(F89:F105)</f>
        <v>9981.8147300000001</v>
      </c>
      <c r="G106" s="20">
        <f>SUM(G89:G105)</f>
        <v>0.1416</v>
      </c>
      <c r="H106" s="21"/>
    </row>
    <row r="107" spans="1:11" ht="12.75" customHeight="1" x14ac:dyDescent="0.2">
      <c r="F107" s="13"/>
      <c r="G107" s="14"/>
      <c r="H107" s="15"/>
    </row>
    <row r="108" spans="1:11" ht="12.75" customHeight="1" x14ac:dyDescent="0.2">
      <c r="B108" s="16" t="s">
        <v>586</v>
      </c>
      <c r="C108" s="16"/>
      <c r="F108" s="13"/>
      <c r="G108" s="14"/>
      <c r="H108" s="15"/>
    </row>
    <row r="109" spans="1:11" ht="12.75" customHeight="1" x14ac:dyDescent="0.2">
      <c r="A109">
        <f>+MAX($A$7:A108)+1</f>
        <v>90</v>
      </c>
      <c r="B109" s="65" t="s">
        <v>579</v>
      </c>
      <c r="C109" t="s">
        <v>580</v>
      </c>
      <c r="D109" t="s">
        <v>382</v>
      </c>
      <c r="E109" s="28">
        <v>50</v>
      </c>
      <c r="F109" s="13">
        <v>514.06650000000002</v>
      </c>
      <c r="G109" s="14">
        <f>+ROUND(F109/VLOOKUP("Grand Total",$B$4:$F$322,5,0),4)</f>
        <v>7.3000000000000001E-3</v>
      </c>
      <c r="H109" s="15">
        <v>43321</v>
      </c>
    </row>
    <row r="110" spans="1:11" ht="12.75" customHeight="1" x14ac:dyDescent="0.2">
      <c r="B110" s="18" t="s">
        <v>86</v>
      </c>
      <c r="C110" s="18"/>
      <c r="D110" s="18"/>
      <c r="E110" s="29"/>
      <c r="F110" s="19">
        <f>SUM(F109:F109)</f>
        <v>514.06650000000002</v>
      </c>
      <c r="G110" s="20">
        <f>SUM(G109:G109)</f>
        <v>7.3000000000000001E-3</v>
      </c>
      <c r="H110" s="21"/>
    </row>
    <row r="111" spans="1:11" s="46" customFormat="1" ht="12.75" customHeight="1" x14ac:dyDescent="0.2">
      <c r="B111" s="67"/>
      <c r="C111" s="67"/>
      <c r="D111" s="67"/>
      <c r="E111" s="68"/>
      <c r="F111" s="69"/>
      <c r="G111" s="70"/>
      <c r="H111" s="71"/>
      <c r="I111" s="33"/>
      <c r="K111" s="48"/>
    </row>
    <row r="112" spans="1:11" ht="12.75" customHeight="1" x14ac:dyDescent="0.2">
      <c r="B112" s="16" t="s">
        <v>171</v>
      </c>
      <c r="C112" s="16"/>
      <c r="F112" s="13"/>
      <c r="G112" s="14"/>
      <c r="H112" s="15"/>
    </row>
    <row r="113" spans="1:11" ht="12.75" customHeight="1" x14ac:dyDescent="0.2">
      <c r="A113">
        <f>+MAX($A$7:A112)+1</f>
        <v>91</v>
      </c>
      <c r="B113" s="65" t="s">
        <v>517</v>
      </c>
      <c r="C113" t="s">
        <v>518</v>
      </c>
      <c r="D113" t="s">
        <v>420</v>
      </c>
      <c r="E113" s="28">
        <v>2050000</v>
      </c>
      <c r="F113" s="13">
        <v>2116.6824000000001</v>
      </c>
      <c r="G113" s="14">
        <f t="shared" ref="G113:G120" si="5">+ROUND(F113/VLOOKUP("Grand Total",$B$4:$F$322,5,0),4)</f>
        <v>0.03</v>
      </c>
      <c r="H113" s="15">
        <v>45275</v>
      </c>
    </row>
    <row r="114" spans="1:11" ht="12.75" customHeight="1" x14ac:dyDescent="0.2">
      <c r="A114">
        <f>+MAX($A$7:A113)+1</f>
        <v>92</v>
      </c>
      <c r="B114" s="65" t="s">
        <v>698</v>
      </c>
      <c r="C114" t="s">
        <v>699</v>
      </c>
      <c r="D114" t="s">
        <v>420</v>
      </c>
      <c r="E114" s="28">
        <v>1600000</v>
      </c>
      <c r="F114" s="13">
        <v>1570.6351999999999</v>
      </c>
      <c r="G114" s="14">
        <f t="shared" si="5"/>
        <v>2.23E-2</v>
      </c>
      <c r="H114" s="15">
        <v>46522</v>
      </c>
    </row>
    <row r="115" spans="1:11" ht="12.75" customHeight="1" x14ac:dyDescent="0.2">
      <c r="A115">
        <f>+MAX($A$7:A114)+1</f>
        <v>93</v>
      </c>
      <c r="B115" s="65" t="s">
        <v>625</v>
      </c>
      <c r="C115" t="s">
        <v>626</v>
      </c>
      <c r="D115" t="s">
        <v>420</v>
      </c>
      <c r="E115" s="28">
        <v>1400000</v>
      </c>
      <c r="F115" s="13">
        <v>1432.7544</v>
      </c>
      <c r="G115" s="14">
        <f t="shared" si="5"/>
        <v>2.0299999999999999E-2</v>
      </c>
      <c r="H115" s="15">
        <v>49297</v>
      </c>
    </row>
    <row r="116" spans="1:11" ht="12.75" customHeight="1" x14ac:dyDescent="0.2">
      <c r="A116">
        <f>+MAX($A$7:A115)+1</f>
        <v>94</v>
      </c>
      <c r="B116" s="65" t="s">
        <v>725</v>
      </c>
      <c r="C116" t="s">
        <v>726</v>
      </c>
      <c r="D116" t="s">
        <v>420</v>
      </c>
      <c r="E116" s="28">
        <v>1000000</v>
      </c>
      <c r="F116" s="13">
        <v>1036.92</v>
      </c>
      <c r="G116" s="14">
        <f t="shared" si="5"/>
        <v>1.47E-2</v>
      </c>
      <c r="H116" s="15">
        <v>47561</v>
      </c>
    </row>
    <row r="117" spans="1:11" ht="12.75" customHeight="1" x14ac:dyDescent="0.2">
      <c r="A117">
        <f>+MAX($A$7:A116)+1</f>
        <v>95</v>
      </c>
      <c r="B117" s="65" t="s">
        <v>522</v>
      </c>
      <c r="C117" t="s">
        <v>523</v>
      </c>
      <c r="D117" t="s">
        <v>420</v>
      </c>
      <c r="E117" s="28">
        <v>900000</v>
      </c>
      <c r="F117" s="13">
        <v>958.87890000000004</v>
      </c>
      <c r="G117" s="14">
        <f t="shared" si="5"/>
        <v>1.3599999999999999E-2</v>
      </c>
      <c r="H117" s="15">
        <v>52932</v>
      </c>
    </row>
    <row r="118" spans="1:11" ht="12.75" customHeight="1" x14ac:dyDescent="0.2">
      <c r="A118">
        <f>+MAX($A$7:A117)+1</f>
        <v>96</v>
      </c>
      <c r="B118" s="65" t="s">
        <v>581</v>
      </c>
      <c r="C118" t="s">
        <v>582</v>
      </c>
      <c r="D118" t="s">
        <v>420</v>
      </c>
      <c r="E118" s="28">
        <v>800000</v>
      </c>
      <c r="F118" s="13">
        <v>806.65520000000004</v>
      </c>
      <c r="G118" s="14">
        <f t="shared" si="5"/>
        <v>1.14E-2</v>
      </c>
      <c r="H118" s="15">
        <v>45066</v>
      </c>
    </row>
    <row r="119" spans="1:11" ht="12.75" customHeight="1" x14ac:dyDescent="0.2">
      <c r="A119">
        <f>+MAX($A$7:A118)+1</f>
        <v>97</v>
      </c>
      <c r="B119" s="65" t="s">
        <v>496</v>
      </c>
      <c r="C119" t="s">
        <v>497</v>
      </c>
      <c r="D119" t="s">
        <v>420</v>
      </c>
      <c r="E119" s="28">
        <v>500000</v>
      </c>
      <c r="F119" s="13">
        <v>498.90750000000003</v>
      </c>
      <c r="G119" s="14">
        <f t="shared" si="5"/>
        <v>7.1000000000000004E-3</v>
      </c>
      <c r="H119" s="15">
        <v>44914</v>
      </c>
    </row>
    <row r="120" spans="1:11" ht="12.75" customHeight="1" x14ac:dyDescent="0.2">
      <c r="A120">
        <f>+MAX($A$7:A119)+1</f>
        <v>98</v>
      </c>
      <c r="B120" s="65" t="s">
        <v>712</v>
      </c>
      <c r="C120" t="s">
        <v>713</v>
      </c>
      <c r="D120" t="s">
        <v>420</v>
      </c>
      <c r="E120" s="28">
        <v>300000</v>
      </c>
      <c r="F120" s="13">
        <v>305.10329999999999</v>
      </c>
      <c r="G120" s="14">
        <f t="shared" si="5"/>
        <v>4.3E-3</v>
      </c>
      <c r="H120" s="15">
        <v>47197</v>
      </c>
    </row>
    <row r="121" spans="1:11" ht="12.75" customHeight="1" x14ac:dyDescent="0.2">
      <c r="B121" s="18" t="s">
        <v>86</v>
      </c>
      <c r="C121" s="18"/>
      <c r="D121" s="18"/>
      <c r="E121" s="29"/>
      <c r="F121" s="19">
        <f>SUM(F113:F120)</f>
        <v>8726.536900000001</v>
      </c>
      <c r="G121" s="20">
        <f>SUM(G113:G120)</f>
        <v>0.1237</v>
      </c>
      <c r="H121" s="21"/>
    </row>
    <row r="122" spans="1:11" s="46" customFormat="1" ht="12.75" customHeight="1" x14ac:dyDescent="0.2">
      <c r="B122" s="67"/>
      <c r="C122" s="67"/>
      <c r="D122" s="67"/>
      <c r="E122" s="68"/>
      <c r="F122" s="69"/>
      <c r="G122" s="70"/>
      <c r="H122" s="71"/>
      <c r="I122" s="33"/>
      <c r="K122" s="48"/>
    </row>
    <row r="123" spans="1:11" ht="12.75" customHeight="1" x14ac:dyDescent="0.2">
      <c r="A123" s="95" t="s">
        <v>387</v>
      </c>
      <c r="B123" s="16" t="s">
        <v>94</v>
      </c>
      <c r="C123" s="16"/>
      <c r="F123" s="13">
        <v>2992.6053677999998</v>
      </c>
      <c r="G123" s="14">
        <f>+ROUND(F123/VLOOKUP("Grand Total",$B$4:$F$322,5,0),4)</f>
        <v>4.24E-2</v>
      </c>
      <c r="H123" s="15">
        <v>43073</v>
      </c>
    </row>
    <row r="124" spans="1:11" ht="12.75" customHeight="1" x14ac:dyDescent="0.2">
      <c r="B124" s="18" t="s">
        <v>86</v>
      </c>
      <c r="C124" s="18"/>
      <c r="D124" s="18"/>
      <c r="E124" s="29"/>
      <c r="F124" s="19">
        <f>SUM(F123)</f>
        <v>2992.6053677999998</v>
      </c>
      <c r="G124" s="20">
        <f>SUM(G123)</f>
        <v>4.24E-2</v>
      </c>
      <c r="H124" s="21"/>
      <c r="I124" s="35"/>
    </row>
    <row r="125" spans="1:11" ht="12.75" customHeight="1" x14ac:dyDescent="0.2">
      <c r="F125" s="13"/>
      <c r="G125" s="14"/>
      <c r="H125" s="15"/>
    </row>
    <row r="126" spans="1:11" ht="12.75" customHeight="1" x14ac:dyDescent="0.2">
      <c r="B126" s="16" t="s">
        <v>95</v>
      </c>
      <c r="C126" s="16"/>
      <c r="F126" s="13"/>
      <c r="G126" s="14"/>
      <c r="H126" s="15"/>
    </row>
    <row r="127" spans="1:11" ht="12.75" customHeight="1" x14ac:dyDescent="0.2">
      <c r="B127" s="16" t="s">
        <v>96</v>
      </c>
      <c r="C127" s="16"/>
      <c r="F127" s="13">
        <v>-135.03009849996306</v>
      </c>
      <c r="G127" s="14">
        <f>+ROUND(F127/VLOOKUP("Grand Total",$B$4:$F$322,5,0),4)-0.04%</f>
        <v>-2.3E-3</v>
      </c>
      <c r="H127" s="15"/>
    </row>
    <row r="128" spans="1:11" ht="12.75" customHeight="1" x14ac:dyDescent="0.2">
      <c r="B128" s="18" t="s">
        <v>86</v>
      </c>
      <c r="C128" s="18"/>
      <c r="D128" s="18"/>
      <c r="E128" s="29"/>
      <c r="F128" s="19">
        <f>SUM(F127)</f>
        <v>-135.03009849996306</v>
      </c>
      <c r="G128" s="20">
        <f>SUM(G127)</f>
        <v>-2.3E-3</v>
      </c>
      <c r="H128" s="21"/>
      <c r="I128" s="35"/>
    </row>
    <row r="129" spans="2:9" ht="12.75" customHeight="1" x14ac:dyDescent="0.2">
      <c r="B129" s="22" t="s">
        <v>97</v>
      </c>
      <c r="C129" s="22"/>
      <c r="D129" s="22"/>
      <c r="E129" s="30"/>
      <c r="F129" s="23">
        <f>+SUMIF($B$5:B128,"Total",$F$5:F128)</f>
        <v>70537.798836300033</v>
      </c>
      <c r="G129" s="24">
        <f>+SUMIF($B$5:B128,"Total",$G$5:G128)</f>
        <v>0.99999999999999978</v>
      </c>
      <c r="H129" s="25"/>
      <c r="I129" s="35"/>
    </row>
    <row r="130" spans="2:9" ht="12.75" customHeight="1" x14ac:dyDescent="0.2"/>
    <row r="131" spans="2:9" ht="12.75" customHeight="1" x14ac:dyDescent="0.2">
      <c r="B131" s="16" t="s">
        <v>192</v>
      </c>
      <c r="C131" s="16"/>
    </row>
    <row r="132" spans="2:9" ht="12.75" customHeight="1" x14ac:dyDescent="0.2">
      <c r="B132" s="16" t="s">
        <v>189</v>
      </c>
      <c r="C132" s="16"/>
    </row>
    <row r="133" spans="2:9" ht="12.75" customHeight="1" x14ac:dyDescent="0.2">
      <c r="B133" s="16" t="s">
        <v>190</v>
      </c>
      <c r="C133" s="16"/>
      <c r="F133" s="43"/>
      <c r="G133" s="43"/>
    </row>
    <row r="134" spans="2:9" ht="12.75" customHeight="1" x14ac:dyDescent="0.2">
      <c r="B134" s="53" t="s">
        <v>315</v>
      </c>
      <c r="C134" s="16"/>
    </row>
    <row r="135" spans="2:9" ht="12.75" customHeight="1" x14ac:dyDescent="0.2">
      <c r="B135" s="16"/>
    </row>
    <row r="136" spans="2:9" ht="12.75" customHeight="1" x14ac:dyDescent="0.2"/>
    <row r="137" spans="2:9" ht="12.75" customHeight="1" x14ac:dyDescent="0.2"/>
    <row r="138" spans="2:9" ht="12.75" customHeight="1" x14ac:dyDescent="0.2"/>
    <row r="139" spans="2:9" ht="12.75" customHeight="1" x14ac:dyDescent="0.2"/>
    <row r="140" spans="2:9" ht="12.75" customHeight="1" x14ac:dyDescent="0.2"/>
    <row r="141" spans="2:9" ht="12.75" customHeight="1" x14ac:dyDescent="0.2"/>
    <row r="142" spans="2:9" ht="12.75" customHeight="1" x14ac:dyDescent="0.2"/>
    <row r="143" spans="2:9" ht="12.75" customHeight="1" x14ac:dyDescent="0.2"/>
    <row r="144" spans="2:9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</sheetData>
  <sheetProtection password="EDB4" sheet="1" objects="1" scenarios="1"/>
  <sortState ref="J9:K29">
    <sortCondition descending="1" ref="K11:K31"/>
  </sortState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7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404</v>
      </c>
      <c r="B1" s="124" t="s">
        <v>175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92</v>
      </c>
      <c r="C7" s="16"/>
      <c r="F7" s="13"/>
      <c r="G7" s="14"/>
      <c r="H7" s="15"/>
    </row>
    <row r="8" spans="1:16" ht="12.75" customHeight="1" x14ac:dyDescent="0.2">
      <c r="B8" s="16" t="s">
        <v>358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s="65" t="s">
        <v>198</v>
      </c>
      <c r="C9" t="s">
        <v>632</v>
      </c>
      <c r="D9" t="s">
        <v>296</v>
      </c>
      <c r="E9" s="28">
        <v>5000</v>
      </c>
      <c r="F9" s="13">
        <v>4997.53</v>
      </c>
      <c r="G9" s="14">
        <f>+ROUND(F9/VLOOKUP("Grand Total",$B$4:$F$270,5,0),4)</f>
        <v>4.7699999999999999E-2</v>
      </c>
      <c r="H9" s="15">
        <v>43073</v>
      </c>
      <c r="J9" s="14" t="s">
        <v>163</v>
      </c>
      <c r="K9" s="48">
        <f>SUMIFS($G$5:$G$348,$D$5:$D$348,J9)</f>
        <v>0.3323000000000001</v>
      </c>
    </row>
    <row r="10" spans="1:16" ht="12.75" customHeight="1" x14ac:dyDescent="0.2">
      <c r="A10">
        <f>+MAX($A$7:A9)+1</f>
        <v>2</v>
      </c>
      <c r="B10" s="65" t="s">
        <v>614</v>
      </c>
      <c r="C10" t="s">
        <v>615</v>
      </c>
      <c r="D10" t="s">
        <v>164</v>
      </c>
      <c r="E10" s="28">
        <v>300</v>
      </c>
      <c r="F10" s="13">
        <v>299.65050000000002</v>
      </c>
      <c r="G10" s="14">
        <f>+ROUND(F10/VLOOKUP("Grand Total",$B$4:$F$270,5,0),4)</f>
        <v>2.8999999999999998E-3</v>
      </c>
      <c r="H10" s="15">
        <v>43077</v>
      </c>
      <c r="J10" s="14" t="s">
        <v>296</v>
      </c>
      <c r="K10" s="48">
        <f>SUMIFS($G$5:$G$348,$D$5:$D$348,J10)</f>
        <v>0.32830000000000004</v>
      </c>
    </row>
    <row r="11" spans="1:16" ht="12.75" customHeight="1" x14ac:dyDescent="0.2">
      <c r="B11" s="18" t="s">
        <v>86</v>
      </c>
      <c r="C11" s="18"/>
      <c r="D11" s="18"/>
      <c r="E11" s="29"/>
      <c r="F11" s="19">
        <f>SUM(F9:F10)</f>
        <v>5297.1804999999995</v>
      </c>
      <c r="G11" s="20">
        <f>SUM(G9:G10)</f>
        <v>5.0599999999999999E-2</v>
      </c>
      <c r="H11" s="21"/>
      <c r="I11" s="82"/>
      <c r="J11" s="14" t="s">
        <v>420</v>
      </c>
      <c r="K11" s="48">
        <f>SUMIFS($G$5:$G$348,$D$5:$D$348,J11)</f>
        <v>0.21010000000000001</v>
      </c>
    </row>
    <row r="12" spans="1:16" ht="12.75" customHeight="1" x14ac:dyDescent="0.2">
      <c r="B12" s="16"/>
      <c r="C12" s="16"/>
      <c r="F12" s="13"/>
      <c r="G12" s="14"/>
      <c r="H12" s="15"/>
      <c r="J12" s="14" t="s">
        <v>334</v>
      </c>
      <c r="K12" s="48">
        <f>SUMIFS($G$5:$G$348,$D$5:$D$348,J12)</f>
        <v>4.0899999999999999E-2</v>
      </c>
    </row>
    <row r="13" spans="1:16" ht="12.75" customHeight="1" x14ac:dyDescent="0.2">
      <c r="B13" s="16" t="s">
        <v>314</v>
      </c>
      <c r="C13" s="16"/>
      <c r="F13" s="13"/>
      <c r="G13" s="14"/>
      <c r="H13" s="15"/>
      <c r="J13" s="14" t="s">
        <v>659</v>
      </c>
      <c r="K13" s="48">
        <f t="shared" ref="K13:K15" si="0">SUMIFS($G$5:$G$348,$D$5:$D$348,J13)</f>
        <v>2.35E-2</v>
      </c>
      <c r="M13" s="14"/>
      <c r="N13" s="36"/>
      <c r="P13" s="14"/>
    </row>
    <row r="14" spans="1:16" ht="12.75" customHeight="1" x14ac:dyDescent="0.2">
      <c r="A14">
        <f>+MAX($A$7:A13)+1</f>
        <v>3</v>
      </c>
      <c r="B14" t="s">
        <v>617</v>
      </c>
      <c r="C14" t="s">
        <v>701</v>
      </c>
      <c r="D14" t="s">
        <v>163</v>
      </c>
      <c r="E14" s="28">
        <v>1500</v>
      </c>
      <c r="F14" s="13">
        <v>7420.02</v>
      </c>
      <c r="G14" s="14">
        <f t="shared" ref="G14:G32" si="1">+ROUND(F14/VLOOKUP("Grand Total",$B$4:$F$270,5,0),4)</f>
        <v>7.0900000000000005E-2</v>
      </c>
      <c r="H14" s="15">
        <v>43133</v>
      </c>
      <c r="J14" t="s">
        <v>620</v>
      </c>
      <c r="K14" s="48">
        <f t="shared" si="0"/>
        <v>1.8100000000000002E-2</v>
      </c>
      <c r="L14" s="54"/>
      <c r="M14" s="14"/>
      <c r="N14" s="36"/>
      <c r="P14" s="14"/>
    </row>
    <row r="15" spans="1:16" ht="12.75" customHeight="1" x14ac:dyDescent="0.2">
      <c r="A15">
        <f>+MAX($A$7:A14)+1</f>
        <v>4</v>
      </c>
      <c r="B15" s="65" t="s">
        <v>546</v>
      </c>
      <c r="C15" t="s">
        <v>727</v>
      </c>
      <c r="D15" t="s">
        <v>296</v>
      </c>
      <c r="E15" s="28">
        <v>1420</v>
      </c>
      <c r="F15" s="13">
        <v>7062.2848000000004</v>
      </c>
      <c r="G15" s="14">
        <f t="shared" si="1"/>
        <v>6.7500000000000004E-2</v>
      </c>
      <c r="H15" s="15">
        <v>43096</v>
      </c>
      <c r="J15" t="s">
        <v>164</v>
      </c>
      <c r="K15" s="48">
        <f t="shared" si="0"/>
        <v>2.8999999999999998E-3</v>
      </c>
      <c r="M15" s="14"/>
      <c r="N15" s="36"/>
      <c r="P15" s="14"/>
    </row>
    <row r="16" spans="1:16" ht="12.75" customHeight="1" x14ac:dyDescent="0.2">
      <c r="A16">
        <f>+MAX($A$7:A15)+1</f>
        <v>5</v>
      </c>
      <c r="B16" t="s">
        <v>660</v>
      </c>
      <c r="C16" t="s">
        <v>700</v>
      </c>
      <c r="D16" t="s">
        <v>296</v>
      </c>
      <c r="E16" s="28">
        <v>1400</v>
      </c>
      <c r="F16" s="13">
        <v>6963.8239999999996</v>
      </c>
      <c r="G16" s="14">
        <f t="shared" si="1"/>
        <v>6.6500000000000004E-2</v>
      </c>
      <c r="H16" s="15">
        <v>43098</v>
      </c>
      <c r="J16" s="14" t="s">
        <v>64</v>
      </c>
      <c r="K16" s="48">
        <f>+SUMIFS($G$5:$G$999,$B$5:$B$999,"CBLO / Reverse Repo Investments")+SUMIFS($G$5:$G$999,$B$5:$B$999,"Net Receivable/Payable")</f>
        <v>4.3900000000000002E-2</v>
      </c>
    </row>
    <row r="17" spans="1:11" ht="12.75" customHeight="1" x14ac:dyDescent="0.2">
      <c r="A17">
        <f>+MAX($A$7:A16)+1</f>
        <v>6</v>
      </c>
      <c r="B17" t="s">
        <v>206</v>
      </c>
      <c r="C17" t="s">
        <v>673</v>
      </c>
      <c r="D17" t="s">
        <v>296</v>
      </c>
      <c r="E17" s="28">
        <v>1000</v>
      </c>
      <c r="F17" s="13">
        <v>4976.7849999999999</v>
      </c>
      <c r="G17" s="14">
        <f t="shared" si="1"/>
        <v>4.7600000000000003E-2</v>
      </c>
      <c r="H17" s="15">
        <v>43097</v>
      </c>
    </row>
    <row r="18" spans="1:11" ht="12.75" customHeight="1" x14ac:dyDescent="0.2">
      <c r="A18">
        <f>+MAX($A$7:A17)+1</f>
        <v>7</v>
      </c>
      <c r="B18" t="s">
        <v>674</v>
      </c>
      <c r="C18" t="s">
        <v>675</v>
      </c>
      <c r="D18" t="s">
        <v>163</v>
      </c>
      <c r="E18" s="28">
        <v>980</v>
      </c>
      <c r="F18" s="13">
        <v>4875.9557000000004</v>
      </c>
      <c r="G18" s="14">
        <f t="shared" si="1"/>
        <v>4.6600000000000003E-2</v>
      </c>
      <c r="H18" s="15">
        <v>43098</v>
      </c>
    </row>
    <row r="19" spans="1:11" ht="12.75" customHeight="1" x14ac:dyDescent="0.2">
      <c r="A19">
        <f>+MAX($A$7:A18)+1</f>
        <v>8</v>
      </c>
      <c r="B19" t="s">
        <v>423</v>
      </c>
      <c r="C19" t="s">
        <v>728</v>
      </c>
      <c r="D19" t="s">
        <v>163</v>
      </c>
      <c r="E19" s="28">
        <v>940</v>
      </c>
      <c r="F19" s="13">
        <v>4649.5032000000001</v>
      </c>
      <c r="G19" s="14">
        <f t="shared" si="1"/>
        <v>4.4400000000000002E-2</v>
      </c>
      <c r="H19" s="15">
        <v>43129</v>
      </c>
    </row>
    <row r="20" spans="1:11" ht="12.75" customHeight="1" x14ac:dyDescent="0.2">
      <c r="A20">
        <f>+MAX($A$7:A19)+1</f>
        <v>9</v>
      </c>
      <c r="B20" t="s">
        <v>624</v>
      </c>
      <c r="C20" t="s">
        <v>671</v>
      </c>
      <c r="D20" t="s">
        <v>163</v>
      </c>
      <c r="E20" s="28">
        <v>900</v>
      </c>
      <c r="F20" s="13">
        <v>4482.5895</v>
      </c>
      <c r="G20" s="14">
        <f t="shared" si="1"/>
        <v>4.2799999999999998E-2</v>
      </c>
      <c r="H20" s="15">
        <v>43091</v>
      </c>
    </row>
    <row r="21" spans="1:11" ht="12.75" customHeight="1" x14ac:dyDescent="0.2">
      <c r="A21">
        <f>+MAX($A$7:A20)+1</f>
        <v>10</v>
      </c>
      <c r="B21" t="s">
        <v>624</v>
      </c>
      <c r="C21" t="s">
        <v>707</v>
      </c>
      <c r="D21" t="s">
        <v>163</v>
      </c>
      <c r="E21" s="28">
        <v>880</v>
      </c>
      <c r="F21" s="13">
        <v>4384.2084000000004</v>
      </c>
      <c r="G21" s="14">
        <f t="shared" si="1"/>
        <v>4.19E-2</v>
      </c>
      <c r="H21" s="15">
        <v>43090</v>
      </c>
      <c r="J21" s="14"/>
      <c r="K21" s="48"/>
    </row>
    <row r="22" spans="1:11" ht="12.75" customHeight="1" x14ac:dyDescent="0.2">
      <c r="A22">
        <f>+MAX($A$7:A21)+1</f>
        <v>11</v>
      </c>
      <c r="B22" t="s">
        <v>228</v>
      </c>
      <c r="C22" t="s">
        <v>729</v>
      </c>
      <c r="D22" t="s">
        <v>334</v>
      </c>
      <c r="E22" s="28">
        <v>860</v>
      </c>
      <c r="F22" s="13">
        <v>4278.8869999999997</v>
      </c>
      <c r="G22" s="14">
        <f t="shared" si="1"/>
        <v>4.0899999999999999E-2</v>
      </c>
      <c r="H22" s="15">
        <v>43098</v>
      </c>
      <c r="J22" s="14"/>
      <c r="K22" s="48"/>
    </row>
    <row r="23" spans="1:11" ht="12.75" customHeight="1" x14ac:dyDescent="0.2">
      <c r="A23">
        <f>+MAX($A$7:A22)+1</f>
        <v>12</v>
      </c>
      <c r="B23" t="s">
        <v>660</v>
      </c>
      <c r="C23" t="s">
        <v>670</v>
      </c>
      <c r="D23" t="s">
        <v>296</v>
      </c>
      <c r="E23" s="28">
        <v>800</v>
      </c>
      <c r="F23" s="13">
        <v>3992.6320000000001</v>
      </c>
      <c r="G23" s="14">
        <f t="shared" si="1"/>
        <v>3.8100000000000002E-2</v>
      </c>
      <c r="H23" s="15">
        <v>43080</v>
      </c>
      <c r="J23" s="14"/>
      <c r="K23" s="48"/>
    </row>
    <row r="24" spans="1:11" ht="12.75" customHeight="1" x14ac:dyDescent="0.2">
      <c r="A24">
        <f>+MAX($A$7:A23)+1</f>
        <v>13</v>
      </c>
      <c r="B24" t="s">
        <v>197</v>
      </c>
      <c r="C24" t="s">
        <v>730</v>
      </c>
      <c r="D24" t="s">
        <v>296</v>
      </c>
      <c r="E24" s="28">
        <v>780</v>
      </c>
      <c r="F24" s="13">
        <v>3881.8688999999999</v>
      </c>
      <c r="G24" s="14">
        <f t="shared" si="1"/>
        <v>3.7100000000000001E-2</v>
      </c>
      <c r="H24" s="15">
        <v>43098</v>
      </c>
      <c r="J24" s="14"/>
      <c r="K24" s="48"/>
    </row>
    <row r="25" spans="1:11" ht="12.75" customHeight="1" x14ac:dyDescent="0.2">
      <c r="A25">
        <f>+MAX($A$7:A24)+1</f>
        <v>14</v>
      </c>
      <c r="B25" t="s">
        <v>478</v>
      </c>
      <c r="C25" t="s">
        <v>724</v>
      </c>
      <c r="D25" t="s">
        <v>163</v>
      </c>
      <c r="E25" s="28">
        <v>760</v>
      </c>
      <c r="F25" s="13">
        <v>3754.6432</v>
      </c>
      <c r="G25" s="14">
        <f t="shared" si="1"/>
        <v>3.5900000000000001E-2</v>
      </c>
      <c r="H25" s="15">
        <v>43129</v>
      </c>
      <c r="J25" s="14"/>
    </row>
    <row r="26" spans="1:11" ht="12.75" customHeight="1" x14ac:dyDescent="0.2">
      <c r="A26">
        <f>+MAX($A$7:A25)+1</f>
        <v>15</v>
      </c>
      <c r="B26" t="s">
        <v>731</v>
      </c>
      <c r="C26" t="s">
        <v>732</v>
      </c>
      <c r="D26" t="s">
        <v>296</v>
      </c>
      <c r="E26" s="28">
        <v>500</v>
      </c>
      <c r="F26" s="13">
        <v>2488.77</v>
      </c>
      <c r="G26" s="14">
        <f t="shared" si="1"/>
        <v>2.3800000000000002E-2</v>
      </c>
      <c r="H26" s="15">
        <v>43095</v>
      </c>
      <c r="J26" s="14"/>
    </row>
    <row r="27" spans="1:11" ht="12.75" customHeight="1" x14ac:dyDescent="0.2">
      <c r="A27">
        <f>+MAX($A$7:A26)+1</f>
        <v>16</v>
      </c>
      <c r="B27" t="s">
        <v>297</v>
      </c>
      <c r="C27" t="s">
        <v>694</v>
      </c>
      <c r="D27" t="s">
        <v>659</v>
      </c>
      <c r="E27" s="28">
        <v>500</v>
      </c>
      <c r="F27" s="13">
        <v>2460.9675000000002</v>
      </c>
      <c r="G27" s="14">
        <f t="shared" si="1"/>
        <v>2.35E-2</v>
      </c>
      <c r="H27" s="15">
        <v>43152</v>
      </c>
      <c r="J27" s="14"/>
    </row>
    <row r="28" spans="1:11" ht="12.75" customHeight="1" x14ac:dyDescent="0.2">
      <c r="A28">
        <f>+MAX($A$7:A27)+1</f>
        <v>17</v>
      </c>
      <c r="B28" t="s">
        <v>676</v>
      </c>
      <c r="C28" t="s">
        <v>677</v>
      </c>
      <c r="D28" t="s">
        <v>163</v>
      </c>
      <c r="E28" s="28">
        <v>400</v>
      </c>
      <c r="F28" s="13">
        <v>1988.9659999999999</v>
      </c>
      <c r="G28" s="14">
        <f t="shared" si="1"/>
        <v>1.9E-2</v>
      </c>
      <c r="H28" s="15">
        <v>43097</v>
      </c>
      <c r="J28" s="14"/>
    </row>
    <row r="29" spans="1:11" ht="12.75" customHeight="1" x14ac:dyDescent="0.2">
      <c r="A29">
        <f>+MAX($A$7:A28)+1</f>
        <v>18</v>
      </c>
      <c r="B29" t="s">
        <v>619</v>
      </c>
      <c r="C29" t="s">
        <v>703</v>
      </c>
      <c r="D29" t="s">
        <v>620</v>
      </c>
      <c r="E29" s="28">
        <v>386</v>
      </c>
      <c r="F29" s="13">
        <v>1897.79988</v>
      </c>
      <c r="G29" s="14">
        <f t="shared" si="1"/>
        <v>1.8100000000000002E-2</v>
      </c>
      <c r="H29" s="15">
        <v>43129</v>
      </c>
      <c r="J29" s="14"/>
    </row>
    <row r="30" spans="1:11" ht="12.75" customHeight="1" x14ac:dyDescent="0.2">
      <c r="A30">
        <f>+MAX($A$7:A29)+1</f>
        <v>19</v>
      </c>
      <c r="B30" t="s">
        <v>676</v>
      </c>
      <c r="C30" t="s">
        <v>705</v>
      </c>
      <c r="D30" t="s">
        <v>163</v>
      </c>
      <c r="E30" s="28">
        <v>382</v>
      </c>
      <c r="F30" s="13">
        <v>1886.5700300000001</v>
      </c>
      <c r="G30" s="14">
        <f t="shared" si="1"/>
        <v>1.7999999999999999E-2</v>
      </c>
      <c r="H30" s="15">
        <v>43129</v>
      </c>
      <c r="J30" s="14"/>
    </row>
    <row r="31" spans="1:11" ht="12.75" customHeight="1" x14ac:dyDescent="0.2">
      <c r="A31">
        <f>+MAX($A$7:A30)+1</f>
        <v>20</v>
      </c>
      <c r="B31" t="s">
        <v>708</v>
      </c>
      <c r="C31" t="s">
        <v>709</v>
      </c>
      <c r="D31" t="s">
        <v>163</v>
      </c>
      <c r="E31" s="28">
        <v>207</v>
      </c>
      <c r="F31" s="13">
        <v>1034.4690450000001</v>
      </c>
      <c r="G31" s="14">
        <f t="shared" si="1"/>
        <v>9.9000000000000008E-3</v>
      </c>
      <c r="H31" s="15">
        <v>43073</v>
      </c>
      <c r="J31" s="14"/>
    </row>
    <row r="32" spans="1:11" ht="12.75" customHeight="1" x14ac:dyDescent="0.2">
      <c r="A32">
        <f>+MAX($A$7:A31)+1</f>
        <v>21</v>
      </c>
      <c r="B32" t="s">
        <v>608</v>
      </c>
      <c r="C32" t="s">
        <v>733</v>
      </c>
      <c r="D32" t="s">
        <v>163</v>
      </c>
      <c r="E32" s="28">
        <v>60</v>
      </c>
      <c r="F32" s="13">
        <v>299.8014</v>
      </c>
      <c r="G32" s="14">
        <f t="shared" si="1"/>
        <v>2.8999999999999998E-3</v>
      </c>
      <c r="H32" s="15">
        <v>43074</v>
      </c>
      <c r="J32" s="14"/>
    </row>
    <row r="33" spans="1:9" ht="12.75" customHeight="1" x14ac:dyDescent="0.2">
      <c r="B33" s="18" t="s">
        <v>86</v>
      </c>
      <c r="C33" s="18"/>
      <c r="D33" s="18"/>
      <c r="E33" s="29"/>
      <c r="F33" s="19">
        <f>SUM(F14:F32)</f>
        <v>72780.545555000019</v>
      </c>
      <c r="G33" s="20">
        <f>SUM(G14:G32)</f>
        <v>0.69540000000000013</v>
      </c>
      <c r="H33" s="21"/>
    </row>
    <row r="34" spans="1:9" ht="12.75" customHeight="1" x14ac:dyDescent="0.2">
      <c r="F34" s="13"/>
      <c r="G34" s="14"/>
      <c r="H34" s="15"/>
    </row>
    <row r="35" spans="1:9" ht="12.75" customHeight="1" x14ac:dyDescent="0.2">
      <c r="B35" s="16" t="s">
        <v>170</v>
      </c>
      <c r="C35" s="16"/>
      <c r="F35" s="13"/>
      <c r="G35" s="14"/>
      <c r="H35" s="15"/>
    </row>
    <row r="36" spans="1:9" ht="12.75" customHeight="1" x14ac:dyDescent="0.2">
      <c r="A36">
        <f>+MAX($A$7:A35)+1</f>
        <v>22</v>
      </c>
      <c r="B36" s="1" t="s">
        <v>426</v>
      </c>
      <c r="C36" t="s">
        <v>633</v>
      </c>
      <c r="D36" t="s">
        <v>420</v>
      </c>
      <c r="E36" s="28">
        <v>10000000</v>
      </c>
      <c r="F36" s="13">
        <v>9990.2099999999991</v>
      </c>
      <c r="G36" s="14">
        <f>+ROUND(F36/VLOOKUP("Grand Total",$B$4:$F$270,5,0),4)</f>
        <v>9.5500000000000002E-2</v>
      </c>
      <c r="H36" s="15">
        <v>43076</v>
      </c>
    </row>
    <row r="37" spans="1:9" ht="12.75" customHeight="1" x14ac:dyDescent="0.2">
      <c r="A37">
        <f>+MAX($A$7:A36)+1</f>
        <v>23</v>
      </c>
      <c r="B37" s="1" t="s">
        <v>662</v>
      </c>
      <c r="C37" t="s">
        <v>663</v>
      </c>
      <c r="D37" t="s">
        <v>420</v>
      </c>
      <c r="E37" s="28">
        <v>6500000</v>
      </c>
      <c r="F37" s="13">
        <v>6449.5664999999999</v>
      </c>
      <c r="G37" s="14">
        <f>+ROUND(F37/VLOOKUP("Grand Total",$B$4:$F$270,5,0),4)</f>
        <v>6.1600000000000002E-2</v>
      </c>
      <c r="H37" s="15">
        <v>43117</v>
      </c>
    </row>
    <row r="38" spans="1:9" ht="12.75" customHeight="1" x14ac:dyDescent="0.2">
      <c r="A38">
        <f>+MAX($A$7:A37)+1</f>
        <v>24</v>
      </c>
      <c r="B38" s="1" t="s">
        <v>426</v>
      </c>
      <c r="C38" t="s">
        <v>634</v>
      </c>
      <c r="D38" t="s">
        <v>420</v>
      </c>
      <c r="E38" s="28">
        <v>5572400</v>
      </c>
      <c r="F38" s="13">
        <v>5547.7867091999997</v>
      </c>
      <c r="G38" s="14">
        <f>+ROUND(F38/VLOOKUP("Grand Total",$B$4:$F$270,5,0),4)</f>
        <v>5.2999999999999999E-2</v>
      </c>
      <c r="H38" s="15">
        <v>43097</v>
      </c>
    </row>
    <row r="39" spans="1:9" ht="12.75" customHeight="1" x14ac:dyDescent="0.2">
      <c r="B39" s="18" t="s">
        <v>86</v>
      </c>
      <c r="C39" s="18"/>
      <c r="D39" s="18"/>
      <c r="E39" s="29"/>
      <c r="F39" s="19">
        <f>SUM(F36:F38)</f>
        <v>21987.563209200001</v>
      </c>
      <c r="G39" s="20">
        <f>SUM(G36:G38)</f>
        <v>0.21010000000000001</v>
      </c>
      <c r="H39" s="21"/>
      <c r="I39" s="82"/>
    </row>
    <row r="40" spans="1:9" ht="12.75" customHeight="1" x14ac:dyDescent="0.2">
      <c r="F40" s="13"/>
      <c r="G40" s="14"/>
      <c r="H40" s="15"/>
    </row>
    <row r="41" spans="1:9" ht="12.75" customHeight="1" x14ac:dyDescent="0.2">
      <c r="A41" s="95" t="s">
        <v>387</v>
      </c>
      <c r="B41" s="16" t="s">
        <v>94</v>
      </c>
      <c r="C41" s="16"/>
      <c r="F41" s="13">
        <v>4521.6891099000004</v>
      </c>
      <c r="G41" s="14">
        <f>+ROUND(F41/VLOOKUP("Grand Total",$B$4:$F$270,5,0),4)</f>
        <v>4.3200000000000002E-2</v>
      </c>
      <c r="H41" s="15">
        <v>43073</v>
      </c>
    </row>
    <row r="42" spans="1:9" ht="12.75" customHeight="1" x14ac:dyDescent="0.2">
      <c r="B42" s="18" t="s">
        <v>86</v>
      </c>
      <c r="C42" s="18"/>
      <c r="D42" s="18"/>
      <c r="E42" s="29"/>
      <c r="F42" s="19">
        <f>SUM(F41)</f>
        <v>4521.6891099000004</v>
      </c>
      <c r="G42" s="20">
        <f>SUM(G41)</f>
        <v>4.3200000000000002E-2</v>
      </c>
      <c r="H42" s="21"/>
      <c r="I42" s="82"/>
    </row>
    <row r="43" spans="1:9" ht="12.75" customHeight="1" x14ac:dyDescent="0.2">
      <c r="F43" s="13"/>
      <c r="G43" s="14"/>
      <c r="H43" s="15"/>
    </row>
    <row r="44" spans="1:9" ht="12.75" customHeight="1" x14ac:dyDescent="0.2">
      <c r="B44" s="16" t="s">
        <v>95</v>
      </c>
      <c r="C44" s="16"/>
      <c r="F44" s="13"/>
      <c r="G44" s="14"/>
      <c r="H44" s="15"/>
    </row>
    <row r="45" spans="1:9" ht="12.75" customHeight="1" x14ac:dyDescent="0.2">
      <c r="B45" s="16" t="s">
        <v>96</v>
      </c>
      <c r="C45" s="16"/>
      <c r="F45" s="13">
        <v>73.669317699997919</v>
      </c>
      <c r="G45" s="14">
        <f>+ROUND(F45/VLOOKUP("Grand Total",$B$4:$F$270,5,0),4)</f>
        <v>6.9999999999999999E-4</v>
      </c>
      <c r="H45" s="15"/>
    </row>
    <row r="46" spans="1:9" ht="12.75" customHeight="1" x14ac:dyDescent="0.2">
      <c r="B46" s="18" t="s">
        <v>86</v>
      </c>
      <c r="C46" s="18"/>
      <c r="D46" s="18"/>
      <c r="E46" s="29"/>
      <c r="F46" s="19">
        <f>SUM(F45:F45)</f>
        <v>73.669317699997919</v>
      </c>
      <c r="G46" s="20">
        <f>SUM(G45:G45)</f>
        <v>6.9999999999999999E-4</v>
      </c>
      <c r="H46" s="21"/>
      <c r="I46" s="82"/>
    </row>
    <row r="47" spans="1:9" ht="12.75" customHeight="1" x14ac:dyDescent="0.2">
      <c r="B47" s="22" t="s">
        <v>97</v>
      </c>
      <c r="C47" s="22"/>
      <c r="D47" s="22"/>
      <c r="E47" s="30"/>
      <c r="F47" s="23">
        <f>+SUMIF($B$5:B46,"Total",$F$5:F46)</f>
        <v>104660.64769180003</v>
      </c>
      <c r="G47" s="24">
        <f>+SUMIF($B$5:B46,"Total",$G$5:G46)</f>
        <v>1.0000000000000002</v>
      </c>
      <c r="H47" s="25"/>
      <c r="I47" s="82"/>
    </row>
    <row r="48" spans="1:9" ht="12.75" customHeight="1" x14ac:dyDescent="0.2"/>
    <row r="49" spans="2:7" ht="12.75" customHeight="1" x14ac:dyDescent="0.2">
      <c r="B49" s="16" t="s">
        <v>192</v>
      </c>
      <c r="C49" s="16"/>
    </row>
    <row r="50" spans="2:7" ht="12.75" customHeight="1" x14ac:dyDescent="0.2">
      <c r="B50" s="16" t="s">
        <v>189</v>
      </c>
      <c r="C50" s="16"/>
    </row>
    <row r="51" spans="2:7" ht="12.75" customHeight="1" x14ac:dyDescent="0.2">
      <c r="B51" s="16" t="s">
        <v>755</v>
      </c>
      <c r="C51" s="16"/>
    </row>
    <row r="52" spans="2:7" ht="12.75" customHeight="1" x14ac:dyDescent="0.2">
      <c r="B52" s="16"/>
      <c r="C52" s="16"/>
      <c r="F52" s="43"/>
      <c r="G52" s="43"/>
    </row>
    <row r="53" spans="2:7" ht="12.75" customHeight="1" x14ac:dyDescent="0.2"/>
    <row r="54" spans="2:7" ht="12.75" customHeight="1" x14ac:dyDescent="0.2"/>
    <row r="55" spans="2:7" ht="12.75" customHeight="1" x14ac:dyDescent="0.2"/>
    <row r="56" spans="2:7" ht="12.75" customHeight="1" x14ac:dyDescent="0.2"/>
    <row r="57" spans="2:7" ht="12.75" customHeight="1" x14ac:dyDescent="0.2"/>
    <row r="58" spans="2:7" ht="12.75" customHeight="1" x14ac:dyDescent="0.2"/>
    <row r="59" spans="2:7" ht="12.75" customHeight="1" x14ac:dyDescent="0.2"/>
    <row r="60" spans="2:7" ht="12.75" customHeight="1" x14ac:dyDescent="0.2"/>
    <row r="61" spans="2:7" ht="12.75" customHeight="1" x14ac:dyDescent="0.2"/>
    <row r="62" spans="2:7" ht="12.75" customHeight="1" x14ac:dyDescent="0.2"/>
    <row r="63" spans="2:7" ht="12.75" customHeight="1" x14ac:dyDescent="0.2"/>
    <row r="64" spans="2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sheetProtection password="EDB4" sheet="1" objects="1" scenarios="1"/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67"/>
  <sheetViews>
    <sheetView workbookViewId="0"/>
  </sheetViews>
  <sheetFormatPr defaultColWidth="9.140625" defaultRowHeight="12.75" x14ac:dyDescent="0.2"/>
  <cols>
    <col min="1" max="1" width="6.42578125" style="65" bestFit="1" customWidth="1"/>
    <col min="2" max="2" width="52.42578125" style="65" customWidth="1"/>
    <col min="3" max="3" width="14" style="65" bestFit="1" customWidth="1"/>
    <col min="4" max="4" width="14.85546875" style="65" bestFit="1" customWidth="1"/>
    <col min="5" max="5" width="11" style="85" customWidth="1"/>
    <col min="6" max="6" width="22.7109375" style="65" bestFit="1" customWidth="1"/>
    <col min="7" max="7" width="14" style="65" bestFit="1" customWidth="1"/>
    <col min="8" max="8" width="11.85546875" style="65" bestFit="1" customWidth="1"/>
    <col min="9" max="9" width="15" style="99" customWidth="1"/>
    <col min="10" max="10" width="16.28515625" style="65" bestFit="1" customWidth="1"/>
    <col min="11" max="11" width="8" style="84" customWidth="1"/>
    <col min="12" max="16384" width="9.140625" style="65"/>
  </cols>
  <sheetData>
    <row r="1" spans="1:16" ht="18.75" x14ac:dyDescent="0.2">
      <c r="A1" s="109" t="s">
        <v>405</v>
      </c>
      <c r="B1" s="124" t="s">
        <v>500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110"/>
      <c r="D2" s="111"/>
      <c r="E2" s="112"/>
      <c r="F2" s="113"/>
      <c r="G2" s="114"/>
      <c r="H2" s="114"/>
    </row>
    <row r="3" spans="1:16" ht="15.75" customHeight="1" x14ac:dyDescent="0.2">
      <c r="A3" s="115"/>
      <c r="B3" s="116"/>
      <c r="C3" s="116"/>
      <c r="D3" s="117"/>
      <c r="E3" s="112"/>
      <c r="F3" s="113"/>
      <c r="G3" s="114"/>
      <c r="H3" s="114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118"/>
    </row>
    <row r="5" spans="1:16" ht="12.75" customHeight="1" x14ac:dyDescent="0.2">
      <c r="F5" s="86"/>
      <c r="G5" s="90"/>
      <c r="H5" s="89"/>
    </row>
    <row r="6" spans="1:16" ht="12.75" customHeight="1" x14ac:dyDescent="0.2">
      <c r="F6" s="86"/>
      <c r="G6" s="90"/>
      <c r="H6" s="89"/>
    </row>
    <row r="7" spans="1:16" ht="12.75" customHeight="1" x14ac:dyDescent="0.2">
      <c r="B7" s="16" t="s">
        <v>92</v>
      </c>
      <c r="C7" s="16"/>
      <c r="F7" s="86"/>
      <c r="G7" s="90"/>
      <c r="H7" s="89"/>
    </row>
    <row r="8" spans="1:16" ht="12.75" customHeight="1" x14ac:dyDescent="0.2">
      <c r="B8" s="16" t="s">
        <v>358</v>
      </c>
      <c r="F8" s="86"/>
      <c r="G8" s="90"/>
      <c r="H8" s="89"/>
      <c r="J8" s="17" t="s">
        <v>4</v>
      </c>
      <c r="K8" s="37" t="s">
        <v>12</v>
      </c>
    </row>
    <row r="9" spans="1:16" ht="12.75" customHeight="1" x14ac:dyDescent="0.2">
      <c r="A9" s="65">
        <f>+MAX($A$7:A8)+1</f>
        <v>1</v>
      </c>
      <c r="B9" s="65" t="s">
        <v>614</v>
      </c>
      <c r="C9" s="65" t="s">
        <v>615</v>
      </c>
      <c r="D9" s="65" t="s">
        <v>164</v>
      </c>
      <c r="E9" s="85">
        <v>850</v>
      </c>
      <c r="F9" s="86">
        <v>849.00975000000005</v>
      </c>
      <c r="G9" s="90">
        <f>+ROUND(F9/VLOOKUP("Grand Total",$B$4:$F$304,5,0),4)</f>
        <v>8.5599999999999996E-2</v>
      </c>
      <c r="H9" s="89">
        <v>43077</v>
      </c>
      <c r="J9" s="90" t="s">
        <v>163</v>
      </c>
      <c r="K9" s="103">
        <f>SUMIFS($G$5:$G$324,$D$5:$D$324,J9)</f>
        <v>0.373</v>
      </c>
    </row>
    <row r="10" spans="1:16" ht="12.75" customHeight="1" x14ac:dyDescent="0.2">
      <c r="A10" s="65">
        <f>+MAX($A$7:A9)+1</f>
        <v>2</v>
      </c>
      <c r="B10" s="65" t="s">
        <v>198</v>
      </c>
      <c r="C10" s="65" t="s">
        <v>613</v>
      </c>
      <c r="D10" s="65" t="s">
        <v>296</v>
      </c>
      <c r="E10" s="85">
        <v>200</v>
      </c>
      <c r="F10" s="86">
        <v>193.3212</v>
      </c>
      <c r="G10" s="90">
        <f>+ROUND(F10/VLOOKUP("Grand Total",$B$4:$F$304,5,0),4)</f>
        <v>1.95E-2</v>
      </c>
      <c r="H10" s="89">
        <v>43264</v>
      </c>
      <c r="J10" s="90" t="s">
        <v>296</v>
      </c>
      <c r="K10" s="103">
        <f>SUMIFS($G$5:$G$324,$D$5:$D$324,J10)</f>
        <v>0.32609999999999995</v>
      </c>
    </row>
    <row r="11" spans="1:16" ht="12.75" customHeight="1" x14ac:dyDescent="0.2">
      <c r="B11" s="18" t="s">
        <v>86</v>
      </c>
      <c r="C11" s="18"/>
      <c r="D11" s="18"/>
      <c r="E11" s="29"/>
      <c r="F11" s="19">
        <f>SUM(F9:F10)</f>
        <v>1042.33095</v>
      </c>
      <c r="G11" s="20">
        <f>SUM(G9:G10)</f>
        <v>0.1051</v>
      </c>
      <c r="H11" s="21"/>
      <c r="I11" s="82"/>
      <c r="J11" s="65" t="s">
        <v>164</v>
      </c>
      <c r="K11" s="103">
        <f>SUMIFS($G$5:$G$324,$D$5:$D$324,J11)</f>
        <v>8.5599999999999996E-2</v>
      </c>
    </row>
    <row r="12" spans="1:16" ht="12.75" customHeight="1" x14ac:dyDescent="0.2">
      <c r="B12" s="16"/>
      <c r="C12" s="16"/>
      <c r="F12" s="86"/>
      <c r="G12" s="90"/>
      <c r="H12" s="89"/>
      <c r="J12" s="14" t="s">
        <v>659</v>
      </c>
      <c r="K12" s="103">
        <f t="shared" ref="K12:K14" si="0">SUMIFS($G$5:$G$324,$D$5:$D$324,J12)</f>
        <v>8.4000000000000005E-2</v>
      </c>
      <c r="L12" s="84"/>
      <c r="M12" s="90"/>
    </row>
    <row r="13" spans="1:16" ht="12.75" customHeight="1" x14ac:dyDescent="0.2">
      <c r="B13" s="16" t="s">
        <v>314</v>
      </c>
      <c r="C13" s="16"/>
      <c r="F13" s="86"/>
      <c r="G13" s="90"/>
      <c r="H13" s="89"/>
      <c r="J13" s="14" t="s">
        <v>334</v>
      </c>
      <c r="K13" s="103">
        <f t="shared" si="0"/>
        <v>7.0300000000000001E-2</v>
      </c>
      <c r="L13" s="84"/>
      <c r="M13" s="90"/>
    </row>
    <row r="14" spans="1:16" ht="12.75" customHeight="1" x14ac:dyDescent="0.2">
      <c r="A14" s="65">
        <f>+MAX($A$7:A13)+1</f>
        <v>3</v>
      </c>
      <c r="B14" s="65" t="s">
        <v>197</v>
      </c>
      <c r="C14" s="65" t="s">
        <v>730</v>
      </c>
      <c r="D14" s="65" t="s">
        <v>296</v>
      </c>
      <c r="E14" s="119">
        <v>220</v>
      </c>
      <c r="F14" s="91">
        <v>1094.8860999999999</v>
      </c>
      <c r="G14" s="90">
        <f t="shared" ref="G14:G25" si="1">+ROUND(F14/VLOOKUP("Grand Total",$B$4:$F$304,5,0),4)</f>
        <v>0.1104</v>
      </c>
      <c r="H14" s="89">
        <v>43098</v>
      </c>
      <c r="J14" s="90" t="s">
        <v>420</v>
      </c>
      <c r="K14" s="103">
        <f t="shared" si="0"/>
        <v>2.92E-2</v>
      </c>
      <c r="L14" s="84"/>
      <c r="M14" s="90"/>
    </row>
    <row r="15" spans="1:16" ht="12.75" customHeight="1" x14ac:dyDescent="0.2">
      <c r="A15" s="65">
        <f>+MAX($A$7:A14)+1</f>
        <v>4</v>
      </c>
      <c r="B15" s="120" t="s">
        <v>708</v>
      </c>
      <c r="C15" s="65" t="s">
        <v>709</v>
      </c>
      <c r="D15" s="65" t="s">
        <v>163</v>
      </c>
      <c r="E15" s="119">
        <v>164</v>
      </c>
      <c r="F15" s="91">
        <v>819.57934</v>
      </c>
      <c r="G15" s="90">
        <f t="shared" si="1"/>
        <v>8.2699999999999996E-2</v>
      </c>
      <c r="H15" s="89">
        <v>43073</v>
      </c>
      <c r="J15" s="14" t="s">
        <v>64</v>
      </c>
      <c r="K15" s="48">
        <f>+SUMIFS($G$5:$G$999,$B$5:$B$999,"CBLO / Reverse Repo Investments")+SUMIFS($G$5:$G$999,$B$5:$B$999,"Net Receivable/Payable")</f>
        <v>3.1799999999999995E-2</v>
      </c>
      <c r="L15" s="78"/>
      <c r="M15" s="90"/>
      <c r="N15" s="84"/>
      <c r="P15" s="90"/>
    </row>
    <row r="16" spans="1:16" ht="12.75" customHeight="1" x14ac:dyDescent="0.2">
      <c r="A16" s="65">
        <f>+MAX($A$7:A15)+1</f>
        <v>5</v>
      </c>
      <c r="B16" s="120" t="s">
        <v>228</v>
      </c>
      <c r="C16" s="65" t="s">
        <v>729</v>
      </c>
      <c r="D16" s="65" t="s">
        <v>334</v>
      </c>
      <c r="E16" s="119">
        <v>140</v>
      </c>
      <c r="F16" s="91">
        <v>696.56299999999999</v>
      </c>
      <c r="G16" s="90">
        <f t="shared" si="1"/>
        <v>7.0300000000000001E-2</v>
      </c>
      <c r="H16" s="89">
        <v>43098</v>
      </c>
      <c r="J16" s="90"/>
      <c r="L16" s="78"/>
      <c r="M16" s="90"/>
      <c r="N16" s="84"/>
      <c r="P16" s="90"/>
    </row>
    <row r="17" spans="1:16" ht="12.75" customHeight="1" x14ac:dyDescent="0.2">
      <c r="A17" s="65">
        <f>+MAX($A$7:A16)+1</f>
        <v>6</v>
      </c>
      <c r="B17" s="120" t="s">
        <v>478</v>
      </c>
      <c r="C17" s="65" t="s">
        <v>724</v>
      </c>
      <c r="D17" s="65" t="s">
        <v>163</v>
      </c>
      <c r="E17" s="119">
        <v>140</v>
      </c>
      <c r="F17" s="91">
        <v>691.64480000000003</v>
      </c>
      <c r="G17" s="90">
        <f t="shared" si="1"/>
        <v>6.9800000000000001E-2</v>
      </c>
      <c r="H17" s="89">
        <v>43129</v>
      </c>
      <c r="L17" s="78"/>
      <c r="M17" s="90"/>
      <c r="N17" s="84"/>
      <c r="P17" s="90"/>
    </row>
    <row r="18" spans="1:16" ht="12.75" customHeight="1" x14ac:dyDescent="0.2">
      <c r="A18" s="65">
        <f>+MAX($A$7:A17)+1</f>
        <v>7</v>
      </c>
      <c r="B18" s="120" t="s">
        <v>206</v>
      </c>
      <c r="C18" s="65" t="s">
        <v>575</v>
      </c>
      <c r="D18" s="65" t="s">
        <v>296</v>
      </c>
      <c r="E18" s="119">
        <v>140</v>
      </c>
      <c r="F18" s="91">
        <v>672.80150000000003</v>
      </c>
      <c r="G18" s="90">
        <f t="shared" si="1"/>
        <v>6.7900000000000002E-2</v>
      </c>
      <c r="H18" s="89">
        <v>43269</v>
      </c>
      <c r="L18" s="78"/>
      <c r="M18" s="90"/>
      <c r="N18" s="84"/>
      <c r="P18" s="90"/>
    </row>
    <row r="19" spans="1:16" ht="12.75" customHeight="1" x14ac:dyDescent="0.2">
      <c r="A19" s="65">
        <f>+MAX($A$7:A18)+1</f>
        <v>8</v>
      </c>
      <c r="B19" s="120" t="s">
        <v>660</v>
      </c>
      <c r="C19" s="65" t="s">
        <v>661</v>
      </c>
      <c r="D19" s="65" t="s">
        <v>296</v>
      </c>
      <c r="E19" s="119">
        <v>120</v>
      </c>
      <c r="F19" s="91">
        <v>576.07140000000004</v>
      </c>
      <c r="G19" s="90">
        <f t="shared" si="1"/>
        <v>5.8099999999999999E-2</v>
      </c>
      <c r="H19" s="89">
        <v>43265</v>
      </c>
      <c r="L19" s="78"/>
      <c r="M19" s="90"/>
      <c r="N19" s="84"/>
      <c r="P19" s="90"/>
    </row>
    <row r="20" spans="1:16" ht="12.75" customHeight="1" x14ac:dyDescent="0.2">
      <c r="A20" s="65">
        <f>+MAX($A$7:A19)+1</f>
        <v>9</v>
      </c>
      <c r="B20" s="120" t="s">
        <v>297</v>
      </c>
      <c r="C20" s="65" t="s">
        <v>612</v>
      </c>
      <c r="D20" s="65" t="s">
        <v>659</v>
      </c>
      <c r="E20" s="119">
        <v>118</v>
      </c>
      <c r="F20" s="91">
        <v>555.12333000000001</v>
      </c>
      <c r="G20" s="90">
        <f t="shared" si="1"/>
        <v>5.6000000000000001E-2</v>
      </c>
      <c r="H20" s="89">
        <v>43350</v>
      </c>
      <c r="L20" s="78"/>
      <c r="M20" s="90"/>
      <c r="N20" s="84"/>
      <c r="P20" s="90"/>
    </row>
    <row r="21" spans="1:16" ht="12.75" customHeight="1" x14ac:dyDescent="0.2">
      <c r="A21" s="65">
        <f>+MAX($A$7:A20)+1</f>
        <v>10</v>
      </c>
      <c r="B21" s="120" t="s">
        <v>617</v>
      </c>
      <c r="C21" s="65" t="s">
        <v>618</v>
      </c>
      <c r="D21" s="65" t="s">
        <v>163</v>
      </c>
      <c r="E21" s="119">
        <v>100</v>
      </c>
      <c r="F21" s="91">
        <v>499.4205</v>
      </c>
      <c r="G21" s="90">
        <f t="shared" si="1"/>
        <v>5.04E-2</v>
      </c>
      <c r="H21" s="89">
        <v>43077</v>
      </c>
      <c r="L21" s="78"/>
      <c r="M21" s="90"/>
      <c r="N21" s="84"/>
      <c r="P21" s="90"/>
    </row>
    <row r="22" spans="1:16" ht="12.75" customHeight="1" x14ac:dyDescent="0.2">
      <c r="A22" s="65">
        <f>+MAX($A$7:A21)+1</f>
        <v>11</v>
      </c>
      <c r="B22" s="120" t="s">
        <v>676</v>
      </c>
      <c r="C22" s="65" t="s">
        <v>677</v>
      </c>
      <c r="D22" s="65" t="s">
        <v>163</v>
      </c>
      <c r="E22" s="119">
        <v>100</v>
      </c>
      <c r="F22" s="91">
        <v>497.24149999999997</v>
      </c>
      <c r="G22" s="90">
        <f t="shared" si="1"/>
        <v>5.0200000000000002E-2</v>
      </c>
      <c r="H22" s="89">
        <v>43097</v>
      </c>
      <c r="L22" s="78"/>
      <c r="M22" s="90"/>
      <c r="N22" s="84"/>
      <c r="P22" s="90"/>
    </row>
    <row r="23" spans="1:16" ht="12.75" customHeight="1" x14ac:dyDescent="0.2">
      <c r="A23" s="65">
        <f>+MAX($A$7:A22)+1</f>
        <v>12</v>
      </c>
      <c r="B23" s="120" t="s">
        <v>546</v>
      </c>
      <c r="C23" s="65" t="s">
        <v>727</v>
      </c>
      <c r="D23" s="65" t="s">
        <v>296</v>
      </c>
      <c r="E23" s="119">
        <v>80</v>
      </c>
      <c r="F23" s="91">
        <v>397.87520000000001</v>
      </c>
      <c r="G23" s="90">
        <f t="shared" si="1"/>
        <v>4.0099999999999997E-2</v>
      </c>
      <c r="H23" s="89">
        <v>43096</v>
      </c>
      <c r="L23" s="78"/>
      <c r="M23" s="90"/>
      <c r="N23" s="84"/>
      <c r="P23" s="90"/>
    </row>
    <row r="24" spans="1:16" ht="12.75" customHeight="1" x14ac:dyDescent="0.2">
      <c r="A24" s="65">
        <f>+MAX($A$7:A23)+1</f>
        <v>13</v>
      </c>
      <c r="B24" s="120" t="s">
        <v>362</v>
      </c>
      <c r="C24" s="65" t="s">
        <v>576</v>
      </c>
      <c r="D24" s="65" t="s">
        <v>163</v>
      </c>
      <c r="E24" s="119">
        <v>82</v>
      </c>
      <c r="F24" s="91">
        <v>393.89848000000001</v>
      </c>
      <c r="G24" s="90">
        <f t="shared" si="1"/>
        <v>3.9699999999999999E-2</v>
      </c>
      <c r="H24" s="89">
        <v>43273</v>
      </c>
      <c r="L24" s="78"/>
      <c r="M24" s="90"/>
      <c r="N24" s="84"/>
      <c r="P24" s="90"/>
    </row>
    <row r="25" spans="1:16" ht="12.75" customHeight="1" x14ac:dyDescent="0.2">
      <c r="A25" s="65">
        <f>+MAX($A$7:A24)+1</f>
        <v>14</v>
      </c>
      <c r="B25" s="120" t="s">
        <v>660</v>
      </c>
      <c r="C25" s="65" t="s">
        <v>700</v>
      </c>
      <c r="D25" s="65" t="s">
        <v>296</v>
      </c>
      <c r="E25" s="119">
        <v>60</v>
      </c>
      <c r="F25" s="91">
        <v>298.44959999999998</v>
      </c>
      <c r="G25" s="90">
        <f t="shared" si="1"/>
        <v>3.0099999999999998E-2</v>
      </c>
      <c r="H25" s="89">
        <v>43098</v>
      </c>
      <c r="L25" s="78"/>
      <c r="M25" s="90"/>
      <c r="N25" s="84"/>
      <c r="P25" s="90"/>
    </row>
    <row r="26" spans="1:16" ht="12.75" customHeight="1" x14ac:dyDescent="0.2">
      <c r="A26" s="65">
        <f>+MAX($A$7:A25)+1</f>
        <v>15</v>
      </c>
      <c r="B26" s="120" t="s">
        <v>423</v>
      </c>
      <c r="C26" s="65" t="s">
        <v>728</v>
      </c>
      <c r="D26" s="65" t="s">
        <v>163</v>
      </c>
      <c r="E26" s="119">
        <v>60</v>
      </c>
      <c r="F26" s="91">
        <v>296.77679999999998</v>
      </c>
      <c r="G26" s="90">
        <f t="shared" ref="G26:G30" si="2">+ROUND(F26/VLOOKUP("Grand Total",$B$4:$F$304,5,0),4)</f>
        <v>2.9899999999999999E-2</v>
      </c>
      <c r="H26" s="89">
        <v>43129</v>
      </c>
      <c r="L26" s="78"/>
      <c r="M26" s="90"/>
      <c r="N26" s="84"/>
      <c r="P26" s="90"/>
    </row>
    <row r="27" spans="1:16" ht="12.75" customHeight="1" x14ac:dyDescent="0.2">
      <c r="A27" s="65">
        <f>+MAX($A$7:A26)+1</f>
        <v>16</v>
      </c>
      <c r="B27" s="120" t="s">
        <v>297</v>
      </c>
      <c r="C27" s="65" t="s">
        <v>702</v>
      </c>
      <c r="D27" s="65" t="s">
        <v>659</v>
      </c>
      <c r="E27" s="119">
        <v>60</v>
      </c>
      <c r="F27" s="91">
        <v>277.42590000000001</v>
      </c>
      <c r="G27" s="90">
        <f t="shared" si="2"/>
        <v>2.8000000000000001E-2</v>
      </c>
      <c r="H27" s="89">
        <v>43430</v>
      </c>
      <c r="L27" s="78"/>
      <c r="M27" s="90"/>
      <c r="N27" s="84"/>
      <c r="P27" s="90"/>
    </row>
    <row r="28" spans="1:16" ht="12.75" customHeight="1" x14ac:dyDescent="0.2">
      <c r="A28" s="65">
        <f>+MAX($A$7:A27)+1</f>
        <v>17</v>
      </c>
      <c r="B28" s="120" t="s">
        <v>608</v>
      </c>
      <c r="C28" s="65" t="s">
        <v>733</v>
      </c>
      <c r="D28" s="65" t="s">
        <v>163</v>
      </c>
      <c r="E28" s="119">
        <v>40</v>
      </c>
      <c r="F28" s="91">
        <v>199.86760000000001</v>
      </c>
      <c r="G28" s="90">
        <f t="shared" si="2"/>
        <v>2.0199999999999999E-2</v>
      </c>
      <c r="H28" s="89">
        <v>43074</v>
      </c>
      <c r="L28" s="78"/>
      <c r="M28" s="90"/>
      <c r="N28" s="84"/>
      <c r="P28" s="90"/>
    </row>
    <row r="29" spans="1:16" ht="12.75" customHeight="1" x14ac:dyDescent="0.2">
      <c r="A29" s="65">
        <f>+MAX($A$7:A28)+1</f>
        <v>18</v>
      </c>
      <c r="B29" s="120" t="s">
        <v>624</v>
      </c>
      <c r="C29" s="65" t="s">
        <v>707</v>
      </c>
      <c r="D29" s="65" t="s">
        <v>163</v>
      </c>
      <c r="E29" s="119">
        <v>40</v>
      </c>
      <c r="F29" s="91">
        <v>199.28219999999999</v>
      </c>
      <c r="G29" s="90">
        <f t="shared" si="2"/>
        <v>2.01E-2</v>
      </c>
      <c r="H29" s="89">
        <v>43090</v>
      </c>
      <c r="L29" s="78"/>
      <c r="M29" s="90"/>
      <c r="N29" s="84"/>
      <c r="P29" s="90"/>
    </row>
    <row r="30" spans="1:16" ht="12.75" customHeight="1" x14ac:dyDescent="0.2">
      <c r="A30" s="65">
        <f>+MAX($A$7:A29)+1</f>
        <v>19</v>
      </c>
      <c r="B30" s="120" t="s">
        <v>674</v>
      </c>
      <c r="C30" s="65" t="s">
        <v>675</v>
      </c>
      <c r="D30" s="65" t="s">
        <v>163</v>
      </c>
      <c r="E30" s="119">
        <v>20</v>
      </c>
      <c r="F30" s="91">
        <v>99.509299999999996</v>
      </c>
      <c r="G30" s="90">
        <f t="shared" si="2"/>
        <v>0.01</v>
      </c>
      <c r="H30" s="89">
        <v>43098</v>
      </c>
      <c r="L30" s="78"/>
      <c r="M30" s="90"/>
      <c r="N30" s="84"/>
      <c r="P30" s="90"/>
    </row>
    <row r="31" spans="1:16" ht="12.75" customHeight="1" x14ac:dyDescent="0.2">
      <c r="B31" s="18" t="s">
        <v>86</v>
      </c>
      <c r="C31" s="18"/>
      <c r="D31" s="18"/>
      <c r="E31" s="29"/>
      <c r="F31" s="19">
        <f>SUM(F14:F30)</f>
        <v>8266.4165499999999</v>
      </c>
      <c r="G31" s="20">
        <f>SUM(G14:G30)</f>
        <v>0.83390000000000009</v>
      </c>
      <c r="H31" s="21"/>
      <c r="I31" s="82"/>
      <c r="J31" s="90"/>
      <c r="L31" s="78">
        <f>SUM(K11:K31)</f>
        <v>0.3009</v>
      </c>
    </row>
    <row r="32" spans="1:16" ht="12.75" customHeight="1" x14ac:dyDescent="0.2">
      <c r="F32" s="86"/>
      <c r="G32" s="90"/>
      <c r="H32" s="89"/>
    </row>
    <row r="33" spans="1:9" ht="12.75" customHeight="1" x14ac:dyDescent="0.2">
      <c r="B33" s="16" t="s">
        <v>170</v>
      </c>
      <c r="C33" s="16"/>
      <c r="F33" s="86"/>
      <c r="G33" s="90"/>
      <c r="H33" s="89"/>
    </row>
    <row r="34" spans="1:9" ht="12.75" customHeight="1" x14ac:dyDescent="0.2">
      <c r="A34" s="65">
        <f>+MAX($A$7:A33)+1</f>
        <v>20</v>
      </c>
      <c r="B34" s="65" t="s">
        <v>426</v>
      </c>
      <c r="C34" s="65" t="s">
        <v>621</v>
      </c>
      <c r="D34" s="65" t="s">
        <v>420</v>
      </c>
      <c r="E34" s="85">
        <v>260400</v>
      </c>
      <c r="F34" s="86">
        <v>259.54614839999999</v>
      </c>
      <c r="G34" s="90">
        <f>+ROUND(F34/VLOOKUP("Grand Total",$B$4:$F$304,5,0),4)</f>
        <v>2.6200000000000001E-2</v>
      </c>
      <c r="H34" s="89">
        <v>43090</v>
      </c>
    </row>
    <row r="35" spans="1:9" ht="12.75" customHeight="1" x14ac:dyDescent="0.2">
      <c r="A35" s="65">
        <f>+MAX($A$7:A34)+1</f>
        <v>21</v>
      </c>
      <c r="B35" s="65" t="s">
        <v>695</v>
      </c>
      <c r="C35" s="65" t="s">
        <v>696</v>
      </c>
      <c r="D35" s="65" t="s">
        <v>420</v>
      </c>
      <c r="E35" s="85">
        <v>30000</v>
      </c>
      <c r="F35" s="86">
        <v>29.494350000000001</v>
      </c>
      <c r="G35" s="90">
        <f>+ROUND(F35/VLOOKUP("Grand Total",$B$4:$F$304,5,0),4)</f>
        <v>3.0000000000000001E-3</v>
      </c>
      <c r="H35" s="89">
        <v>43172</v>
      </c>
    </row>
    <row r="36" spans="1:9" ht="12.75" customHeight="1" x14ac:dyDescent="0.2">
      <c r="B36" s="18" t="s">
        <v>86</v>
      </c>
      <c r="C36" s="18"/>
      <c r="D36" s="18"/>
      <c r="E36" s="29"/>
      <c r="F36" s="19">
        <f>SUM(F34:F35)</f>
        <v>289.04049839999999</v>
      </c>
      <c r="G36" s="20">
        <f>SUM(G34:G35)</f>
        <v>2.92E-2</v>
      </c>
      <c r="H36" s="21"/>
      <c r="I36" s="82"/>
    </row>
    <row r="37" spans="1:9" ht="12.75" customHeight="1" x14ac:dyDescent="0.2">
      <c r="F37" s="86"/>
      <c r="G37" s="90"/>
      <c r="H37" s="89"/>
    </row>
    <row r="38" spans="1:9" ht="12.75" customHeight="1" x14ac:dyDescent="0.2">
      <c r="A38" s="95" t="s">
        <v>387</v>
      </c>
      <c r="B38" s="16" t="s">
        <v>94</v>
      </c>
      <c r="C38" s="16"/>
      <c r="F38" s="86">
        <v>583.37294059999999</v>
      </c>
      <c r="G38" s="90">
        <f>+ROUND(F38/VLOOKUP("Grand Total",$B$4:$F$304,5,0),4)</f>
        <v>5.8799999999999998E-2</v>
      </c>
      <c r="H38" s="89">
        <v>43073</v>
      </c>
    </row>
    <row r="39" spans="1:9" ht="12.75" customHeight="1" x14ac:dyDescent="0.2">
      <c r="B39" s="18" t="s">
        <v>86</v>
      </c>
      <c r="C39" s="18"/>
      <c r="D39" s="18"/>
      <c r="E39" s="29"/>
      <c r="F39" s="19">
        <f>SUM(F38)</f>
        <v>583.37294059999999</v>
      </c>
      <c r="G39" s="20">
        <f>SUM(G38)</f>
        <v>5.8799999999999998E-2</v>
      </c>
      <c r="H39" s="21"/>
      <c r="I39" s="82"/>
    </row>
    <row r="40" spans="1:9" ht="12.75" customHeight="1" x14ac:dyDescent="0.2">
      <c r="F40" s="86"/>
      <c r="G40" s="90"/>
      <c r="H40" s="89"/>
    </row>
    <row r="41" spans="1:9" ht="12.75" customHeight="1" x14ac:dyDescent="0.2">
      <c r="B41" s="16" t="s">
        <v>95</v>
      </c>
      <c r="C41" s="16"/>
      <c r="F41" s="86"/>
      <c r="G41" s="90"/>
      <c r="H41" s="89"/>
    </row>
    <row r="42" spans="1:9" ht="12.75" customHeight="1" x14ac:dyDescent="0.2">
      <c r="B42" s="16" t="s">
        <v>96</v>
      </c>
      <c r="C42" s="16"/>
      <c r="F42" s="86">
        <v>-267.29410050000297</v>
      </c>
      <c r="G42" s="90">
        <f>+ROUND(F42/VLOOKUP("Grand Total",$B$4:$F$304,5,0),4)</f>
        <v>-2.7E-2</v>
      </c>
      <c r="H42" s="89"/>
    </row>
    <row r="43" spans="1:9" ht="12.75" customHeight="1" x14ac:dyDescent="0.2">
      <c r="B43" s="18" t="s">
        <v>86</v>
      </c>
      <c r="C43" s="18"/>
      <c r="D43" s="18"/>
      <c r="E43" s="29"/>
      <c r="F43" s="19">
        <f>SUM(F42)</f>
        <v>-267.29410050000297</v>
      </c>
      <c r="G43" s="20">
        <f>SUM(G42)</f>
        <v>-2.7E-2</v>
      </c>
      <c r="H43" s="21"/>
      <c r="I43" s="82"/>
    </row>
    <row r="44" spans="1:9" ht="12.75" customHeight="1" x14ac:dyDescent="0.2">
      <c r="B44" s="22" t="s">
        <v>97</v>
      </c>
      <c r="C44" s="22"/>
      <c r="D44" s="22"/>
      <c r="E44" s="30"/>
      <c r="F44" s="23">
        <f>+SUMIF($B$5:B43,"Total",$F$5:F43)</f>
        <v>9913.8668384999964</v>
      </c>
      <c r="G44" s="24">
        <f>+SUMIF($B$5:B43,"Total",$G$5:G43)</f>
        <v>1.0000000000000002</v>
      </c>
      <c r="H44" s="25"/>
      <c r="I44" s="82"/>
    </row>
    <row r="45" spans="1:9" ht="12.75" customHeight="1" x14ac:dyDescent="0.2"/>
    <row r="46" spans="1:9" ht="12.75" customHeight="1" x14ac:dyDescent="0.2">
      <c r="B46" s="16" t="s">
        <v>192</v>
      </c>
      <c r="C46" s="16"/>
    </row>
    <row r="47" spans="1:9" ht="12.75" customHeight="1" x14ac:dyDescent="0.2">
      <c r="B47" s="16" t="s">
        <v>189</v>
      </c>
      <c r="C47" s="16"/>
    </row>
    <row r="48" spans="1:9" ht="12.75" customHeight="1" x14ac:dyDescent="0.2">
      <c r="B48" s="16"/>
      <c r="C48" s="16"/>
    </row>
    <row r="49" spans="2:3" ht="12.75" customHeight="1" x14ac:dyDescent="0.2">
      <c r="B49" s="16"/>
      <c r="C49" s="16"/>
    </row>
    <row r="50" spans="2:3" ht="12.75" customHeight="1" x14ac:dyDescent="0.2">
      <c r="B50" s="16"/>
      <c r="C50" s="16"/>
    </row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</sheetData>
  <sheetProtection password="EDB4" sheet="1" objects="1" scenarios="1"/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406</v>
      </c>
      <c r="B1" s="124" t="s">
        <v>526</v>
      </c>
      <c r="C1" s="125"/>
      <c r="D1" s="125"/>
      <c r="E1" s="125"/>
      <c r="F1" s="125"/>
      <c r="G1" s="125"/>
      <c r="H1" s="126"/>
    </row>
    <row r="2" spans="1:12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93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482</v>
      </c>
      <c r="C8" t="s">
        <v>307</v>
      </c>
      <c r="D8" t="s">
        <v>327</v>
      </c>
      <c r="E8" s="28">
        <v>155961.65919999999</v>
      </c>
      <c r="F8" s="13">
        <v>48.528250100000001</v>
      </c>
      <c r="G8" s="14">
        <f>+ROUND(F8/VLOOKUP("Grand Total",$B$4:$F$298,5,0),4)</f>
        <v>0.39560000000000001</v>
      </c>
      <c r="H8" s="15" t="s">
        <v>388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483</v>
      </c>
      <c r="C9" t="s">
        <v>308</v>
      </c>
      <c r="D9" t="s">
        <v>327</v>
      </c>
      <c r="E9" s="28">
        <v>60527.780599999998</v>
      </c>
      <c r="F9" s="13">
        <v>37.884337899999998</v>
      </c>
      <c r="G9" s="14">
        <f>+ROUND(F9/VLOOKUP("Grand Total",$B$4:$F$298,5,0),4)</f>
        <v>0.30880000000000002</v>
      </c>
      <c r="H9" s="15" t="s">
        <v>388</v>
      </c>
      <c r="J9" s="14" t="s">
        <v>327</v>
      </c>
      <c r="K9" s="48">
        <f>SUMIFS($G$5:$G$321,$D$5:$D$321,J9)</f>
        <v>0.98940000000000006</v>
      </c>
    </row>
    <row r="10" spans="1:12" ht="12.75" customHeight="1" x14ac:dyDescent="0.2">
      <c r="A10">
        <f>+MAX($A$7:A9)+1</f>
        <v>3</v>
      </c>
      <c r="B10" t="s">
        <v>344</v>
      </c>
      <c r="C10" t="s">
        <v>309</v>
      </c>
      <c r="D10" t="s">
        <v>327</v>
      </c>
      <c r="E10" s="28">
        <v>746.67880000000002</v>
      </c>
      <c r="F10" s="13">
        <v>20.865902500000001</v>
      </c>
      <c r="G10" s="14">
        <f>+ROUND(F10/VLOOKUP("Grand Total",$B$4:$F$298,5,0),4)</f>
        <v>0.1701</v>
      </c>
      <c r="H10" s="15" t="s">
        <v>388</v>
      </c>
      <c r="J10" s="14" t="s">
        <v>64</v>
      </c>
      <c r="K10" s="48">
        <f>+SUMIFS($G$5:$G$999,$B$5:$B$999,"CBLO / Reverse Repo Investments")+SUMIFS($G$5:$G$999,$B$5:$B$999,"Net Receivable/Payable")</f>
        <v>1.06E-2</v>
      </c>
    </row>
    <row r="11" spans="1:12" ht="12.75" customHeight="1" x14ac:dyDescent="0.2">
      <c r="A11">
        <f>+MAX($A$7:A10)+1</f>
        <v>4</v>
      </c>
      <c r="B11" t="s">
        <v>311</v>
      </c>
      <c r="C11" t="s">
        <v>310</v>
      </c>
      <c r="D11" t="s">
        <v>327</v>
      </c>
      <c r="E11" s="28">
        <v>12368.0046</v>
      </c>
      <c r="F11" s="13">
        <v>14.090867599999999</v>
      </c>
      <c r="G11" s="14">
        <f>+ROUND(F11/VLOOKUP("Grand Total",$B$4:$F$298,5,0),4)</f>
        <v>0.1149</v>
      </c>
      <c r="H11" s="15" t="s">
        <v>388</v>
      </c>
    </row>
    <row r="12" spans="1:12" ht="12.75" customHeight="1" x14ac:dyDescent="0.2">
      <c r="B12" s="18" t="s">
        <v>86</v>
      </c>
      <c r="C12" s="18"/>
      <c r="D12" s="18"/>
      <c r="E12" s="29"/>
      <c r="F12" s="19">
        <f>SUM(F8:F11)</f>
        <v>121.3693581</v>
      </c>
      <c r="G12" s="20">
        <f>SUM(G8:G11)</f>
        <v>0.98940000000000006</v>
      </c>
      <c r="H12" s="21"/>
      <c r="I12" s="35"/>
      <c r="L12" s="54">
        <f>+SUM($K$9:K9)</f>
        <v>0.98940000000000006</v>
      </c>
    </row>
    <row r="13" spans="1:12" ht="12.75" hidden="1" customHeight="1" x14ac:dyDescent="0.2">
      <c r="F13" s="13"/>
      <c r="G13" s="14"/>
      <c r="H13" s="15"/>
    </row>
    <row r="14" spans="1:12" ht="12.75" hidden="1" customHeight="1" x14ac:dyDescent="0.2">
      <c r="B14" s="16" t="s">
        <v>94</v>
      </c>
      <c r="C14" s="16"/>
      <c r="F14" s="13"/>
      <c r="G14" s="14">
        <f>+ROUND(F14/VLOOKUP("Grand Total",$B$4:$F$294,5,0),4)</f>
        <v>0</v>
      </c>
      <c r="H14" s="15"/>
    </row>
    <row r="15" spans="1:12" ht="12.75" hidden="1" customHeight="1" x14ac:dyDescent="0.2">
      <c r="B15" s="18" t="s">
        <v>86</v>
      </c>
      <c r="C15" s="18"/>
      <c r="D15" s="18"/>
      <c r="E15" s="29"/>
      <c r="F15" s="19">
        <f>SUM(F14:F14)</f>
        <v>0</v>
      </c>
      <c r="G15" s="20">
        <f>SUM(G14:G14)</f>
        <v>0</v>
      </c>
      <c r="H15" s="21"/>
      <c r="I15" s="35"/>
    </row>
    <row r="16" spans="1:12" ht="12.75" customHeight="1" x14ac:dyDescent="0.2">
      <c r="F16" s="13"/>
      <c r="G16" s="14"/>
      <c r="H16" s="15"/>
    </row>
    <row r="17" spans="1:9" ht="12.75" customHeight="1" x14ac:dyDescent="0.2">
      <c r="A17" s="95" t="s">
        <v>387</v>
      </c>
      <c r="B17" s="16" t="s">
        <v>94</v>
      </c>
      <c r="C17" s="16"/>
      <c r="F17" s="13">
        <v>1.3970627</v>
      </c>
      <c r="G17" s="14">
        <f>+ROUND(F17/VLOOKUP("Grand Total",$B$4:$F$292,5,0),4)</f>
        <v>1.14E-2</v>
      </c>
      <c r="H17" s="15">
        <v>43073</v>
      </c>
    </row>
    <row r="18" spans="1:9" ht="12.75" customHeight="1" x14ac:dyDescent="0.2">
      <c r="B18" s="18" t="s">
        <v>86</v>
      </c>
      <c r="C18" s="18"/>
      <c r="D18" s="18"/>
      <c r="E18" s="29"/>
      <c r="F18" s="19">
        <f>SUM(F17)</f>
        <v>1.3970627</v>
      </c>
      <c r="G18" s="20">
        <f>SUM(G17)</f>
        <v>1.14E-2</v>
      </c>
      <c r="H18" s="21"/>
      <c r="I18" s="35"/>
    </row>
    <row r="19" spans="1:9" ht="12.75" customHeight="1" x14ac:dyDescent="0.2">
      <c r="F19" s="13"/>
      <c r="G19" s="14"/>
      <c r="H19" s="15"/>
    </row>
    <row r="20" spans="1:9" ht="12.75" customHeight="1" x14ac:dyDescent="0.2">
      <c r="B20" s="16" t="s">
        <v>95</v>
      </c>
      <c r="C20" s="16"/>
      <c r="F20" s="13"/>
      <c r="G20" s="14"/>
      <c r="H20" s="15"/>
    </row>
    <row r="21" spans="1:9" ht="12.75" customHeight="1" x14ac:dyDescent="0.2">
      <c r="B21" s="16" t="s">
        <v>96</v>
      </c>
      <c r="C21" s="16"/>
      <c r="F21" s="43">
        <v>-9.5346999999989634E-2</v>
      </c>
      <c r="G21" s="14">
        <f>+ROUND(F21/VLOOKUP("Grand Total",$B$4:$F$298,5,0),4)</f>
        <v>-8.0000000000000004E-4</v>
      </c>
      <c r="H21" s="15"/>
    </row>
    <row r="22" spans="1:9" ht="12.75" customHeight="1" x14ac:dyDescent="0.2">
      <c r="B22" s="18" t="s">
        <v>86</v>
      </c>
      <c r="C22" s="18"/>
      <c r="D22" s="18"/>
      <c r="E22" s="29"/>
      <c r="F22" s="50">
        <f>SUM(F21)</f>
        <v>-9.5346999999989634E-2</v>
      </c>
      <c r="G22" s="20">
        <f>SUM(G21)</f>
        <v>-8.0000000000000004E-4</v>
      </c>
      <c r="H22" s="21"/>
      <c r="I22" s="35"/>
    </row>
    <row r="23" spans="1:9" ht="12.75" customHeight="1" x14ac:dyDescent="0.2">
      <c r="B23" s="22" t="s">
        <v>97</v>
      </c>
      <c r="C23" s="22"/>
      <c r="D23" s="22"/>
      <c r="E23" s="30"/>
      <c r="F23" s="23">
        <f>+SUMIF($B$5:B22,"Total",$F$5:F22)</f>
        <v>122.67107380000002</v>
      </c>
      <c r="G23" s="24">
        <f>+SUMIF($B$5:B22,"Total",$G$5:G22)</f>
        <v>1.0000000000000002</v>
      </c>
      <c r="H23" s="25"/>
      <c r="I23" s="35"/>
    </row>
    <row r="24" spans="1:9" ht="12.75" customHeight="1" x14ac:dyDescent="0.2"/>
    <row r="25" spans="1:9" ht="12.75" customHeight="1" x14ac:dyDescent="0.2">
      <c r="B25" s="16"/>
      <c r="C25" s="16"/>
    </row>
    <row r="26" spans="1:9" ht="12.75" customHeight="1" x14ac:dyDescent="0.2">
      <c r="B26" s="16"/>
      <c r="C26" s="16"/>
    </row>
    <row r="27" spans="1:9" ht="12.75" customHeight="1" x14ac:dyDescent="0.2">
      <c r="B27" s="16"/>
      <c r="C27" s="16"/>
    </row>
    <row r="28" spans="1:9" ht="12.75" customHeight="1" x14ac:dyDescent="0.2">
      <c r="B28" s="16"/>
      <c r="C28" s="16"/>
    </row>
    <row r="29" spans="1:9" ht="12.75" customHeight="1" x14ac:dyDescent="0.2">
      <c r="B29" s="16"/>
      <c r="C29" s="16"/>
    </row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EDB4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32.5703125" bestFit="1" customWidth="1"/>
    <col min="11" max="11" width="8" style="36" customWidth="1"/>
  </cols>
  <sheetData>
    <row r="1" spans="1:16" ht="18.75" x14ac:dyDescent="0.2">
      <c r="A1" s="94" t="s">
        <v>389</v>
      </c>
      <c r="B1" s="124" t="s">
        <v>98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425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195</v>
      </c>
      <c r="C9" t="s">
        <v>13</v>
      </c>
      <c r="D9" s="65" t="s">
        <v>10</v>
      </c>
      <c r="E9" s="28">
        <v>9345</v>
      </c>
      <c r="F9" s="13">
        <v>173.22826499999999</v>
      </c>
      <c r="G9" s="14">
        <f t="shared" ref="G9:G40" si="0">+ROUND(F9/VLOOKUP("Grand Total",$B$4:$F$283,5,0),4)</f>
        <v>9.6100000000000005E-2</v>
      </c>
      <c r="H9" s="15"/>
      <c r="J9" s="14" t="s">
        <v>10</v>
      </c>
      <c r="K9" s="48">
        <f t="shared" ref="K9:K29" si="1">SUMIFS($G$5:$G$320,$D$5:$D$320,J9)</f>
        <v>0.26929999999999998</v>
      </c>
    </row>
    <row r="10" spans="1:16" ht="12.75" customHeight="1" x14ac:dyDescent="0.2">
      <c r="A10">
        <f>+MAX($A$8:A9)+1</f>
        <v>2</v>
      </c>
      <c r="B10" t="s">
        <v>197</v>
      </c>
      <c r="C10" t="s">
        <v>31</v>
      </c>
      <c r="D10" t="s">
        <v>30</v>
      </c>
      <c r="E10" s="28">
        <v>15200</v>
      </c>
      <c r="F10" s="13">
        <v>140.07560000000001</v>
      </c>
      <c r="G10" s="14">
        <f t="shared" si="0"/>
        <v>7.7700000000000005E-2</v>
      </c>
      <c r="H10" s="15"/>
      <c r="J10" s="14" t="s">
        <v>14</v>
      </c>
      <c r="K10" s="48">
        <f t="shared" si="1"/>
        <v>0.11219999999999999</v>
      </c>
    </row>
    <row r="11" spans="1:16" ht="12.75" customHeight="1" x14ac:dyDescent="0.2">
      <c r="A11">
        <f>+MAX($A$8:A10)+1</f>
        <v>3</v>
      </c>
      <c r="B11" t="s">
        <v>201</v>
      </c>
      <c r="C11" t="s">
        <v>27</v>
      </c>
      <c r="D11" t="s">
        <v>24</v>
      </c>
      <c r="E11" s="28">
        <v>7306</v>
      </c>
      <c r="F11" s="13">
        <v>122.42664199999999</v>
      </c>
      <c r="G11" s="14">
        <f t="shared" si="0"/>
        <v>6.7900000000000002E-2</v>
      </c>
      <c r="H11" s="15"/>
      <c r="J11" s="14" t="s">
        <v>30</v>
      </c>
      <c r="K11" s="48">
        <f t="shared" si="1"/>
        <v>0.1057</v>
      </c>
      <c r="M11" s="36"/>
      <c r="N11" s="14"/>
      <c r="P11" s="14"/>
    </row>
    <row r="12" spans="1:16" ht="12.75" customHeight="1" x14ac:dyDescent="0.2">
      <c r="A12">
        <f>+MAX($A$8:A11)+1</f>
        <v>4</v>
      </c>
      <c r="B12" t="s">
        <v>205</v>
      </c>
      <c r="C12" t="s">
        <v>46</v>
      </c>
      <c r="D12" t="s">
        <v>26</v>
      </c>
      <c r="E12" s="28">
        <v>39069</v>
      </c>
      <c r="F12" s="13">
        <v>100.03617449999999</v>
      </c>
      <c r="G12" s="14">
        <f t="shared" si="0"/>
        <v>5.5500000000000001E-2</v>
      </c>
      <c r="H12" s="15"/>
      <c r="J12" s="14" t="s">
        <v>20</v>
      </c>
      <c r="K12" s="48">
        <f t="shared" si="1"/>
        <v>9.8399999999999987E-2</v>
      </c>
      <c r="M12" s="36"/>
      <c r="N12" s="14"/>
      <c r="P12" s="14"/>
    </row>
    <row r="13" spans="1:16" ht="12.75" customHeight="1" x14ac:dyDescent="0.2">
      <c r="A13">
        <f>+MAX($A$8:A12)+1</f>
        <v>5</v>
      </c>
      <c r="B13" t="s">
        <v>198</v>
      </c>
      <c r="C13" t="s">
        <v>11</v>
      </c>
      <c r="D13" t="s">
        <v>10</v>
      </c>
      <c r="E13" s="28">
        <v>29402</v>
      </c>
      <c r="F13" s="13">
        <v>90.425850999999994</v>
      </c>
      <c r="G13" s="14">
        <f t="shared" si="0"/>
        <v>5.0099999999999999E-2</v>
      </c>
      <c r="H13" s="15"/>
      <c r="J13" s="14" t="s">
        <v>26</v>
      </c>
      <c r="K13" s="48">
        <f t="shared" si="1"/>
        <v>9.1700000000000004E-2</v>
      </c>
      <c r="M13" s="36"/>
      <c r="N13" s="14"/>
      <c r="P13" s="14"/>
    </row>
    <row r="14" spans="1:16" ht="12.75" customHeight="1" x14ac:dyDescent="0.2">
      <c r="A14">
        <f>+MAX($A$8:A13)+1</f>
        <v>6</v>
      </c>
      <c r="B14" t="s">
        <v>196</v>
      </c>
      <c r="C14" t="s">
        <v>15</v>
      </c>
      <c r="D14" t="s">
        <v>14</v>
      </c>
      <c r="E14" s="28">
        <v>9157</v>
      </c>
      <c r="F14" s="13">
        <v>89.38147699999999</v>
      </c>
      <c r="G14" s="14">
        <f t="shared" si="0"/>
        <v>4.9599999999999998E-2</v>
      </c>
      <c r="H14" s="15"/>
      <c r="J14" s="14" t="s">
        <v>24</v>
      </c>
      <c r="K14" s="48">
        <f t="shared" si="1"/>
        <v>8.8200000000000014E-2</v>
      </c>
      <c r="M14" s="36"/>
      <c r="N14" s="14"/>
      <c r="P14" s="14"/>
    </row>
    <row r="15" spans="1:16" ht="12.75" customHeight="1" x14ac:dyDescent="0.2">
      <c r="A15">
        <f>+MAX($A$8:A14)+1</f>
        <v>7</v>
      </c>
      <c r="B15" t="s">
        <v>229</v>
      </c>
      <c r="C15" t="s">
        <v>71</v>
      </c>
      <c r="D15" t="s">
        <v>28</v>
      </c>
      <c r="E15" s="28">
        <v>5648</v>
      </c>
      <c r="F15" s="13">
        <v>68.710744000000005</v>
      </c>
      <c r="G15" s="14">
        <f t="shared" si="0"/>
        <v>3.8100000000000002E-2</v>
      </c>
      <c r="H15" s="15"/>
      <c r="J15" s="14" t="s">
        <v>22</v>
      </c>
      <c r="K15" s="48">
        <f t="shared" si="1"/>
        <v>3.9799999999999995E-2</v>
      </c>
      <c r="M15" s="36"/>
      <c r="N15" s="14"/>
      <c r="P15" s="14"/>
    </row>
    <row r="16" spans="1:16" ht="12.75" customHeight="1" x14ac:dyDescent="0.2">
      <c r="A16">
        <f>+MAX($A$8:A15)+1</f>
        <v>8</v>
      </c>
      <c r="B16" t="s">
        <v>216</v>
      </c>
      <c r="C16" t="s">
        <v>99</v>
      </c>
      <c r="D16" t="s">
        <v>10</v>
      </c>
      <c r="E16" s="28">
        <v>6107</v>
      </c>
      <c r="F16" s="13">
        <v>61.088320999999993</v>
      </c>
      <c r="G16" s="14">
        <f t="shared" si="0"/>
        <v>3.39E-2</v>
      </c>
      <c r="H16" s="15"/>
      <c r="J16" s="14" t="s">
        <v>28</v>
      </c>
      <c r="K16" s="48">
        <f t="shared" si="1"/>
        <v>3.8100000000000002E-2</v>
      </c>
      <c r="M16" s="36"/>
      <c r="N16" s="14"/>
      <c r="P16" s="14"/>
    </row>
    <row r="17" spans="1:16" ht="12.75" customHeight="1" x14ac:dyDescent="0.2">
      <c r="A17">
        <f>+MAX($A$8:A16)+1</f>
        <v>9</v>
      </c>
      <c r="B17" t="s">
        <v>220</v>
      </c>
      <c r="C17" t="s">
        <v>19</v>
      </c>
      <c r="D17" t="s">
        <v>14</v>
      </c>
      <c r="E17" s="28">
        <v>2281</v>
      </c>
      <c r="F17" s="13">
        <v>60.149970000000003</v>
      </c>
      <c r="G17" s="14">
        <f t="shared" si="0"/>
        <v>3.3399999999999999E-2</v>
      </c>
      <c r="H17" s="15"/>
      <c r="J17" s="14" t="s">
        <v>36</v>
      </c>
      <c r="K17" s="48">
        <f t="shared" si="1"/>
        <v>2.5500000000000002E-2</v>
      </c>
      <c r="M17" s="36"/>
      <c r="N17" s="14"/>
      <c r="P17" s="14"/>
    </row>
    <row r="18" spans="1:16" ht="12.75" customHeight="1" x14ac:dyDescent="0.2">
      <c r="A18">
        <f>+MAX($A$8:A17)+1</f>
        <v>10</v>
      </c>
      <c r="B18" t="s">
        <v>16</v>
      </c>
      <c r="C18" t="s">
        <v>17</v>
      </c>
      <c r="D18" t="s">
        <v>10</v>
      </c>
      <c r="E18" s="28">
        <v>17008</v>
      </c>
      <c r="F18" s="13">
        <v>54.485127999999996</v>
      </c>
      <c r="G18" s="14">
        <f t="shared" si="0"/>
        <v>3.0200000000000001E-2</v>
      </c>
      <c r="H18" s="15"/>
      <c r="J18" s="14" t="s">
        <v>45</v>
      </c>
      <c r="K18" s="48">
        <f t="shared" si="1"/>
        <v>2.29E-2</v>
      </c>
      <c r="M18" s="36"/>
      <c r="N18" s="14"/>
      <c r="P18" s="14"/>
    </row>
    <row r="19" spans="1:16" ht="12.75" customHeight="1" x14ac:dyDescent="0.2">
      <c r="A19">
        <f>+MAX($A$8:A18)+1</f>
        <v>11</v>
      </c>
      <c r="B19" t="s">
        <v>213</v>
      </c>
      <c r="C19" t="s">
        <v>49</v>
      </c>
      <c r="D19" t="s">
        <v>20</v>
      </c>
      <c r="E19" s="28">
        <v>609</v>
      </c>
      <c r="F19" s="13">
        <v>52.368519000000006</v>
      </c>
      <c r="G19" s="14">
        <f t="shared" si="0"/>
        <v>2.9000000000000001E-2</v>
      </c>
      <c r="H19" s="15"/>
      <c r="J19" s="14" t="s">
        <v>34</v>
      </c>
      <c r="K19" s="48">
        <f t="shared" si="1"/>
        <v>1.66E-2</v>
      </c>
      <c r="M19" s="36"/>
      <c r="N19" s="14"/>
      <c r="P19" s="14"/>
    </row>
    <row r="20" spans="1:16" ht="12.75" customHeight="1" x14ac:dyDescent="0.2">
      <c r="A20">
        <f>+MAX($A$8:A19)+1</f>
        <v>12</v>
      </c>
      <c r="B20" t="s">
        <v>221</v>
      </c>
      <c r="C20" t="s">
        <v>29</v>
      </c>
      <c r="D20" t="s">
        <v>10</v>
      </c>
      <c r="E20" s="28">
        <v>7800</v>
      </c>
      <c r="F20" s="13">
        <v>41.761200000000002</v>
      </c>
      <c r="G20" s="14">
        <f t="shared" si="0"/>
        <v>2.3199999999999998E-2</v>
      </c>
      <c r="H20" s="15"/>
      <c r="J20" s="14" t="s">
        <v>18</v>
      </c>
      <c r="K20" s="48">
        <f t="shared" si="1"/>
        <v>1.6E-2</v>
      </c>
      <c r="M20" s="36"/>
      <c r="N20" s="14"/>
      <c r="P20" s="14"/>
    </row>
    <row r="21" spans="1:16" ht="12.75" customHeight="1" x14ac:dyDescent="0.2">
      <c r="A21">
        <f>+MAX($A$8:A20)+1</f>
        <v>13</v>
      </c>
      <c r="B21" t="s">
        <v>243</v>
      </c>
      <c r="C21" t="s">
        <v>102</v>
      </c>
      <c r="D21" t="s">
        <v>26</v>
      </c>
      <c r="E21" s="28">
        <v>3273</v>
      </c>
      <c r="F21" s="13">
        <v>41.647288500000002</v>
      </c>
      <c r="G21" s="14">
        <f t="shared" si="0"/>
        <v>2.3099999999999999E-2</v>
      </c>
      <c r="H21" s="15"/>
      <c r="J21" s="14" t="s">
        <v>100</v>
      </c>
      <c r="K21" s="48">
        <f t="shared" si="1"/>
        <v>1.2999999999999999E-2</v>
      </c>
      <c r="M21" s="36"/>
      <c r="N21" s="14"/>
      <c r="P21" s="14"/>
    </row>
    <row r="22" spans="1:16" ht="12.75" customHeight="1" x14ac:dyDescent="0.2">
      <c r="A22">
        <f>+MAX($A$8:A21)+1</f>
        <v>14</v>
      </c>
      <c r="B22" t="s">
        <v>245</v>
      </c>
      <c r="C22" t="s">
        <v>104</v>
      </c>
      <c r="D22" t="s">
        <v>10</v>
      </c>
      <c r="E22" s="28">
        <v>2332</v>
      </c>
      <c r="F22" s="13">
        <v>38.756673999999997</v>
      </c>
      <c r="G22" s="14">
        <f t="shared" si="0"/>
        <v>2.1499999999999998E-2</v>
      </c>
      <c r="H22" s="15"/>
      <c r="J22" s="14" t="s">
        <v>107</v>
      </c>
      <c r="K22" s="48">
        <f t="shared" si="1"/>
        <v>1.18E-2</v>
      </c>
      <c r="M22" s="36"/>
      <c r="N22" s="14"/>
      <c r="P22" s="14"/>
    </row>
    <row r="23" spans="1:16" ht="12.75" customHeight="1" x14ac:dyDescent="0.2">
      <c r="A23">
        <f>+MAX($A$8:A22)+1</f>
        <v>15</v>
      </c>
      <c r="B23" t="s">
        <v>199</v>
      </c>
      <c r="C23" t="s">
        <v>21</v>
      </c>
      <c r="D23" t="s">
        <v>20</v>
      </c>
      <c r="E23" s="28">
        <v>8600</v>
      </c>
      <c r="F23" s="13">
        <v>34.756900000000002</v>
      </c>
      <c r="G23" s="14">
        <f t="shared" si="0"/>
        <v>1.9300000000000001E-2</v>
      </c>
      <c r="H23" s="15"/>
      <c r="J23" s="14" t="s">
        <v>51</v>
      </c>
      <c r="K23" s="48">
        <f t="shared" si="1"/>
        <v>9.1000000000000004E-3</v>
      </c>
      <c r="M23" s="36"/>
      <c r="N23" s="14"/>
      <c r="P23" s="14"/>
    </row>
    <row r="24" spans="1:16" ht="12.75" customHeight="1" x14ac:dyDescent="0.2">
      <c r="A24">
        <f>+MAX($A$8:A23)+1</f>
        <v>16</v>
      </c>
      <c r="B24" t="s">
        <v>244</v>
      </c>
      <c r="C24" t="s">
        <v>101</v>
      </c>
      <c r="D24" t="s">
        <v>20</v>
      </c>
      <c r="E24" s="28">
        <v>2134</v>
      </c>
      <c r="F24" s="13">
        <v>30.015777000000003</v>
      </c>
      <c r="G24" s="14">
        <f t="shared" si="0"/>
        <v>1.66E-2</v>
      </c>
      <c r="H24" s="15"/>
      <c r="J24" s="14" t="s">
        <v>103</v>
      </c>
      <c r="K24" s="48">
        <f t="shared" si="1"/>
        <v>7.9000000000000008E-3</v>
      </c>
      <c r="M24" s="36"/>
      <c r="N24" s="14"/>
      <c r="P24" s="14"/>
    </row>
    <row r="25" spans="1:16" ht="12.75" customHeight="1" x14ac:dyDescent="0.2">
      <c r="A25">
        <f>+MAX($A$8:A24)+1</f>
        <v>17</v>
      </c>
      <c r="B25" t="s">
        <v>218</v>
      </c>
      <c r="C25" t="s">
        <v>65</v>
      </c>
      <c r="D25" t="s">
        <v>34</v>
      </c>
      <c r="E25" s="28">
        <v>6045</v>
      </c>
      <c r="F25" s="13">
        <v>30.010402500000001</v>
      </c>
      <c r="G25" s="14">
        <f t="shared" si="0"/>
        <v>1.66E-2</v>
      </c>
      <c r="H25" s="15"/>
      <c r="J25" s="14" t="s">
        <v>37</v>
      </c>
      <c r="K25" s="48">
        <f t="shared" si="1"/>
        <v>7.9000000000000008E-3</v>
      </c>
      <c r="M25" s="36"/>
      <c r="N25" s="14"/>
      <c r="P25" s="14"/>
    </row>
    <row r="26" spans="1:16" ht="12.75" customHeight="1" x14ac:dyDescent="0.2">
      <c r="A26">
        <f>+MAX($A$8:A25)+1</f>
        <v>18</v>
      </c>
      <c r="B26" t="s">
        <v>455</v>
      </c>
      <c r="C26" t="s">
        <v>68</v>
      </c>
      <c r="D26" t="s">
        <v>22</v>
      </c>
      <c r="E26" s="28">
        <v>5057</v>
      </c>
      <c r="F26" s="13">
        <v>27.3052715</v>
      </c>
      <c r="G26" s="14">
        <f t="shared" si="0"/>
        <v>1.5100000000000001E-2</v>
      </c>
      <c r="H26" s="15"/>
      <c r="J26" s="14" t="s">
        <v>47</v>
      </c>
      <c r="K26" s="48">
        <f t="shared" si="1"/>
        <v>7.6E-3</v>
      </c>
      <c r="M26" s="36"/>
      <c r="N26" s="14"/>
      <c r="P26" s="14"/>
    </row>
    <row r="27" spans="1:16" ht="12.75" customHeight="1" x14ac:dyDescent="0.2">
      <c r="A27">
        <f>+MAX($A$8:A26)+1</f>
        <v>19</v>
      </c>
      <c r="B27" t="s">
        <v>255</v>
      </c>
      <c r="C27" t="s">
        <v>595</v>
      </c>
      <c r="D27" t="s">
        <v>10</v>
      </c>
      <c r="E27" s="28">
        <v>8395</v>
      </c>
      <c r="F27" s="13">
        <v>25.764254999999999</v>
      </c>
      <c r="G27" s="14">
        <f t="shared" si="0"/>
        <v>1.43E-2</v>
      </c>
      <c r="H27" s="15"/>
      <c r="J27" t="s">
        <v>359</v>
      </c>
      <c r="K27" s="48">
        <f t="shared" si="1"/>
        <v>6.8999999999999999E-3</v>
      </c>
      <c r="M27" s="36"/>
      <c r="N27" s="14"/>
      <c r="P27" s="14"/>
    </row>
    <row r="28" spans="1:16" ht="12.75" customHeight="1" x14ac:dyDescent="0.2">
      <c r="A28">
        <f>+MAX($A$8:A27)+1</f>
        <v>20</v>
      </c>
      <c r="B28" t="s">
        <v>254</v>
      </c>
      <c r="C28" t="s">
        <v>116</v>
      </c>
      <c r="D28" t="s">
        <v>36</v>
      </c>
      <c r="E28" s="28">
        <v>13980</v>
      </c>
      <c r="F28" s="13">
        <v>25.324770000000001</v>
      </c>
      <c r="G28" s="14">
        <f t="shared" si="0"/>
        <v>1.4E-2</v>
      </c>
      <c r="H28" s="15"/>
      <c r="J28" s="14" t="s">
        <v>135</v>
      </c>
      <c r="K28" s="48">
        <f t="shared" si="1"/>
        <v>6.7000000000000002E-3</v>
      </c>
      <c r="M28" s="36"/>
      <c r="N28" s="14"/>
      <c r="P28" s="14"/>
    </row>
    <row r="29" spans="1:16" ht="12.75" customHeight="1" x14ac:dyDescent="0.2">
      <c r="A29">
        <f>+MAX($A$8:A28)+1</f>
        <v>21</v>
      </c>
      <c r="B29" t="s">
        <v>465</v>
      </c>
      <c r="C29" t="s">
        <v>466</v>
      </c>
      <c r="D29" t="s">
        <v>45</v>
      </c>
      <c r="E29" s="28">
        <v>8517</v>
      </c>
      <c r="F29" s="13">
        <v>25.163476499999998</v>
      </c>
      <c r="G29" s="14">
        <f t="shared" si="0"/>
        <v>1.4E-2</v>
      </c>
      <c r="H29" s="15"/>
      <c r="J29" s="14" t="s">
        <v>38</v>
      </c>
      <c r="K29" s="48">
        <f t="shared" si="1"/>
        <v>4.7000000000000002E-3</v>
      </c>
      <c r="N29" s="14"/>
      <c r="P29" s="14"/>
    </row>
    <row r="30" spans="1:16" ht="12.75" customHeight="1" x14ac:dyDescent="0.2">
      <c r="A30">
        <f>+MAX($A$8:A29)+1</f>
        <v>22</v>
      </c>
      <c r="B30" t="s">
        <v>249</v>
      </c>
      <c r="C30" t="s">
        <v>111</v>
      </c>
      <c r="D30" t="s">
        <v>26</v>
      </c>
      <c r="E30" s="28">
        <v>2066</v>
      </c>
      <c r="F30" s="13">
        <v>23.691855</v>
      </c>
      <c r="G30" s="14">
        <f t="shared" si="0"/>
        <v>1.3100000000000001E-2</v>
      </c>
      <c r="H30" s="15"/>
      <c r="J30" s="14" t="s">
        <v>64</v>
      </c>
      <c r="K30" s="48">
        <f>+SUMIFS($G$5:$G$999,$B$5:$B$999,"CBLO / Reverse Repo Investments")+SUMIFS($G$5:$G$999,$B$5:$B$999,"Net Receivable/Payable")</f>
        <v>0</v>
      </c>
      <c r="N30" s="14"/>
      <c r="P30" s="14"/>
    </row>
    <row r="31" spans="1:16" ht="12.75" customHeight="1" x14ac:dyDescent="0.2">
      <c r="A31">
        <f>+MAX($A$8:A30)+1</f>
        <v>23</v>
      </c>
      <c r="B31" t="s">
        <v>247</v>
      </c>
      <c r="C31" t="s">
        <v>108</v>
      </c>
      <c r="D31" t="s">
        <v>100</v>
      </c>
      <c r="E31" s="28">
        <v>12937</v>
      </c>
      <c r="F31" s="13">
        <v>23.370690499999998</v>
      </c>
      <c r="G31" s="14">
        <f t="shared" si="0"/>
        <v>1.2999999999999999E-2</v>
      </c>
      <c r="H31" s="15"/>
      <c r="L31" s="54"/>
      <c r="M31" s="36"/>
      <c r="N31" s="14"/>
      <c r="P31" s="14"/>
    </row>
    <row r="32" spans="1:16" ht="12.75" customHeight="1" x14ac:dyDescent="0.2">
      <c r="A32">
        <f>+MAX($A$8:A31)+1</f>
        <v>24</v>
      </c>
      <c r="B32" t="s">
        <v>200</v>
      </c>
      <c r="C32" t="s">
        <v>25</v>
      </c>
      <c r="D32" t="s">
        <v>14</v>
      </c>
      <c r="E32" s="28">
        <v>2551</v>
      </c>
      <c r="F32" s="13">
        <v>21.632480000000001</v>
      </c>
      <c r="G32" s="14">
        <f t="shared" si="0"/>
        <v>1.2E-2</v>
      </c>
      <c r="H32" s="15"/>
      <c r="J32" s="14"/>
      <c r="L32" s="54">
        <f>+SUM($K$9:K32)</f>
        <v>1</v>
      </c>
    </row>
    <row r="33" spans="1:13" ht="12.75" customHeight="1" x14ac:dyDescent="0.2">
      <c r="A33">
        <f>+MAX($A$8:A32)+1</f>
        <v>25</v>
      </c>
      <c r="B33" t="s">
        <v>252</v>
      </c>
      <c r="C33" t="s">
        <v>113</v>
      </c>
      <c r="D33" t="s">
        <v>20</v>
      </c>
      <c r="E33" s="28">
        <v>595</v>
      </c>
      <c r="F33" s="13">
        <v>21.620217499999999</v>
      </c>
      <c r="G33" s="14">
        <f t="shared" si="0"/>
        <v>1.2E-2</v>
      </c>
      <c r="H33" s="15"/>
    </row>
    <row r="34" spans="1:13" ht="12.75" customHeight="1" x14ac:dyDescent="0.2">
      <c r="A34">
        <f>+MAX($A$8:A33)+1</f>
        <v>26</v>
      </c>
      <c r="B34" t="s">
        <v>260</v>
      </c>
      <c r="C34" t="s">
        <v>123</v>
      </c>
      <c r="D34" t="s">
        <v>107</v>
      </c>
      <c r="E34" s="28">
        <v>3071</v>
      </c>
      <c r="F34" s="13">
        <v>21.317346499999999</v>
      </c>
      <c r="G34" s="14">
        <f t="shared" si="0"/>
        <v>1.18E-2</v>
      </c>
      <c r="H34" s="15"/>
      <c r="M34" s="14"/>
    </row>
    <row r="35" spans="1:13" ht="12.75" customHeight="1" x14ac:dyDescent="0.2">
      <c r="A35">
        <f>+MAX($A$8:A34)+1</f>
        <v>27</v>
      </c>
      <c r="B35" t="s">
        <v>251</v>
      </c>
      <c r="C35" t="s">
        <v>115</v>
      </c>
      <c r="D35" t="s">
        <v>36</v>
      </c>
      <c r="E35" s="28">
        <v>10068</v>
      </c>
      <c r="F35" s="13">
        <v>20.745113999999997</v>
      </c>
      <c r="G35" s="14">
        <f t="shared" si="0"/>
        <v>1.15E-2</v>
      </c>
      <c r="H35" s="15"/>
    </row>
    <row r="36" spans="1:13" ht="12.75" customHeight="1" x14ac:dyDescent="0.2">
      <c r="A36">
        <f>+MAX($A$8:A35)+1</f>
        <v>28</v>
      </c>
      <c r="B36" t="s">
        <v>202</v>
      </c>
      <c r="C36" t="s">
        <v>39</v>
      </c>
      <c r="D36" t="s">
        <v>20</v>
      </c>
      <c r="E36" s="28">
        <v>623</v>
      </c>
      <c r="F36" s="13">
        <v>20.593264999999999</v>
      </c>
      <c r="G36" s="14">
        <f t="shared" si="0"/>
        <v>1.14E-2</v>
      </c>
      <c r="H36" s="15"/>
    </row>
    <row r="37" spans="1:13" ht="12.75" customHeight="1" x14ac:dyDescent="0.2">
      <c r="A37">
        <f>+MAX($A$8:A36)+1</f>
        <v>29</v>
      </c>
      <c r="B37" t="s">
        <v>208</v>
      </c>
      <c r="C37" t="s">
        <v>53</v>
      </c>
      <c r="D37" t="s">
        <v>18</v>
      </c>
      <c r="E37" s="28">
        <v>478</v>
      </c>
      <c r="F37" s="13">
        <v>20.094163999999999</v>
      </c>
      <c r="G37" s="14">
        <f t="shared" si="0"/>
        <v>1.11E-2</v>
      </c>
      <c r="H37" s="15"/>
    </row>
    <row r="38" spans="1:13" ht="12.75" customHeight="1" x14ac:dyDescent="0.2">
      <c r="A38">
        <f>+MAX($A$8:A37)+1</f>
        <v>30</v>
      </c>
      <c r="B38" t="s">
        <v>278</v>
      </c>
      <c r="C38" t="s">
        <v>378</v>
      </c>
      <c r="D38" t="s">
        <v>24</v>
      </c>
      <c r="E38" s="28">
        <v>1083</v>
      </c>
      <c r="F38" s="13">
        <v>18.703951499999999</v>
      </c>
      <c r="G38" s="14">
        <f t="shared" si="0"/>
        <v>1.04E-2</v>
      </c>
      <c r="H38" s="15"/>
    </row>
    <row r="39" spans="1:13" ht="12.75" customHeight="1" x14ac:dyDescent="0.2">
      <c r="A39">
        <f>+MAX($A$8:A38)+1</f>
        <v>31</v>
      </c>
      <c r="B39" t="s">
        <v>293</v>
      </c>
      <c r="C39" t="s">
        <v>177</v>
      </c>
      <c r="D39" t="s">
        <v>30</v>
      </c>
      <c r="E39" s="28">
        <v>4673</v>
      </c>
      <c r="F39" s="13">
        <v>18.388255000000001</v>
      </c>
      <c r="G39" s="14">
        <f t="shared" si="0"/>
        <v>1.0200000000000001E-2</v>
      </c>
      <c r="H39" s="15"/>
    </row>
    <row r="40" spans="1:13" ht="12.75" customHeight="1" x14ac:dyDescent="0.2">
      <c r="A40">
        <f>+MAX($A$8:A39)+1</f>
        <v>32</v>
      </c>
      <c r="B40" t="s">
        <v>276</v>
      </c>
      <c r="C40" t="s">
        <v>145</v>
      </c>
      <c r="D40" t="s">
        <v>20</v>
      </c>
      <c r="E40" s="28">
        <v>61</v>
      </c>
      <c r="F40" s="13">
        <v>18.265870500000002</v>
      </c>
      <c r="G40" s="14">
        <f t="shared" si="0"/>
        <v>1.01E-2</v>
      </c>
      <c r="H40" s="15"/>
    </row>
    <row r="41" spans="1:13" ht="12.75" customHeight="1" x14ac:dyDescent="0.2">
      <c r="A41">
        <f>+MAX($A$8:A40)+1</f>
        <v>33</v>
      </c>
      <c r="B41" t="s">
        <v>256</v>
      </c>
      <c r="C41" t="s">
        <v>118</v>
      </c>
      <c r="D41" t="s">
        <v>30</v>
      </c>
      <c r="E41" s="28">
        <v>3578</v>
      </c>
      <c r="F41" s="13">
        <v>18.027753000000001</v>
      </c>
      <c r="G41" s="14">
        <f t="shared" ref="G41:G58" si="2">+ROUND(F41/VLOOKUP("Grand Total",$B$4:$F$283,5,0),4)</f>
        <v>0.01</v>
      </c>
      <c r="H41" s="15"/>
    </row>
    <row r="42" spans="1:13" ht="12.75" customHeight="1" x14ac:dyDescent="0.2">
      <c r="A42">
        <f>+MAX($A$8:A41)+1</f>
        <v>34</v>
      </c>
      <c r="B42" t="s">
        <v>362</v>
      </c>
      <c r="C42" t="s">
        <v>363</v>
      </c>
      <c r="D42" t="s">
        <v>24</v>
      </c>
      <c r="E42" s="28">
        <v>1478</v>
      </c>
      <c r="F42" s="13">
        <v>17.822462999999999</v>
      </c>
      <c r="G42" s="14">
        <f t="shared" si="2"/>
        <v>9.9000000000000008E-3</v>
      </c>
      <c r="H42" s="15"/>
    </row>
    <row r="43" spans="1:13" ht="12.75" customHeight="1" x14ac:dyDescent="0.2">
      <c r="A43">
        <f>+MAX($A$8:A42)+1</f>
        <v>35</v>
      </c>
      <c r="B43" t="s">
        <v>250</v>
      </c>
      <c r="C43" t="s">
        <v>112</v>
      </c>
      <c r="D43" t="s">
        <v>14</v>
      </c>
      <c r="E43" s="28">
        <v>5798</v>
      </c>
      <c r="F43" s="13">
        <v>16.924361999999999</v>
      </c>
      <c r="G43" s="14">
        <f t="shared" si="2"/>
        <v>9.4000000000000004E-3</v>
      </c>
      <c r="H43" s="15"/>
    </row>
    <row r="44" spans="1:13" ht="12.75" customHeight="1" x14ac:dyDescent="0.2">
      <c r="A44">
        <f>+MAX($A$8:A43)+1</f>
        <v>36</v>
      </c>
      <c r="B44" t="s">
        <v>232</v>
      </c>
      <c r="C44" t="s">
        <v>80</v>
      </c>
      <c r="D44" t="s">
        <v>51</v>
      </c>
      <c r="E44" s="28">
        <v>5973</v>
      </c>
      <c r="F44" s="13">
        <v>16.473534000000001</v>
      </c>
      <c r="G44" s="14">
        <f t="shared" si="2"/>
        <v>9.1000000000000004E-3</v>
      </c>
      <c r="H44" s="15"/>
    </row>
    <row r="45" spans="1:13" ht="12.75" customHeight="1" x14ac:dyDescent="0.2">
      <c r="A45">
        <f>+MAX($A$8:A44)+1</f>
        <v>37</v>
      </c>
      <c r="B45" t="s">
        <v>264</v>
      </c>
      <c r="C45" t="s">
        <v>125</v>
      </c>
      <c r="D45" t="s">
        <v>45</v>
      </c>
      <c r="E45" s="28">
        <v>6682</v>
      </c>
      <c r="F45" s="13">
        <v>16.066869000000001</v>
      </c>
      <c r="G45" s="14">
        <f t="shared" si="2"/>
        <v>8.8999999999999999E-3</v>
      </c>
      <c r="H45" s="15"/>
    </row>
    <row r="46" spans="1:13" ht="12.75" customHeight="1" x14ac:dyDescent="0.2">
      <c r="A46">
        <f>+MAX($A$8:A45)+1</f>
        <v>38</v>
      </c>
      <c r="B46" t="s">
        <v>258</v>
      </c>
      <c r="C46" t="s">
        <v>117</v>
      </c>
      <c r="D46" t="s">
        <v>37</v>
      </c>
      <c r="E46" s="28">
        <v>3584</v>
      </c>
      <c r="F46" s="13">
        <v>14.26432</v>
      </c>
      <c r="G46" s="14">
        <f t="shared" si="2"/>
        <v>7.9000000000000008E-3</v>
      </c>
      <c r="H46" s="15"/>
    </row>
    <row r="47" spans="1:13" ht="12.75" customHeight="1" x14ac:dyDescent="0.2">
      <c r="A47">
        <f>+MAX($A$8:A46)+1</f>
        <v>39</v>
      </c>
      <c r="B47" t="s">
        <v>257</v>
      </c>
      <c r="C47" t="s">
        <v>119</v>
      </c>
      <c r="D47" t="s">
        <v>103</v>
      </c>
      <c r="E47" s="28">
        <v>2509</v>
      </c>
      <c r="F47" s="13">
        <v>14.254883500000002</v>
      </c>
      <c r="G47" s="14">
        <f t="shared" si="2"/>
        <v>7.9000000000000008E-3</v>
      </c>
      <c r="H47" s="15"/>
    </row>
    <row r="48" spans="1:13" ht="12.75" customHeight="1" x14ac:dyDescent="0.2">
      <c r="A48">
        <f>+MAX($A$8:A47)+1</f>
        <v>40</v>
      </c>
      <c r="B48" t="s">
        <v>233</v>
      </c>
      <c r="C48" t="s">
        <v>81</v>
      </c>
      <c r="D48" t="s">
        <v>30</v>
      </c>
      <c r="E48" s="28">
        <v>3377</v>
      </c>
      <c r="F48" s="13">
        <v>14.071959</v>
      </c>
      <c r="G48" s="14">
        <f t="shared" si="2"/>
        <v>7.7999999999999996E-3</v>
      </c>
      <c r="H48" s="15"/>
    </row>
    <row r="49" spans="1:9" ht="12.75" customHeight="1" x14ac:dyDescent="0.2">
      <c r="A49">
        <f>+MAX($A$8:A48)+1</f>
        <v>41</v>
      </c>
      <c r="B49" t="s">
        <v>253</v>
      </c>
      <c r="C49" t="s">
        <v>114</v>
      </c>
      <c r="D49" t="s">
        <v>14</v>
      </c>
      <c r="E49" s="28">
        <v>2863</v>
      </c>
      <c r="F49" s="13">
        <v>14.007227500000001</v>
      </c>
      <c r="G49" s="14">
        <f t="shared" si="2"/>
        <v>7.7999999999999996E-3</v>
      </c>
      <c r="H49" s="15"/>
    </row>
    <row r="50" spans="1:9" ht="12.75" customHeight="1" x14ac:dyDescent="0.2">
      <c r="A50">
        <f>+MAX($A$8:A49)+1</f>
        <v>42</v>
      </c>
      <c r="B50" t="s">
        <v>212</v>
      </c>
      <c r="C50" t="s">
        <v>69</v>
      </c>
      <c r="D50" t="s">
        <v>22</v>
      </c>
      <c r="E50" s="28">
        <v>2323</v>
      </c>
      <c r="F50" s="13">
        <v>13.958907</v>
      </c>
      <c r="G50" s="14">
        <f t="shared" si="2"/>
        <v>7.7000000000000002E-3</v>
      </c>
      <c r="H50" s="15"/>
    </row>
    <row r="51" spans="1:9" ht="12.75" customHeight="1" x14ac:dyDescent="0.2">
      <c r="A51">
        <f>+MAX($A$8:A50)+1</f>
        <v>43</v>
      </c>
      <c r="B51" t="s">
        <v>259</v>
      </c>
      <c r="C51" t="s">
        <v>120</v>
      </c>
      <c r="D51" t="s">
        <v>47</v>
      </c>
      <c r="E51" s="28">
        <v>2945</v>
      </c>
      <c r="F51" s="13">
        <v>13.79438</v>
      </c>
      <c r="G51" s="14">
        <f t="shared" si="2"/>
        <v>7.6E-3</v>
      </c>
      <c r="H51" s="15"/>
    </row>
    <row r="52" spans="1:9" ht="12.75" customHeight="1" x14ac:dyDescent="0.2">
      <c r="A52">
        <f>+MAX($A$8:A51)+1</f>
        <v>44</v>
      </c>
      <c r="B52" t="s">
        <v>248</v>
      </c>
      <c r="C52" t="s">
        <v>110</v>
      </c>
      <c r="D52" t="s">
        <v>22</v>
      </c>
      <c r="E52" s="28">
        <v>555</v>
      </c>
      <c r="F52" s="13">
        <v>12.676477500000001</v>
      </c>
      <c r="G52" s="14">
        <f t="shared" si="2"/>
        <v>7.0000000000000001E-3</v>
      </c>
      <c r="H52" s="15"/>
    </row>
    <row r="53" spans="1:9" ht="12.75" customHeight="1" x14ac:dyDescent="0.2">
      <c r="A53">
        <f>+MAX($A$8:A52)+1</f>
        <v>45</v>
      </c>
      <c r="B53" t="s">
        <v>332</v>
      </c>
      <c r="C53" t="s">
        <v>333</v>
      </c>
      <c r="D53" t="s">
        <v>359</v>
      </c>
      <c r="E53" s="28">
        <v>3221</v>
      </c>
      <c r="F53" s="13">
        <v>12.358976999999999</v>
      </c>
      <c r="G53" s="14">
        <f t="shared" si="2"/>
        <v>6.8999999999999999E-3</v>
      </c>
      <c r="H53" s="15"/>
    </row>
    <row r="54" spans="1:9" ht="12.75" customHeight="1" x14ac:dyDescent="0.2">
      <c r="A54">
        <f>+MAX($A$8:A53)+1</f>
        <v>46</v>
      </c>
      <c r="B54" t="s">
        <v>288</v>
      </c>
      <c r="C54" t="s">
        <v>159</v>
      </c>
      <c r="D54" t="s">
        <v>135</v>
      </c>
      <c r="E54" s="28">
        <v>1655</v>
      </c>
      <c r="F54" s="13">
        <v>12.103842500000001</v>
      </c>
      <c r="G54" s="14">
        <f t="shared" si="2"/>
        <v>6.7000000000000002E-3</v>
      </c>
      <c r="H54" s="15"/>
    </row>
    <row r="55" spans="1:9" ht="12.75" customHeight="1" x14ac:dyDescent="0.2">
      <c r="A55">
        <f>+MAX($A$8:A54)+1</f>
        <v>47</v>
      </c>
      <c r="B55" t="s">
        <v>246</v>
      </c>
      <c r="C55" t="s">
        <v>105</v>
      </c>
      <c r="D55" t="s">
        <v>22</v>
      </c>
      <c r="E55" s="28">
        <v>1097</v>
      </c>
      <c r="F55" s="13">
        <v>8.9701690000000003</v>
      </c>
      <c r="G55" s="14">
        <f t="shared" si="2"/>
        <v>5.0000000000000001E-3</v>
      </c>
      <c r="H55" s="15"/>
    </row>
    <row r="56" spans="1:9" ht="12.75" customHeight="1" x14ac:dyDescent="0.2">
      <c r="A56">
        <f>+MAX($A$8:A55)+1</f>
        <v>48</v>
      </c>
      <c r="B56" t="s">
        <v>219</v>
      </c>
      <c r="C56" t="s">
        <v>61</v>
      </c>
      <c r="D56" t="s">
        <v>22</v>
      </c>
      <c r="E56" s="28">
        <v>1289</v>
      </c>
      <c r="F56" s="13">
        <v>8.9308364999999998</v>
      </c>
      <c r="G56" s="14">
        <f t="shared" si="2"/>
        <v>5.0000000000000001E-3</v>
      </c>
      <c r="H56" s="15"/>
    </row>
    <row r="57" spans="1:9" ht="12.75" customHeight="1" x14ac:dyDescent="0.2">
      <c r="A57">
        <f>+MAX($A$8:A56)+1</f>
        <v>49</v>
      </c>
      <c r="B57" t="s">
        <v>262</v>
      </c>
      <c r="C57" t="s">
        <v>122</v>
      </c>
      <c r="D57" t="s">
        <v>18</v>
      </c>
      <c r="E57" s="28">
        <v>3367</v>
      </c>
      <c r="F57" s="13">
        <v>8.8383749999999992</v>
      </c>
      <c r="G57" s="14">
        <f t="shared" si="2"/>
        <v>4.8999999999999998E-3</v>
      </c>
      <c r="H57" s="15"/>
    </row>
    <row r="58" spans="1:9" ht="12.75" customHeight="1" x14ac:dyDescent="0.2">
      <c r="A58">
        <f>+MAX($A$8:A57)+1</f>
        <v>50</v>
      </c>
      <c r="B58" t="s">
        <v>261</v>
      </c>
      <c r="C58" t="s">
        <v>121</v>
      </c>
      <c r="D58" t="s">
        <v>38</v>
      </c>
      <c r="E58" s="28">
        <v>42</v>
      </c>
      <c r="F58" s="13">
        <v>8.5401749999999996</v>
      </c>
      <c r="G58" s="14">
        <f t="shared" si="2"/>
        <v>4.7000000000000002E-3</v>
      </c>
      <c r="H58" s="15"/>
    </row>
    <row r="59" spans="1:9" ht="12.75" customHeight="1" x14ac:dyDescent="0.2">
      <c r="B59" s="18" t="s">
        <v>86</v>
      </c>
      <c r="C59" s="18"/>
      <c r="D59" s="18"/>
      <c r="E59" s="29"/>
      <c r="F59" s="19">
        <f>SUM(F9:F58)</f>
        <v>1803.3914265000001</v>
      </c>
      <c r="G59" s="20">
        <f>SUM(G9:G58)</f>
        <v>1</v>
      </c>
      <c r="H59" s="21"/>
      <c r="I59" s="35"/>
    </row>
    <row r="60" spans="1:9" ht="12.75" customHeight="1" x14ac:dyDescent="0.2">
      <c r="F60" s="13"/>
      <c r="G60" s="14"/>
      <c r="H60" s="15"/>
    </row>
    <row r="61" spans="1:9" ht="12.75" customHeight="1" x14ac:dyDescent="0.2">
      <c r="A61" s="95" t="s">
        <v>387</v>
      </c>
      <c r="B61" s="16" t="s">
        <v>94</v>
      </c>
      <c r="C61" s="16"/>
      <c r="F61" s="13">
        <v>3.4926518</v>
      </c>
      <c r="G61" s="14">
        <f>+ROUND(F61/VLOOKUP("Grand Total",$B$4:$F$283,5,0),4)</f>
        <v>1.9E-3</v>
      </c>
      <c r="H61" s="15">
        <v>43073</v>
      </c>
    </row>
    <row r="62" spans="1:9" ht="12.75" customHeight="1" x14ac:dyDescent="0.2">
      <c r="B62" s="18" t="s">
        <v>86</v>
      </c>
      <c r="C62" s="18"/>
      <c r="D62" s="18"/>
      <c r="E62" s="29"/>
      <c r="F62" s="19">
        <f>SUM(F61)</f>
        <v>3.4926518</v>
      </c>
      <c r="G62" s="20">
        <f>SUM(G61)</f>
        <v>1.9E-3</v>
      </c>
      <c r="H62" s="21"/>
      <c r="I62" s="35"/>
    </row>
    <row r="63" spans="1:9" ht="12.75" customHeight="1" x14ac:dyDescent="0.2">
      <c r="F63" s="13"/>
      <c r="G63" s="14"/>
      <c r="H63" s="15"/>
    </row>
    <row r="64" spans="1:9" ht="12.75" customHeight="1" x14ac:dyDescent="0.2">
      <c r="B64" s="16" t="s">
        <v>95</v>
      </c>
      <c r="C64" s="16"/>
      <c r="F64" s="13"/>
      <c r="G64" s="14"/>
      <c r="H64" s="15"/>
    </row>
    <row r="65" spans="2:9" ht="12.75" customHeight="1" x14ac:dyDescent="0.2">
      <c r="B65" s="16" t="s">
        <v>96</v>
      </c>
      <c r="C65" s="16"/>
      <c r="F65" s="13">
        <v>-3.4079826000004232</v>
      </c>
      <c r="G65" s="14">
        <f>+ROUND(F65/VLOOKUP("Grand Total",$B$4:$F$283,5,0),4)</f>
        <v>-1.9E-3</v>
      </c>
      <c r="H65" s="15"/>
    </row>
    <row r="66" spans="2:9" ht="12.75" customHeight="1" x14ac:dyDescent="0.2">
      <c r="B66" s="18" t="s">
        <v>86</v>
      </c>
      <c r="C66" s="18"/>
      <c r="D66" s="18"/>
      <c r="E66" s="29"/>
      <c r="F66" s="19">
        <f>SUM(F65)</f>
        <v>-3.4079826000004232</v>
      </c>
      <c r="G66" s="51">
        <f>SUM(G65)</f>
        <v>-1.9E-3</v>
      </c>
      <c r="H66" s="21"/>
      <c r="I66" s="35"/>
    </row>
    <row r="67" spans="2:9" ht="12.75" customHeight="1" x14ac:dyDescent="0.2">
      <c r="B67" s="22" t="s">
        <v>97</v>
      </c>
      <c r="C67" s="22"/>
      <c r="D67" s="22"/>
      <c r="E67" s="30"/>
      <c r="F67" s="23">
        <f>+SUMIF($B$5:B66,"Total",$F$5:F66)</f>
        <v>1803.4760956999996</v>
      </c>
      <c r="G67" s="24">
        <f>+SUMIF($B$5:B66,"Total",$G$5:G66)</f>
        <v>1</v>
      </c>
      <c r="H67" s="25"/>
      <c r="I67" s="35"/>
    </row>
    <row r="68" spans="2:9" ht="12.75" customHeight="1" x14ac:dyDescent="0.2"/>
    <row r="69" spans="2:9" ht="12.75" customHeight="1" x14ac:dyDescent="0.2">
      <c r="B69" s="16"/>
      <c r="C69" s="16"/>
    </row>
    <row r="70" spans="2:9" ht="12.75" customHeight="1" x14ac:dyDescent="0.2">
      <c r="B70" s="16"/>
      <c r="C70" s="16"/>
    </row>
    <row r="71" spans="2:9" ht="12.75" customHeight="1" x14ac:dyDescent="0.2">
      <c r="B71" s="16"/>
      <c r="C71" s="16"/>
    </row>
    <row r="72" spans="2:9" ht="12.75" customHeight="1" x14ac:dyDescent="0.2">
      <c r="B72" s="16"/>
      <c r="C72" s="16"/>
    </row>
    <row r="73" spans="2:9" ht="12.75" customHeight="1" x14ac:dyDescent="0.2">
      <c r="B73" s="16"/>
      <c r="C73" s="16"/>
    </row>
    <row r="74" spans="2:9" ht="12.75" customHeight="1" x14ac:dyDescent="0.2"/>
    <row r="75" spans="2:9" ht="12.75" customHeight="1" x14ac:dyDescent="0.2"/>
    <row r="76" spans="2:9" ht="12.75" customHeight="1" x14ac:dyDescent="0.2"/>
    <row r="77" spans="2:9" ht="12.75" customHeight="1" x14ac:dyDescent="0.2"/>
    <row r="78" spans="2:9" ht="12.75" customHeight="1" x14ac:dyDescent="0.2"/>
    <row r="79" spans="2:9" ht="12.75" customHeight="1" x14ac:dyDescent="0.2"/>
    <row r="80" spans="2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sheetProtection password="EDB4" sheet="1" objects="1" scenarios="1"/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407</v>
      </c>
      <c r="B1" s="124" t="s">
        <v>527</v>
      </c>
      <c r="C1" s="125"/>
      <c r="D1" s="125"/>
      <c r="E1" s="125"/>
      <c r="F1" s="125"/>
      <c r="G1" s="125"/>
      <c r="H1" s="126"/>
    </row>
    <row r="2" spans="1:12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93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482</v>
      </c>
      <c r="C8" t="s">
        <v>307</v>
      </c>
      <c r="D8" t="s">
        <v>327</v>
      </c>
      <c r="E8" s="28">
        <v>561418.50529999996</v>
      </c>
      <c r="F8" s="13">
        <v>174.688175</v>
      </c>
      <c r="G8" s="14">
        <f>+ROUND(F8/VLOOKUP("Grand Total",$B$4:$F$294,5,0),4)</f>
        <v>0.58230000000000004</v>
      </c>
      <c r="H8" s="15" t="s">
        <v>388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344</v>
      </c>
      <c r="C9" t="s">
        <v>309</v>
      </c>
      <c r="D9" t="s">
        <v>327</v>
      </c>
      <c r="E9" s="28">
        <v>2611.7629999999999</v>
      </c>
      <c r="F9" s="13">
        <v>72.985589099999999</v>
      </c>
      <c r="G9" s="14">
        <f>+ROUND(F9/VLOOKUP("Grand Total",$B$4:$F$294,5,0),4)</f>
        <v>0.24329999999999999</v>
      </c>
      <c r="H9" s="15" t="s">
        <v>388</v>
      </c>
      <c r="J9" s="14" t="s">
        <v>327</v>
      </c>
      <c r="K9" s="48">
        <f>SUMIFS($G$5:$G$321,$D$5:$D$321,J9)</f>
        <v>0.98380000000000001</v>
      </c>
    </row>
    <row r="10" spans="1:12" ht="12.75" customHeight="1" x14ac:dyDescent="0.2">
      <c r="A10">
        <f>+MAX($A$7:A9)+1</f>
        <v>3</v>
      </c>
      <c r="B10" t="s">
        <v>483</v>
      </c>
      <c r="C10" t="s">
        <v>308</v>
      </c>
      <c r="D10" t="s">
        <v>327</v>
      </c>
      <c r="E10" s="28">
        <v>75838.378899999996</v>
      </c>
      <c r="F10" s="13">
        <v>47.467241399999999</v>
      </c>
      <c r="G10" s="14">
        <f>+ROUND(F10/VLOOKUP("Grand Total",$B$4:$F$294,5,0),4)</f>
        <v>0.15820000000000001</v>
      </c>
      <c r="H10" s="15" t="s">
        <v>388</v>
      </c>
      <c r="J10" s="14" t="s">
        <v>64</v>
      </c>
      <c r="K10" s="48">
        <f>+SUMIFS($G$5:$G$999,$B$5:$B$999,"CBLO / Reverse Repo Investments")+SUMIFS($G$5:$G$999,$B$5:$B$999,"Net Receivable/Payable")</f>
        <v>1.6199999999999999E-2</v>
      </c>
    </row>
    <row r="11" spans="1:12" ht="12.75" customHeight="1" x14ac:dyDescent="0.2">
      <c r="B11" s="18" t="s">
        <v>86</v>
      </c>
      <c r="C11" s="18"/>
      <c r="D11" s="18"/>
      <c r="E11" s="29"/>
      <c r="F11" s="19">
        <f>SUM(F8:F10)</f>
        <v>295.14100550000001</v>
      </c>
      <c r="G11" s="20">
        <f>SUM(G8:G10)</f>
        <v>0.98380000000000001</v>
      </c>
      <c r="H11" s="21"/>
      <c r="I11" s="35"/>
    </row>
    <row r="12" spans="1:12" ht="12.75" customHeight="1" x14ac:dyDescent="0.2">
      <c r="F12" s="13"/>
      <c r="G12" s="14"/>
      <c r="H12" s="15"/>
      <c r="L12" s="54">
        <f>+SUM($K$9:K10)</f>
        <v>1</v>
      </c>
    </row>
    <row r="13" spans="1:12" ht="12.75" customHeight="1" x14ac:dyDescent="0.2">
      <c r="B13" s="16" t="s">
        <v>94</v>
      </c>
      <c r="C13" s="16"/>
      <c r="F13" s="13">
        <v>5.5882408999999997</v>
      </c>
      <c r="G13" s="14">
        <f>+ROUND(F13/VLOOKUP("Grand Total",$B$4:$F$294,5,0),4)</f>
        <v>1.8599999999999998E-2</v>
      </c>
      <c r="H13" s="15">
        <v>43073</v>
      </c>
    </row>
    <row r="14" spans="1:12" ht="12.75" customHeight="1" x14ac:dyDescent="0.2">
      <c r="B14" s="18" t="s">
        <v>86</v>
      </c>
      <c r="C14" s="18"/>
      <c r="D14" s="18"/>
      <c r="E14" s="29"/>
      <c r="F14" s="19">
        <f>SUM(F13)</f>
        <v>5.5882408999999997</v>
      </c>
      <c r="G14" s="20">
        <f>SUM(G13)</f>
        <v>1.8599999999999998E-2</v>
      </c>
      <c r="H14" s="21"/>
      <c r="I14" s="35"/>
      <c r="J14" s="14"/>
    </row>
    <row r="15" spans="1:12" ht="12.75" customHeight="1" x14ac:dyDescent="0.2">
      <c r="F15" s="13"/>
      <c r="G15" s="14"/>
      <c r="H15" s="15"/>
      <c r="J15" s="14"/>
      <c r="L15" s="54"/>
    </row>
    <row r="16" spans="1:12" ht="12.75" customHeight="1" x14ac:dyDescent="0.2">
      <c r="B16" s="16" t="s">
        <v>95</v>
      </c>
      <c r="C16" s="16"/>
      <c r="F16" s="13"/>
      <c r="G16" s="14"/>
      <c r="H16" s="15"/>
    </row>
    <row r="17" spans="2:12" ht="12.75" customHeight="1" x14ac:dyDescent="0.2">
      <c r="B17" s="16" t="s">
        <v>96</v>
      </c>
      <c r="C17" s="16"/>
      <c r="F17" s="43">
        <v>-0.71222949999997809</v>
      </c>
      <c r="G17" s="14">
        <f>+ROUND(F17/VLOOKUP("Grand Total",$B$4:$F$294,5,0),4)</f>
        <v>-2.3999999999999998E-3</v>
      </c>
      <c r="H17" s="15"/>
      <c r="J17" s="14"/>
      <c r="L17" s="54"/>
    </row>
    <row r="18" spans="2:12" ht="12.75" customHeight="1" x14ac:dyDescent="0.2">
      <c r="B18" s="18" t="s">
        <v>86</v>
      </c>
      <c r="C18" s="18"/>
      <c r="D18" s="18"/>
      <c r="E18" s="29"/>
      <c r="F18" s="50">
        <f>SUM(F17:F17)</f>
        <v>-0.71222949999997809</v>
      </c>
      <c r="G18" s="20">
        <f>SUM(G17:G17)</f>
        <v>-2.3999999999999998E-3</v>
      </c>
      <c r="H18" s="21"/>
    </row>
    <row r="19" spans="2:12" ht="12.75" customHeight="1" x14ac:dyDescent="0.2">
      <c r="B19" s="22" t="s">
        <v>97</v>
      </c>
      <c r="C19" s="22"/>
      <c r="D19" s="22"/>
      <c r="E19" s="30"/>
      <c r="F19" s="23">
        <f>+SUMIF($B$5:B18,"Total",$F$5:F18)</f>
        <v>300.01701690000004</v>
      </c>
      <c r="G19" s="24">
        <f>+SUMIF($B$5:B18,"Total",$G$5:G18)</f>
        <v>1</v>
      </c>
      <c r="H19" s="25"/>
    </row>
    <row r="20" spans="2:12" ht="12.75" customHeight="1" x14ac:dyDescent="0.2">
      <c r="I20" s="35"/>
    </row>
    <row r="21" spans="2:12" ht="12.75" customHeight="1" x14ac:dyDescent="0.2">
      <c r="I21" s="35"/>
    </row>
    <row r="22" spans="2:12" ht="12.75" customHeight="1" x14ac:dyDescent="0.2"/>
    <row r="23" spans="2:12" ht="12.75" customHeight="1" x14ac:dyDescent="0.2">
      <c r="B23" s="16"/>
      <c r="C23" s="16"/>
    </row>
    <row r="24" spans="2:12" ht="12.75" customHeight="1" x14ac:dyDescent="0.2">
      <c r="B24" s="16"/>
      <c r="C24" s="16"/>
    </row>
    <row r="25" spans="2:12" ht="12.75" customHeight="1" x14ac:dyDescent="0.2">
      <c r="B25" s="16"/>
      <c r="C25" s="16"/>
    </row>
    <row r="26" spans="2:12" ht="12.75" customHeight="1" x14ac:dyDescent="0.2">
      <c r="B26" s="16"/>
      <c r="C26" s="16"/>
    </row>
    <row r="27" spans="2:12" ht="12.75" customHeight="1" x14ac:dyDescent="0.2">
      <c r="B27" s="16"/>
      <c r="C27" s="16"/>
    </row>
    <row r="28" spans="2:12" ht="12.75" customHeight="1" x14ac:dyDescent="0.2"/>
    <row r="29" spans="2:12" ht="12.75" customHeight="1" x14ac:dyDescent="0.2"/>
    <row r="30" spans="2:12" ht="12.75" customHeight="1" x14ac:dyDescent="0.2"/>
    <row r="31" spans="2:12" ht="12.75" customHeight="1" x14ac:dyDescent="0.2"/>
    <row r="32" spans="2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EDB4" sheet="1" objects="1" scenarios="1"/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408</v>
      </c>
      <c r="B1" s="124" t="s">
        <v>528</v>
      </c>
      <c r="C1" s="125"/>
      <c r="D1" s="125"/>
      <c r="E1" s="125"/>
      <c r="F1" s="125"/>
      <c r="G1" s="125"/>
      <c r="H1" s="126"/>
    </row>
    <row r="2" spans="1:12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93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483</v>
      </c>
      <c r="C8" t="s">
        <v>308</v>
      </c>
      <c r="D8" t="s">
        <v>327</v>
      </c>
      <c r="E8" s="28">
        <v>142319.2978</v>
      </c>
      <c r="F8" s="13">
        <v>89.077648499999995</v>
      </c>
      <c r="G8" s="14">
        <f>+ROUND(F8/VLOOKUP("Grand Total",$B$4:$F$295,5,0),4)</f>
        <v>0.54800000000000004</v>
      </c>
      <c r="H8" s="15" t="s">
        <v>388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311</v>
      </c>
      <c r="C9" t="s">
        <v>310</v>
      </c>
      <c r="D9" t="s">
        <v>327</v>
      </c>
      <c r="E9" s="28">
        <v>31820.3</v>
      </c>
      <c r="F9" s="13">
        <v>36.252867799999997</v>
      </c>
      <c r="G9" s="14">
        <f>+ROUND(F9/VLOOKUP("Grand Total",$B$4:$F$295,5,0),4)</f>
        <v>0.223</v>
      </c>
      <c r="H9" s="15" t="s">
        <v>388</v>
      </c>
      <c r="J9" s="14" t="s">
        <v>327</v>
      </c>
      <c r="K9" s="48">
        <f>SUMIFS($G$5:$G$321,$D$5:$D$321,J9)</f>
        <v>0.9991000000000001</v>
      </c>
    </row>
    <row r="10" spans="1:12" ht="12.75" customHeight="1" x14ac:dyDescent="0.2">
      <c r="A10">
        <f>+MAX($A$7:A9)+1</f>
        <v>3</v>
      </c>
      <c r="B10" t="s">
        <v>482</v>
      </c>
      <c r="C10" t="s">
        <v>307</v>
      </c>
      <c r="D10" t="s">
        <v>327</v>
      </c>
      <c r="E10" s="28">
        <v>80977.752200000003</v>
      </c>
      <c r="F10" s="13">
        <v>25.1966325</v>
      </c>
      <c r="G10" s="14">
        <f>+ROUND(F10/VLOOKUP("Grand Total",$B$4:$F$295,5,0),4)</f>
        <v>0.155</v>
      </c>
      <c r="H10" s="15" t="s">
        <v>388</v>
      </c>
      <c r="J10" s="14" t="s">
        <v>64</v>
      </c>
      <c r="K10" s="48">
        <f>+SUMIFS($G$5:$G$999,$B$5:$B$999,"CBLO / Reverse Repo Investments")+SUMIFS($G$5:$G$999,$B$5:$B$999,"Net Receivable/Payable")</f>
        <v>9.0000000000000019E-4</v>
      </c>
    </row>
    <row r="11" spans="1:12" ht="12.75" customHeight="1" x14ac:dyDescent="0.2">
      <c r="A11">
        <f>+MAX($A$7:A10)+1</f>
        <v>4</v>
      </c>
      <c r="B11" t="s">
        <v>344</v>
      </c>
      <c r="C11" t="s">
        <v>309</v>
      </c>
      <c r="D11" t="s">
        <v>327</v>
      </c>
      <c r="E11" s="28">
        <v>425.27300000000002</v>
      </c>
      <c r="F11" s="13">
        <v>11.884233200000001</v>
      </c>
      <c r="G11" s="14">
        <f>+ROUND(F11/VLOOKUP("Grand Total",$B$4:$F$295,5,0),4)</f>
        <v>7.3099999999999998E-2</v>
      </c>
      <c r="H11" s="15" t="s">
        <v>388</v>
      </c>
      <c r="J11" s="14"/>
    </row>
    <row r="12" spans="1:12" ht="12.75" customHeight="1" x14ac:dyDescent="0.2">
      <c r="B12" s="18" t="s">
        <v>86</v>
      </c>
      <c r="C12" s="18"/>
      <c r="D12" s="18"/>
      <c r="E12" s="29"/>
      <c r="F12" s="19">
        <f>SUM(F8:F11)</f>
        <v>162.411382</v>
      </c>
      <c r="G12" s="20">
        <f>SUM(G8:G11)</f>
        <v>0.9991000000000001</v>
      </c>
      <c r="H12" s="21"/>
      <c r="I12" s="35"/>
    </row>
    <row r="13" spans="1:12" ht="11.25" customHeight="1" x14ac:dyDescent="0.2">
      <c r="F13" s="13"/>
      <c r="G13" s="14"/>
      <c r="H13" s="15"/>
      <c r="L13" s="54">
        <f>+SUM($K$10:K10)</f>
        <v>9.0000000000000019E-4</v>
      </c>
    </row>
    <row r="14" spans="1:12" ht="12.75" customHeight="1" x14ac:dyDescent="0.2">
      <c r="A14" s="95" t="s">
        <v>387</v>
      </c>
      <c r="B14" s="16" t="s">
        <v>94</v>
      </c>
      <c r="C14" s="16"/>
      <c r="F14" s="13">
        <v>0.3991594</v>
      </c>
      <c r="G14" s="14">
        <f>+ROUND(F14/VLOOKUP("Grand Total",$B$4:$F$288,5,0),4)</f>
        <v>2.5000000000000001E-3</v>
      </c>
      <c r="H14" s="15">
        <v>43073</v>
      </c>
    </row>
    <row r="15" spans="1:12" ht="12.75" customHeight="1" x14ac:dyDescent="0.2">
      <c r="B15" s="18" t="s">
        <v>86</v>
      </c>
      <c r="C15" s="18"/>
      <c r="D15" s="18"/>
      <c r="E15" s="29"/>
      <c r="F15" s="19">
        <f>SUM(F14:F14)</f>
        <v>0.3991594</v>
      </c>
      <c r="G15" s="20">
        <f>SUM(G14:G14)</f>
        <v>2.5000000000000001E-3</v>
      </c>
      <c r="H15" s="21"/>
      <c r="I15" s="35"/>
    </row>
    <row r="16" spans="1:12" ht="12.75" customHeight="1" x14ac:dyDescent="0.2"/>
    <row r="17" spans="2:9" ht="12.75" customHeight="1" x14ac:dyDescent="0.2">
      <c r="B17" s="16" t="s">
        <v>95</v>
      </c>
      <c r="C17" s="16"/>
      <c r="F17" s="13"/>
      <c r="G17" s="14"/>
      <c r="H17" s="15"/>
    </row>
    <row r="18" spans="2:9" ht="12.75" customHeight="1" x14ac:dyDescent="0.2">
      <c r="B18" s="16" t="s">
        <v>96</v>
      </c>
      <c r="C18" s="16"/>
      <c r="F18" s="13">
        <v>-0.27210230000000024</v>
      </c>
      <c r="G18" s="14">
        <f>+ROUND(F18/VLOOKUP("Grand Total",$B$4:$F$295,5,0),4)+0.01%</f>
        <v>-1.5999999999999999E-3</v>
      </c>
      <c r="H18" s="15"/>
    </row>
    <row r="19" spans="2:9" ht="12.75" customHeight="1" x14ac:dyDescent="0.2">
      <c r="B19" s="18" t="s">
        <v>86</v>
      </c>
      <c r="C19" s="18"/>
      <c r="D19" s="18"/>
      <c r="E19" s="29"/>
      <c r="F19" s="19">
        <f>SUM(F18:F18)</f>
        <v>-0.27210230000000024</v>
      </c>
      <c r="G19" s="20">
        <f>SUM(G18:G18)</f>
        <v>-1.5999999999999999E-3</v>
      </c>
      <c r="H19" s="21"/>
      <c r="I19" s="35"/>
    </row>
    <row r="20" spans="2:9" ht="12.75" customHeight="1" x14ac:dyDescent="0.2">
      <c r="B20" s="22" t="s">
        <v>97</v>
      </c>
      <c r="C20" s="22"/>
      <c r="D20" s="22"/>
      <c r="E20" s="30"/>
      <c r="F20" s="23">
        <f>+SUMIF($B$5:B19,"Total",$F$5:F19)</f>
        <v>162.53843910000001</v>
      </c>
      <c r="G20" s="24">
        <f>+SUMIF($B$5:B19,"Total",$G$5:G19)</f>
        <v>1</v>
      </c>
      <c r="H20" s="25"/>
      <c r="I20" s="35"/>
    </row>
    <row r="21" spans="2:9" ht="12.75" customHeight="1" x14ac:dyDescent="0.2"/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>
      <c r="B25" s="16"/>
      <c r="C25" s="16"/>
    </row>
    <row r="26" spans="2:9" ht="12.75" customHeight="1" x14ac:dyDescent="0.2">
      <c r="B26" s="16"/>
      <c r="C26" s="16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EDB4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20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8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3" customWidth="1"/>
    <col min="11" max="11" width="21.5703125" bestFit="1" customWidth="1"/>
    <col min="12" max="12" width="8.28515625" style="36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4" t="s">
        <v>409</v>
      </c>
      <c r="B1" s="124" t="s">
        <v>338</v>
      </c>
      <c r="C1" s="125"/>
      <c r="D1" s="125"/>
      <c r="E1" s="125"/>
      <c r="F1" s="125"/>
      <c r="G1" s="125"/>
      <c r="H1" s="66"/>
      <c r="I1" s="66"/>
    </row>
    <row r="2" spans="1:13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  <c r="I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3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121" t="s">
        <v>594</v>
      </c>
      <c r="I4" s="32" t="s">
        <v>7</v>
      </c>
      <c r="J4" s="34"/>
    </row>
    <row r="5" spans="1:13" ht="12.75" customHeight="1" x14ac:dyDescent="0.2">
      <c r="B5" s="16"/>
      <c r="F5" s="13"/>
      <c r="G5" s="14"/>
      <c r="H5" s="14"/>
      <c r="I5" s="15"/>
    </row>
    <row r="6" spans="1:13" ht="12.75" customHeight="1" x14ac:dyDescent="0.2">
      <c r="B6" s="16"/>
      <c r="F6" s="13"/>
      <c r="G6" s="14"/>
      <c r="H6" s="14"/>
      <c r="I6" s="15"/>
    </row>
    <row r="7" spans="1:13" ht="12.75" customHeight="1" x14ac:dyDescent="0.2">
      <c r="B7" s="16" t="s">
        <v>9</v>
      </c>
      <c r="C7" s="16"/>
      <c r="F7" s="13"/>
      <c r="G7" s="14"/>
      <c r="H7" s="14"/>
      <c r="I7" s="15"/>
      <c r="K7" s="17" t="s">
        <v>4</v>
      </c>
      <c r="L7" s="37" t="s">
        <v>12</v>
      </c>
    </row>
    <row r="8" spans="1:13" ht="12.75" customHeight="1" x14ac:dyDescent="0.2">
      <c r="B8" s="16" t="s">
        <v>760</v>
      </c>
      <c r="C8" s="16"/>
      <c r="F8" s="13"/>
      <c r="G8" s="14"/>
      <c r="H8" s="14"/>
      <c r="I8" s="15"/>
      <c r="K8" s="106" t="s">
        <v>24</v>
      </c>
      <c r="L8" s="48">
        <f t="shared" ref="L8:L19" si="0">SUMIFS($G$5:$G$322,$D$5:$D$322,K8)</f>
        <v>0.17749999999999999</v>
      </c>
    </row>
    <row r="9" spans="1:13" s="77" customFormat="1" ht="12.75" customHeight="1" x14ac:dyDescent="0.2">
      <c r="A9" s="77">
        <f>+MAX($A$7:A8)+1</f>
        <v>1</v>
      </c>
      <c r="B9" s="77" t="s">
        <v>345</v>
      </c>
      <c r="C9" s="77" t="s">
        <v>346</v>
      </c>
      <c r="D9" s="77" t="s">
        <v>24</v>
      </c>
      <c r="E9" s="74">
        <v>118800</v>
      </c>
      <c r="F9" s="75">
        <v>74.071799999999996</v>
      </c>
      <c r="G9" s="76">
        <f>+ROUND(F9/VLOOKUP("Grand Total",$B$4:$F$222,5,0),4)</f>
        <v>9.4700000000000006E-2</v>
      </c>
      <c r="H9" s="76"/>
      <c r="I9" s="104"/>
      <c r="J9" s="105"/>
      <c r="K9" s="106" t="s">
        <v>327</v>
      </c>
      <c r="L9" s="48">
        <f t="shared" si="0"/>
        <v>0.152</v>
      </c>
      <c r="M9" s="75"/>
    </row>
    <row r="10" spans="1:13" s="77" customFormat="1" ht="12.75" customHeight="1" x14ac:dyDescent="0.2">
      <c r="A10" s="77">
        <f>+A9+1</f>
        <v>2</v>
      </c>
      <c r="B10" s="77" t="s">
        <v>345</v>
      </c>
      <c r="C10" s="123" t="s">
        <v>584</v>
      </c>
      <c r="D10" s="77" t="s">
        <v>330</v>
      </c>
      <c r="E10" s="74">
        <v>-118800</v>
      </c>
      <c r="F10" s="75">
        <v>-74.25</v>
      </c>
      <c r="G10" s="76"/>
      <c r="H10" s="76">
        <f>+ROUND(F10/VLOOKUP("Grand Total",$B$4:$F$222,5,0),4)</f>
        <v>-9.4899999999999998E-2</v>
      </c>
      <c r="I10" s="104">
        <v>43097</v>
      </c>
      <c r="J10" s="105"/>
      <c r="K10" s="106" t="s">
        <v>22</v>
      </c>
      <c r="L10" s="48">
        <f t="shared" si="0"/>
        <v>9.2100000000000001E-2</v>
      </c>
      <c r="M10" s="75"/>
    </row>
    <row r="11" spans="1:13" s="77" customFormat="1" ht="12.75" customHeight="1" x14ac:dyDescent="0.2">
      <c r="A11" s="77">
        <f t="shared" ref="A11:A26" si="1">+A10+1</f>
        <v>3</v>
      </c>
      <c r="B11" s="77" t="s">
        <v>219</v>
      </c>
      <c r="C11" s="77" t="s">
        <v>61</v>
      </c>
      <c r="D11" s="77" t="s">
        <v>22</v>
      </c>
      <c r="E11" s="74">
        <v>10400</v>
      </c>
      <c r="F11" s="75">
        <v>72.056399999999996</v>
      </c>
      <c r="G11" s="76">
        <f>+ROUND(F11/VLOOKUP("Grand Total",$B$4:$F$222,5,0),4)</f>
        <v>9.2100000000000001E-2</v>
      </c>
      <c r="H11" s="76"/>
      <c r="I11" s="104"/>
      <c r="J11" s="105"/>
      <c r="K11" s="106" t="s">
        <v>620</v>
      </c>
      <c r="L11" s="48">
        <f t="shared" si="0"/>
        <v>8.7999999999999995E-2</v>
      </c>
      <c r="M11" s="75"/>
    </row>
    <row r="12" spans="1:13" s="77" customFormat="1" ht="12.75" customHeight="1" x14ac:dyDescent="0.2">
      <c r="A12" s="77">
        <f t="shared" si="1"/>
        <v>4</v>
      </c>
      <c r="B12" s="77" t="s">
        <v>219</v>
      </c>
      <c r="C12" s="123" t="s">
        <v>584</v>
      </c>
      <c r="D12" s="77" t="s">
        <v>330</v>
      </c>
      <c r="E12" s="74">
        <v>-10400</v>
      </c>
      <c r="F12" s="75">
        <v>-72.576400000000007</v>
      </c>
      <c r="G12" s="76"/>
      <c r="H12" s="76">
        <f>+ROUND(F12/VLOOKUP("Grand Total",$B$4:$F$222,5,0),4)</f>
        <v>-9.2799999999999994E-2</v>
      </c>
      <c r="I12" s="104">
        <v>43097</v>
      </c>
      <c r="J12" s="105"/>
      <c r="K12" s="106" t="s">
        <v>100</v>
      </c>
      <c r="L12" s="48">
        <f t="shared" si="0"/>
        <v>8.6599999999999996E-2</v>
      </c>
      <c r="M12" s="75"/>
    </row>
    <row r="13" spans="1:13" s="77" customFormat="1" ht="12.75" customHeight="1" x14ac:dyDescent="0.2">
      <c r="A13" s="77">
        <f t="shared" si="1"/>
        <v>5</v>
      </c>
      <c r="B13" s="77" t="s">
        <v>247</v>
      </c>
      <c r="C13" s="77" t="s">
        <v>108</v>
      </c>
      <c r="D13" s="77" t="s">
        <v>100</v>
      </c>
      <c r="E13" s="74">
        <v>37500</v>
      </c>
      <c r="F13" s="75">
        <v>67.743750000000006</v>
      </c>
      <c r="G13" s="76">
        <f>+ROUND(F13/VLOOKUP("Grand Total",$B$4:$F$222,5,0),4)</f>
        <v>8.6599999999999996E-2</v>
      </c>
      <c r="H13" s="76"/>
      <c r="I13" s="104"/>
      <c r="J13" s="105"/>
      <c r="K13" s="106" t="s">
        <v>18</v>
      </c>
      <c r="L13" s="48">
        <f t="shared" si="0"/>
        <v>8.5599999999999996E-2</v>
      </c>
      <c r="M13" s="75"/>
    </row>
    <row r="14" spans="1:13" s="77" customFormat="1" ht="12.75" customHeight="1" x14ac:dyDescent="0.2">
      <c r="A14" s="77">
        <f t="shared" si="1"/>
        <v>6</v>
      </c>
      <c r="B14" s="77" t="s">
        <v>247</v>
      </c>
      <c r="C14" s="123" t="s">
        <v>584</v>
      </c>
      <c r="D14" s="77" t="s">
        <v>330</v>
      </c>
      <c r="E14" s="74">
        <v>-37500</v>
      </c>
      <c r="F14" s="75">
        <v>-68.231250000000003</v>
      </c>
      <c r="G14" s="76"/>
      <c r="H14" s="76">
        <f>+ROUND(F14/VLOOKUP("Grand Total",$B$4:$F$222,5,0),4)</f>
        <v>-8.72E-2</v>
      </c>
      <c r="I14" s="104">
        <v>43097</v>
      </c>
      <c r="J14" s="105"/>
      <c r="K14" s="106" t="s">
        <v>30</v>
      </c>
      <c r="L14" s="48">
        <f t="shared" si="0"/>
        <v>7.0699999999999999E-2</v>
      </c>
      <c r="M14" s="75"/>
    </row>
    <row r="15" spans="1:13" s="77" customFormat="1" ht="12.75" customHeight="1" x14ac:dyDescent="0.2">
      <c r="A15" s="77">
        <f t="shared" si="1"/>
        <v>7</v>
      </c>
      <c r="B15" s="77" t="s">
        <v>318</v>
      </c>
      <c r="C15" s="77" t="s">
        <v>67</v>
      </c>
      <c r="D15" s="77" t="s">
        <v>18</v>
      </c>
      <c r="E15" s="74">
        <v>38500</v>
      </c>
      <c r="F15" s="75">
        <v>66.932249999999996</v>
      </c>
      <c r="G15" s="76">
        <f>+ROUND(F15/VLOOKUP("Grand Total",$B$4:$F$222,5,0),4)</f>
        <v>8.5599999999999996E-2</v>
      </c>
      <c r="H15" s="76"/>
      <c r="I15" s="104"/>
      <c r="J15" s="105"/>
      <c r="K15" s="106" t="s">
        <v>32</v>
      </c>
      <c r="L15" s="48">
        <f t="shared" si="0"/>
        <v>6.6100000000000006E-2</v>
      </c>
      <c r="M15" s="75"/>
    </row>
    <row r="16" spans="1:13" s="77" customFormat="1" ht="12.75" customHeight="1" x14ac:dyDescent="0.2">
      <c r="A16" s="77">
        <f t="shared" si="1"/>
        <v>8</v>
      </c>
      <c r="B16" s="77" t="s">
        <v>318</v>
      </c>
      <c r="C16" s="123" t="s">
        <v>584</v>
      </c>
      <c r="D16" s="77" t="s">
        <v>330</v>
      </c>
      <c r="E16" s="74">
        <v>-38500</v>
      </c>
      <c r="F16" s="75">
        <v>-67.221000000000004</v>
      </c>
      <c r="G16" s="76"/>
      <c r="H16" s="76">
        <f>+ROUND(F16/VLOOKUP("Grand Total",$B$4:$F$222,5,0),4)</f>
        <v>-8.5900000000000004E-2</v>
      </c>
      <c r="I16" s="104">
        <v>43097</v>
      </c>
      <c r="J16" s="105"/>
      <c r="K16" s="106" t="s">
        <v>178</v>
      </c>
      <c r="L16" s="48">
        <f t="shared" si="0"/>
        <v>4.4999999999999998E-2</v>
      </c>
      <c r="M16" s="75"/>
    </row>
    <row r="17" spans="1:13" s="77" customFormat="1" ht="12.75" customHeight="1" x14ac:dyDescent="0.2">
      <c r="A17" s="77">
        <f t="shared" si="1"/>
        <v>9</v>
      </c>
      <c r="B17" s="77" t="s">
        <v>206</v>
      </c>
      <c r="C17" s="77" t="s">
        <v>44</v>
      </c>
      <c r="D17" s="77" t="s">
        <v>24</v>
      </c>
      <c r="E17" s="74">
        <v>10500</v>
      </c>
      <c r="F17" s="75">
        <v>64.737750000000005</v>
      </c>
      <c r="G17" s="76">
        <f>+ROUND(F17/VLOOKUP("Grand Total",$B$4:$F$222,5,0),4)</f>
        <v>8.2799999999999999E-2</v>
      </c>
      <c r="H17" s="76"/>
      <c r="I17" s="104"/>
      <c r="J17" s="105"/>
      <c r="K17" s="106" t="s">
        <v>37</v>
      </c>
      <c r="L17" s="48">
        <f t="shared" si="0"/>
        <v>4.1700000000000001E-2</v>
      </c>
      <c r="M17" s="75"/>
    </row>
    <row r="18" spans="1:13" s="77" customFormat="1" ht="12.75" customHeight="1" x14ac:dyDescent="0.2">
      <c r="A18" s="77">
        <f t="shared" si="1"/>
        <v>10</v>
      </c>
      <c r="B18" s="77" t="s">
        <v>206</v>
      </c>
      <c r="C18" s="123" t="s">
        <v>584</v>
      </c>
      <c r="D18" s="77" t="s">
        <v>330</v>
      </c>
      <c r="E18" s="74">
        <v>-10500</v>
      </c>
      <c r="F18" s="75">
        <v>-65.115750000000006</v>
      </c>
      <c r="G18" s="76"/>
      <c r="H18" s="76">
        <f>+ROUND(F18/VLOOKUP("Grand Total",$B$4:$F$222,5,0),4)</f>
        <v>-8.3299999999999999E-2</v>
      </c>
      <c r="I18" s="104">
        <v>43097</v>
      </c>
      <c r="J18" s="105"/>
      <c r="K18" s="106" t="s">
        <v>376</v>
      </c>
      <c r="L18" s="48">
        <f t="shared" si="0"/>
        <v>1.2800000000000001E-2</v>
      </c>
      <c r="M18" s="75"/>
    </row>
    <row r="19" spans="1:13" s="77" customFormat="1" ht="12.75" customHeight="1" x14ac:dyDescent="0.2">
      <c r="A19" s="77">
        <f t="shared" si="1"/>
        <v>11</v>
      </c>
      <c r="B19" s="77" t="s">
        <v>197</v>
      </c>
      <c r="C19" s="77" t="s">
        <v>31</v>
      </c>
      <c r="D19" s="77" t="s">
        <v>30</v>
      </c>
      <c r="E19" s="74">
        <v>6000</v>
      </c>
      <c r="F19" s="75">
        <v>55.292999999999999</v>
      </c>
      <c r="G19" s="76">
        <f>+ROUND(F19/VLOOKUP("Grand Total",$B$4:$F$222,5,0),4)</f>
        <v>7.0699999999999999E-2</v>
      </c>
      <c r="H19" s="76"/>
      <c r="I19" s="104"/>
      <c r="J19" s="105"/>
      <c r="K19" s="106" t="s">
        <v>330</v>
      </c>
      <c r="L19" s="48">
        <f t="shared" si="0"/>
        <v>0</v>
      </c>
      <c r="M19" s="75"/>
    </row>
    <row r="20" spans="1:13" s="77" customFormat="1" ht="12.75" customHeight="1" x14ac:dyDescent="0.2">
      <c r="A20" s="77">
        <f t="shared" si="1"/>
        <v>12</v>
      </c>
      <c r="B20" s="77" t="s">
        <v>197</v>
      </c>
      <c r="C20" s="123" t="s">
        <v>584</v>
      </c>
      <c r="D20" s="77" t="s">
        <v>330</v>
      </c>
      <c r="E20" s="74">
        <v>-6000</v>
      </c>
      <c r="F20" s="75">
        <v>-55.664999999999999</v>
      </c>
      <c r="G20" s="76"/>
      <c r="H20" s="76">
        <f>+ROUND(F20/VLOOKUP("Grand Total",$B$4:$F$222,5,0),4)</f>
        <v>-7.1199999999999999E-2</v>
      </c>
      <c r="I20" s="104">
        <v>43097</v>
      </c>
      <c r="J20" s="105"/>
      <c r="K20" s="14" t="s">
        <v>64</v>
      </c>
      <c r="L20" s="48">
        <f>+SUMIFS($G$5:$G$999,$B$5:$B$999,"CBLO / Reverse Repo Investments")+SUMIFS($G$5:$G$999,$B$5:$B$999,"Net Receivable/Payable")</f>
        <v>8.1900000000000001E-2</v>
      </c>
      <c r="M20" s="75"/>
    </row>
    <row r="21" spans="1:13" s="77" customFormat="1" ht="12.75" customHeight="1" x14ac:dyDescent="0.2">
      <c r="A21" s="77">
        <f t="shared" si="1"/>
        <v>13</v>
      </c>
      <c r="B21" s="77" t="s">
        <v>222</v>
      </c>
      <c r="C21" s="77" t="s">
        <v>74</v>
      </c>
      <c r="D21" s="77" t="s">
        <v>32</v>
      </c>
      <c r="E21" s="74">
        <v>22500</v>
      </c>
      <c r="F21" s="75">
        <v>51.693750000000001</v>
      </c>
      <c r="G21" s="76">
        <f>+ROUND(F21/VLOOKUP("Grand Total",$B$4:$F$222,5,0),4)</f>
        <v>6.6100000000000006E-2</v>
      </c>
      <c r="H21" s="76"/>
      <c r="I21" s="104"/>
      <c r="J21" s="105"/>
      <c r="K21" s="106"/>
      <c r="L21" s="48"/>
      <c r="M21" s="75"/>
    </row>
    <row r="22" spans="1:13" s="77" customFormat="1" ht="12.75" customHeight="1" x14ac:dyDescent="0.2">
      <c r="A22" s="77">
        <f t="shared" si="1"/>
        <v>14</v>
      </c>
      <c r="B22" s="77" t="s">
        <v>222</v>
      </c>
      <c r="C22" s="123" t="s">
        <v>584</v>
      </c>
      <c r="D22" s="77" t="s">
        <v>330</v>
      </c>
      <c r="E22" s="74">
        <v>-22500</v>
      </c>
      <c r="F22" s="75">
        <v>-52.008749999999999</v>
      </c>
      <c r="G22" s="76"/>
      <c r="H22" s="76">
        <f>+ROUND(F22/VLOOKUP("Grand Total",$B$4:$F$222,5,0),4)</f>
        <v>-6.6500000000000004E-2</v>
      </c>
      <c r="I22" s="104">
        <v>43097</v>
      </c>
      <c r="J22" s="105"/>
      <c r="K22" s="106"/>
      <c r="L22" s="48"/>
      <c r="M22" s="75"/>
    </row>
    <row r="23" spans="1:13" s="77" customFormat="1" ht="12.75" customHeight="1" x14ac:dyDescent="0.2">
      <c r="A23" s="77">
        <f t="shared" si="1"/>
        <v>15</v>
      </c>
      <c r="B23" s="77" t="s">
        <v>513</v>
      </c>
      <c r="C23" s="77" t="s">
        <v>514</v>
      </c>
      <c r="D23" s="77" t="s">
        <v>178</v>
      </c>
      <c r="E23" s="74">
        <v>24300</v>
      </c>
      <c r="F23" s="75">
        <v>35.198549999999997</v>
      </c>
      <c r="G23" s="76">
        <f>+ROUND(F23/VLOOKUP("Grand Total",$B$4:$F$222,5,0),4)</f>
        <v>4.4999999999999998E-2</v>
      </c>
      <c r="H23" s="76"/>
      <c r="I23" s="104"/>
      <c r="J23" s="105"/>
      <c r="K23" s="106"/>
      <c r="L23" s="48"/>
      <c r="M23" s="75"/>
    </row>
    <row r="24" spans="1:13" s="77" customFormat="1" ht="12.75" customHeight="1" x14ac:dyDescent="0.2">
      <c r="A24" s="77">
        <f t="shared" si="1"/>
        <v>16</v>
      </c>
      <c r="B24" s="77" t="s">
        <v>513</v>
      </c>
      <c r="C24" s="123" t="s">
        <v>584</v>
      </c>
      <c r="D24" s="77" t="s">
        <v>330</v>
      </c>
      <c r="E24" s="74">
        <v>-24300</v>
      </c>
      <c r="F24" s="75">
        <v>-35.368650000000002</v>
      </c>
      <c r="G24" s="76"/>
      <c r="H24" s="76">
        <f>+ROUND(F24/VLOOKUP("Grand Total",$B$4:$F$222,5,0),4)</f>
        <v>-4.5199999999999997E-2</v>
      </c>
      <c r="I24" s="104">
        <v>43097</v>
      </c>
      <c r="J24" s="105"/>
      <c r="K24" s="106"/>
      <c r="L24" s="48"/>
      <c r="M24" s="75"/>
    </row>
    <row r="25" spans="1:13" s="77" customFormat="1" ht="12.75" customHeight="1" x14ac:dyDescent="0.2">
      <c r="A25" s="77">
        <f t="shared" si="1"/>
        <v>17</v>
      </c>
      <c r="B25" s="77" t="s">
        <v>225</v>
      </c>
      <c r="C25" s="77" t="s">
        <v>226</v>
      </c>
      <c r="D25" s="77" t="s">
        <v>37</v>
      </c>
      <c r="E25" s="74">
        <v>4800</v>
      </c>
      <c r="F25" s="75">
        <v>32.625599999999999</v>
      </c>
      <c r="G25" s="76">
        <f>+ROUND(F25/VLOOKUP("Grand Total",$B$4:$F$222,5,0),4)</f>
        <v>4.1700000000000001E-2</v>
      </c>
      <c r="H25" s="76"/>
      <c r="I25" s="104"/>
      <c r="J25" s="105"/>
      <c r="K25" s="106"/>
      <c r="L25" s="48"/>
      <c r="M25" s="75"/>
    </row>
    <row r="26" spans="1:13" s="77" customFormat="1" ht="12.75" customHeight="1" x14ac:dyDescent="0.2">
      <c r="A26" s="77">
        <f t="shared" si="1"/>
        <v>18</v>
      </c>
      <c r="B26" s="77" t="s">
        <v>225</v>
      </c>
      <c r="C26" s="123" t="s">
        <v>584</v>
      </c>
      <c r="D26" s="77" t="s">
        <v>330</v>
      </c>
      <c r="E26" s="74">
        <v>-4800</v>
      </c>
      <c r="F26" s="75">
        <v>-32.8416</v>
      </c>
      <c r="G26" s="76"/>
      <c r="H26" s="76">
        <f>+ROUND(F26/VLOOKUP("Grand Total",$B$4:$F$222,5,0),4)</f>
        <v>-4.2000000000000003E-2</v>
      </c>
      <c r="I26" s="104">
        <v>43097</v>
      </c>
      <c r="J26" s="105"/>
      <c r="K26" s="106"/>
      <c r="L26" s="48"/>
      <c r="M26" s="75"/>
    </row>
    <row r="27" spans="1:13" ht="12.75" customHeight="1" x14ac:dyDescent="0.2">
      <c r="B27" s="18" t="s">
        <v>86</v>
      </c>
      <c r="C27" s="18"/>
      <c r="D27" s="18"/>
      <c r="E27" s="19">
        <f>+E9+E11+E13+E15+E17+E19+E21+E23+E25</f>
        <v>273300</v>
      </c>
      <c r="F27" s="19">
        <f>+F9+F11+F13+F15+F17+F19+F21+F23+F25</f>
        <v>520.35284999999999</v>
      </c>
      <c r="G27" s="20">
        <f>+G9+G11+G13+G15+G17+G19+G21+G23+G25</f>
        <v>0.66530000000000011</v>
      </c>
      <c r="H27" s="20">
        <f>SUM(H9:H26)</f>
        <v>-0.66900000000000004</v>
      </c>
      <c r="I27" s="21"/>
      <c r="J27" s="55"/>
      <c r="K27" s="46"/>
      <c r="L27" s="48"/>
    </row>
    <row r="28" spans="1:13" s="46" customFormat="1" ht="12.75" customHeight="1" x14ac:dyDescent="0.2">
      <c r="B28" s="67"/>
      <c r="C28" s="67"/>
      <c r="D28" s="67"/>
      <c r="E28" s="68"/>
      <c r="F28" s="69"/>
      <c r="G28" s="70"/>
      <c r="H28" s="70"/>
      <c r="I28" s="33"/>
      <c r="K28" s="14"/>
      <c r="L28" s="48"/>
    </row>
    <row r="29" spans="1:13" ht="12.75" customHeight="1" x14ac:dyDescent="0.2">
      <c r="B29" s="16" t="s">
        <v>92</v>
      </c>
      <c r="C29" s="16"/>
      <c r="F29" s="13"/>
      <c r="G29" s="14"/>
      <c r="H29" s="14"/>
      <c r="I29" s="33"/>
      <c r="J29"/>
      <c r="K29" s="36"/>
      <c r="L29"/>
    </row>
    <row r="30" spans="1:13" ht="12.75" customHeight="1" x14ac:dyDescent="0.2">
      <c r="B30" s="16" t="s">
        <v>314</v>
      </c>
      <c r="C30" s="16"/>
      <c r="F30" s="13"/>
      <c r="G30" s="14"/>
      <c r="H30" s="14"/>
      <c r="I30" s="33"/>
      <c r="J30"/>
      <c r="K30" s="36"/>
      <c r="L30"/>
    </row>
    <row r="31" spans="1:13" ht="12.75" customHeight="1" x14ac:dyDescent="0.2">
      <c r="A31">
        <f>+MAX($A$7:A30)+1</f>
        <v>19</v>
      </c>
      <c r="B31" s="65" t="s">
        <v>619</v>
      </c>
      <c r="C31" t="s">
        <v>703</v>
      </c>
      <c r="D31" t="s">
        <v>620</v>
      </c>
      <c r="E31" s="28">
        <v>14</v>
      </c>
      <c r="F31" s="13">
        <v>68.832120000000003</v>
      </c>
      <c r="G31" s="14">
        <f>+ROUND(F31/VLOOKUP("Grand Total",$B$4:$F$248,5,0),4)</f>
        <v>8.7999999999999995E-2</v>
      </c>
      <c r="H31" s="14"/>
      <c r="I31" s="15">
        <v>43129</v>
      </c>
      <c r="J31"/>
      <c r="K31" s="36"/>
      <c r="L31"/>
    </row>
    <row r="32" spans="1:13" ht="12.75" customHeight="1" x14ac:dyDescent="0.2">
      <c r="B32" s="18" t="s">
        <v>86</v>
      </c>
      <c r="C32" s="18"/>
      <c r="D32" s="18"/>
      <c r="E32" s="29"/>
      <c r="F32" s="19">
        <f>SUM(F31:F31)</f>
        <v>68.832120000000003</v>
      </c>
      <c r="G32" s="20">
        <f>SUM(G31:G31)</f>
        <v>8.7999999999999995E-2</v>
      </c>
      <c r="H32" s="20"/>
      <c r="I32" s="21"/>
      <c r="J32"/>
      <c r="K32" s="36"/>
      <c r="L32"/>
    </row>
    <row r="33" spans="1:12" s="46" customFormat="1" ht="12.75" customHeight="1" x14ac:dyDescent="0.2">
      <c r="B33" s="67"/>
      <c r="C33" s="67"/>
      <c r="D33" s="67"/>
      <c r="E33" s="68"/>
      <c r="F33" s="69"/>
      <c r="G33" s="70"/>
      <c r="H33" s="70"/>
      <c r="I33" s="33"/>
      <c r="K33" s="48"/>
    </row>
    <row r="34" spans="1:12" ht="12.75" customHeight="1" x14ac:dyDescent="0.2">
      <c r="B34" s="16" t="s">
        <v>126</v>
      </c>
      <c r="C34" s="16"/>
      <c r="F34" s="13"/>
      <c r="G34" s="14"/>
      <c r="H34" s="14"/>
      <c r="I34" s="33"/>
      <c r="J34"/>
      <c r="K34" s="36"/>
      <c r="L34"/>
    </row>
    <row r="35" spans="1:12" ht="12.75" customHeight="1" x14ac:dyDescent="0.2">
      <c r="B35" s="31" t="s">
        <v>313</v>
      </c>
      <c r="C35" s="16"/>
      <c r="F35" s="13"/>
      <c r="G35" s="14"/>
      <c r="H35" s="14"/>
      <c r="I35" s="33"/>
      <c r="J35"/>
      <c r="K35" s="36"/>
      <c r="L35"/>
    </row>
    <row r="36" spans="1:12" ht="12.75" customHeight="1" x14ac:dyDescent="0.2">
      <c r="A36">
        <f>+MAX($A$7:A35)+1</f>
        <v>20</v>
      </c>
      <c r="B36" s="65" t="s">
        <v>374</v>
      </c>
      <c r="C36" t="s">
        <v>377</v>
      </c>
      <c r="D36" t="s">
        <v>376</v>
      </c>
      <c r="E36" s="28">
        <v>1</v>
      </c>
      <c r="F36" s="13">
        <v>10.04447</v>
      </c>
      <c r="G36" s="14">
        <f>+ROUND(F36/VLOOKUP("Grand Total",$B$4:$F$248,5,0),4)</f>
        <v>1.2800000000000001E-2</v>
      </c>
      <c r="H36" s="14"/>
      <c r="I36" s="15">
        <v>43175</v>
      </c>
      <c r="J36"/>
      <c r="K36" s="36"/>
      <c r="L36"/>
    </row>
    <row r="37" spans="1:12" ht="12.75" customHeight="1" x14ac:dyDescent="0.2">
      <c r="B37" s="18" t="s">
        <v>86</v>
      </c>
      <c r="C37" s="18"/>
      <c r="D37" s="18"/>
      <c r="E37" s="29"/>
      <c r="F37" s="19">
        <f>SUM(F36:F36)</f>
        <v>10.04447</v>
      </c>
      <c r="G37" s="20">
        <f>SUM(G36:G36)</f>
        <v>1.2800000000000001E-2</v>
      </c>
      <c r="H37" s="20"/>
      <c r="I37" s="21"/>
      <c r="J37"/>
      <c r="K37" s="36"/>
      <c r="L37"/>
    </row>
    <row r="38" spans="1:12" s="46" customFormat="1" ht="12.75" customHeight="1" x14ac:dyDescent="0.2">
      <c r="B38" s="67"/>
      <c r="C38" s="67"/>
      <c r="D38" s="67"/>
      <c r="E38" s="68"/>
      <c r="F38" s="69"/>
      <c r="G38" s="70"/>
      <c r="H38" s="70"/>
      <c r="I38" s="33"/>
      <c r="K38" s="48"/>
    </row>
    <row r="39" spans="1:12" ht="12.75" customHeight="1" x14ac:dyDescent="0.2">
      <c r="B39" s="16" t="s">
        <v>93</v>
      </c>
      <c r="C39" s="16"/>
      <c r="F39" s="13"/>
      <c r="G39" s="14"/>
      <c r="H39" s="14"/>
      <c r="I39" s="33"/>
      <c r="J39"/>
      <c r="K39" s="36"/>
      <c r="L39"/>
    </row>
    <row r="40" spans="1:12" ht="12.75" customHeight="1" x14ac:dyDescent="0.2">
      <c r="A40">
        <f>+MAX($A$7:A39)+1</f>
        <v>21</v>
      </c>
      <c r="B40" t="s">
        <v>472</v>
      </c>
      <c r="C40" t="s">
        <v>367</v>
      </c>
      <c r="D40" t="s">
        <v>327</v>
      </c>
      <c r="E40" s="28">
        <v>7213.5565999999999</v>
      </c>
      <c r="F40" s="13">
        <v>118.9090461</v>
      </c>
      <c r="G40" s="14">
        <f>+ROUND(F40/VLOOKUP("Grand Total",$B$4:$F$257,5,0),4)</f>
        <v>0.152</v>
      </c>
      <c r="H40" s="14"/>
      <c r="I40" s="33" t="s">
        <v>388</v>
      </c>
      <c r="J40"/>
      <c r="K40" s="36"/>
      <c r="L40"/>
    </row>
    <row r="41" spans="1:12" ht="12.75" customHeight="1" x14ac:dyDescent="0.2">
      <c r="B41" s="18" t="s">
        <v>86</v>
      </c>
      <c r="C41" s="18"/>
      <c r="D41" s="18"/>
      <c r="E41" s="29"/>
      <c r="F41" s="19">
        <f>SUM(F40)</f>
        <v>118.9090461</v>
      </c>
      <c r="G41" s="20">
        <f>SUM(G40)</f>
        <v>0.152</v>
      </c>
      <c r="H41" s="20"/>
      <c r="I41" s="21"/>
      <c r="J41"/>
      <c r="K41" s="36"/>
      <c r="L41"/>
    </row>
    <row r="42" spans="1:12" s="46" customFormat="1" ht="12.75" customHeight="1" x14ac:dyDescent="0.2">
      <c r="B42" s="67"/>
      <c r="C42" s="67"/>
      <c r="D42" s="67"/>
      <c r="E42" s="68"/>
      <c r="F42" s="69"/>
      <c r="G42" s="70"/>
      <c r="H42" s="70"/>
      <c r="I42" s="33"/>
      <c r="K42" s="48"/>
    </row>
    <row r="43" spans="1:12" ht="12.75" customHeight="1" x14ac:dyDescent="0.2">
      <c r="A43" s="95" t="s">
        <v>387</v>
      </c>
      <c r="B43" s="16" t="s">
        <v>94</v>
      </c>
      <c r="C43" s="16"/>
      <c r="F43" s="13">
        <v>61.969652199999999</v>
      </c>
      <c r="G43" s="14">
        <f>+ROUND(F43/VLOOKUP("Grand Total",$B$4:$F$222,5,0),4)</f>
        <v>7.9200000000000007E-2</v>
      </c>
      <c r="H43" s="14"/>
      <c r="I43" s="15">
        <v>43073</v>
      </c>
      <c r="J43" s="56"/>
      <c r="K43" s="46"/>
      <c r="L43" s="74"/>
    </row>
    <row r="44" spans="1:12" ht="12.75" customHeight="1" x14ac:dyDescent="0.2">
      <c r="B44" s="18" t="s">
        <v>86</v>
      </c>
      <c r="C44" s="18"/>
      <c r="D44" s="18"/>
      <c r="E44" s="29"/>
      <c r="F44" s="19">
        <f>SUM(F43)</f>
        <v>61.969652199999999</v>
      </c>
      <c r="G44" s="20">
        <f>SUM(G43)</f>
        <v>7.9200000000000007E-2</v>
      </c>
      <c r="H44" s="20"/>
      <c r="I44" s="21"/>
      <c r="J44" s="55"/>
      <c r="K44" s="46"/>
      <c r="L44" s="74"/>
    </row>
    <row r="45" spans="1:12" ht="12.75" customHeight="1" x14ac:dyDescent="0.2">
      <c r="F45" s="13"/>
      <c r="G45" s="14"/>
      <c r="H45" s="14"/>
      <c r="I45" s="15"/>
      <c r="J45" s="56"/>
      <c r="K45" s="46"/>
      <c r="L45" s="74"/>
    </row>
    <row r="46" spans="1:12" ht="12.75" customHeight="1" x14ac:dyDescent="0.2">
      <c r="B46" s="16" t="s">
        <v>95</v>
      </c>
      <c r="C46" s="16"/>
      <c r="F46" s="13"/>
      <c r="G46" s="14"/>
      <c r="H46" s="14"/>
      <c r="I46" s="15"/>
      <c r="J46" s="56"/>
      <c r="K46" s="46"/>
      <c r="L46" s="74"/>
    </row>
    <row r="47" spans="1:12" ht="12.75" customHeight="1" x14ac:dyDescent="0.2">
      <c r="B47" s="16" t="s">
        <v>96</v>
      </c>
      <c r="C47" s="16"/>
      <c r="F47" s="44">
        <f>+F49-SUMIF($B$5:B46,"Total",$F$5:F46)</f>
        <v>2.0219407000001866</v>
      </c>
      <c r="G47" s="45">
        <f>+ROUND(F47/VLOOKUP("Grand Total",$B$4:$F$222,5,0),4)+0.01%</f>
        <v>2.6999999999999997E-3</v>
      </c>
      <c r="H47" s="45"/>
      <c r="I47" s="15"/>
      <c r="J47" s="56"/>
      <c r="K47" s="46"/>
      <c r="L47" s="74"/>
    </row>
    <row r="48" spans="1:12" ht="12.75" customHeight="1" x14ac:dyDescent="0.2">
      <c r="B48" s="18" t="s">
        <v>86</v>
      </c>
      <c r="C48" s="18"/>
      <c r="D48" s="18"/>
      <c r="E48" s="29"/>
      <c r="F48" s="19">
        <f>SUM(F47:F47)</f>
        <v>2.0219407000001866</v>
      </c>
      <c r="G48" s="20">
        <f>SUM(G47:G47)</f>
        <v>2.6999999999999997E-3</v>
      </c>
      <c r="H48" s="20"/>
      <c r="I48" s="21"/>
      <c r="J48" s="55"/>
      <c r="K48" s="46"/>
      <c r="L48" s="74"/>
    </row>
    <row r="49" spans="2:12" ht="12.75" customHeight="1" x14ac:dyDescent="0.2">
      <c r="B49" s="22" t="s">
        <v>97</v>
      </c>
      <c r="C49" s="22"/>
      <c r="D49" s="22"/>
      <c r="E49" s="30"/>
      <c r="F49" s="23">
        <v>782.13007900000025</v>
      </c>
      <c r="G49" s="24">
        <f>+SUMIF($B$5:B48,"Total",$G$5:G48)</f>
        <v>1.0000000000000002</v>
      </c>
      <c r="H49" s="24"/>
      <c r="I49" s="25"/>
      <c r="J49" s="39"/>
      <c r="K49" s="46"/>
      <c r="L49" s="74"/>
    </row>
    <row r="50" spans="2:12" ht="12.75" customHeight="1" x14ac:dyDescent="0.2">
      <c r="F50" s="40"/>
      <c r="K50" s="46"/>
      <c r="L50" s="74"/>
    </row>
    <row r="51" spans="2:12" ht="12.75" customHeight="1" x14ac:dyDescent="0.2">
      <c r="B51" s="16" t="s">
        <v>192</v>
      </c>
      <c r="C51" s="16"/>
      <c r="K51" s="46"/>
      <c r="L51" s="74"/>
    </row>
    <row r="52" spans="2:12" ht="12.75" customHeight="1" x14ac:dyDescent="0.2">
      <c r="B52" s="16" t="s">
        <v>189</v>
      </c>
      <c r="C52" s="16"/>
      <c r="G52" s="14"/>
      <c r="H52" s="14"/>
    </row>
    <row r="53" spans="2:12" ht="12.75" customHeight="1" x14ac:dyDescent="0.2">
      <c r="B53" s="16"/>
      <c r="C53" s="16"/>
    </row>
    <row r="54" spans="2:12" ht="12.75" customHeight="1" x14ac:dyDescent="0.2">
      <c r="B54" s="16"/>
      <c r="C54" s="16"/>
      <c r="K54" s="46"/>
      <c r="L54" s="48"/>
    </row>
    <row r="55" spans="2:12" x14ac:dyDescent="0.2">
      <c r="E55"/>
      <c r="F55" s="100"/>
      <c r="J55"/>
      <c r="K55" s="46"/>
      <c r="L55" s="48"/>
    </row>
    <row r="56" spans="2:12" x14ac:dyDescent="0.2">
      <c r="E56"/>
      <c r="J56"/>
    </row>
    <row r="57" spans="2:12" x14ac:dyDescent="0.2">
      <c r="E57"/>
      <c r="J57"/>
    </row>
    <row r="58" spans="2:12" x14ac:dyDescent="0.2">
      <c r="E58"/>
      <c r="J58"/>
    </row>
    <row r="59" spans="2:12" x14ac:dyDescent="0.2">
      <c r="E59"/>
      <c r="J59"/>
      <c r="K59" s="36"/>
      <c r="L59"/>
    </row>
    <row r="60" spans="2:12" x14ac:dyDescent="0.2">
      <c r="E60"/>
      <c r="J60"/>
      <c r="K60" s="36"/>
      <c r="L60"/>
    </row>
    <row r="61" spans="2:12" x14ac:dyDescent="0.2">
      <c r="E61"/>
      <c r="J61"/>
      <c r="K61" s="36"/>
      <c r="L61"/>
    </row>
    <row r="62" spans="2:12" x14ac:dyDescent="0.2">
      <c r="E62"/>
      <c r="J62"/>
      <c r="K62" s="36"/>
      <c r="L62"/>
    </row>
    <row r="63" spans="2:12" x14ac:dyDescent="0.2">
      <c r="E63"/>
      <c r="J63"/>
      <c r="K63" s="36"/>
      <c r="L63"/>
    </row>
    <row r="64" spans="2:12" x14ac:dyDescent="0.2">
      <c r="E64"/>
      <c r="J64"/>
      <c r="K64" s="36"/>
      <c r="L64"/>
    </row>
    <row r="65" spans="5:12" x14ac:dyDescent="0.2">
      <c r="E65"/>
      <c r="J65"/>
      <c r="K65" s="36"/>
      <c r="L65"/>
    </row>
    <row r="66" spans="5:12" x14ac:dyDescent="0.2">
      <c r="E66"/>
      <c r="J66"/>
      <c r="K66" s="36"/>
      <c r="L66"/>
    </row>
    <row r="67" spans="5:12" x14ac:dyDescent="0.2">
      <c r="E67"/>
      <c r="J67"/>
      <c r="K67" s="36"/>
      <c r="L67"/>
    </row>
    <row r="68" spans="5:12" x14ac:dyDescent="0.2">
      <c r="E68"/>
      <c r="J68"/>
      <c r="K68" s="36"/>
      <c r="L68"/>
    </row>
    <row r="69" spans="5:12" x14ac:dyDescent="0.2">
      <c r="E69"/>
      <c r="J69"/>
      <c r="K69" s="36"/>
      <c r="L69"/>
    </row>
    <row r="70" spans="5:12" x14ac:dyDescent="0.2">
      <c r="E70"/>
      <c r="J70"/>
      <c r="K70" s="36"/>
      <c r="L70"/>
    </row>
    <row r="71" spans="5:12" x14ac:dyDescent="0.2">
      <c r="E71"/>
      <c r="J71"/>
      <c r="K71" s="36"/>
      <c r="L71"/>
    </row>
    <row r="72" spans="5:12" x14ac:dyDescent="0.2">
      <c r="E72"/>
      <c r="J72"/>
    </row>
    <row r="73" spans="5:12" x14ac:dyDescent="0.2">
      <c r="E73"/>
      <c r="J73"/>
    </row>
    <row r="74" spans="5:12" x14ac:dyDescent="0.2">
      <c r="E74"/>
      <c r="J74"/>
    </row>
    <row r="75" spans="5:12" x14ac:dyDescent="0.2">
      <c r="E75"/>
      <c r="J75"/>
    </row>
    <row r="76" spans="5:12" x14ac:dyDescent="0.2">
      <c r="E76"/>
      <c r="J76"/>
    </row>
    <row r="77" spans="5:12" x14ac:dyDescent="0.2">
      <c r="E77"/>
      <c r="J77"/>
    </row>
    <row r="78" spans="5:12" x14ac:dyDescent="0.2">
      <c r="E78"/>
      <c r="J78"/>
    </row>
    <row r="79" spans="5:12" x14ac:dyDescent="0.2">
      <c r="E79"/>
      <c r="J79"/>
    </row>
    <row r="80" spans="5:12" x14ac:dyDescent="0.2">
      <c r="E80"/>
      <c r="J80"/>
    </row>
    <row r="81" spans="5:12" x14ac:dyDescent="0.2">
      <c r="E81"/>
      <c r="J81"/>
    </row>
    <row r="82" spans="5:12" x14ac:dyDescent="0.2">
      <c r="E82"/>
      <c r="J82"/>
    </row>
    <row r="83" spans="5:12" x14ac:dyDescent="0.2">
      <c r="E83"/>
      <c r="J83"/>
      <c r="L83"/>
    </row>
    <row r="84" spans="5:12" x14ac:dyDescent="0.2">
      <c r="E84"/>
      <c r="J84"/>
      <c r="L84"/>
    </row>
    <row r="85" spans="5:12" x14ac:dyDescent="0.2">
      <c r="E85"/>
      <c r="J85"/>
      <c r="L85"/>
    </row>
    <row r="86" spans="5:12" x14ac:dyDescent="0.2">
      <c r="E86"/>
      <c r="J86"/>
      <c r="L86"/>
    </row>
    <row r="87" spans="5:12" x14ac:dyDescent="0.2">
      <c r="E87"/>
      <c r="J87"/>
      <c r="L87"/>
    </row>
    <row r="88" spans="5:12" x14ac:dyDescent="0.2">
      <c r="E88"/>
      <c r="J88"/>
      <c r="L88"/>
    </row>
    <row r="89" spans="5:12" x14ac:dyDescent="0.2">
      <c r="E89"/>
      <c r="J89"/>
      <c r="L89"/>
    </row>
    <row r="90" spans="5:12" x14ac:dyDescent="0.2">
      <c r="E90"/>
      <c r="J90"/>
      <c r="L90"/>
    </row>
    <row r="91" spans="5:12" x14ac:dyDescent="0.2">
      <c r="E91"/>
      <c r="J91"/>
      <c r="L91"/>
    </row>
    <row r="92" spans="5:12" x14ac:dyDescent="0.2">
      <c r="E92"/>
      <c r="J92"/>
      <c r="L92"/>
    </row>
    <row r="93" spans="5:12" x14ac:dyDescent="0.2">
      <c r="L93"/>
    </row>
    <row r="94" spans="5:12" x14ac:dyDescent="0.2">
      <c r="L94"/>
    </row>
    <row r="95" spans="5:12" x14ac:dyDescent="0.2">
      <c r="L95"/>
    </row>
    <row r="96" spans="5:12" x14ac:dyDescent="0.2">
      <c r="L96"/>
    </row>
    <row r="97" spans="5:12" x14ac:dyDescent="0.2">
      <c r="L97"/>
    </row>
    <row r="98" spans="5:12" x14ac:dyDescent="0.2">
      <c r="L98"/>
    </row>
    <row r="99" spans="5:12" x14ac:dyDescent="0.2">
      <c r="L99"/>
    </row>
    <row r="100" spans="5:12" x14ac:dyDescent="0.2">
      <c r="E100"/>
      <c r="J100"/>
      <c r="L100"/>
    </row>
    <row r="101" spans="5:12" x14ac:dyDescent="0.2">
      <c r="E101"/>
      <c r="J101"/>
      <c r="L101"/>
    </row>
    <row r="102" spans="5:12" x14ac:dyDescent="0.2">
      <c r="E102"/>
      <c r="J102"/>
      <c r="L102"/>
    </row>
    <row r="103" spans="5:12" x14ac:dyDescent="0.2">
      <c r="E103"/>
      <c r="J103"/>
      <c r="L103"/>
    </row>
    <row r="104" spans="5:12" x14ac:dyDescent="0.2">
      <c r="E104"/>
      <c r="J104"/>
      <c r="L104"/>
    </row>
    <row r="105" spans="5:12" x14ac:dyDescent="0.2">
      <c r="E105"/>
      <c r="J105"/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E109"/>
      <c r="J109"/>
      <c r="L109"/>
    </row>
    <row r="110" spans="5:12" x14ac:dyDescent="0.2">
      <c r="E110"/>
      <c r="J110"/>
      <c r="L110"/>
    </row>
    <row r="111" spans="5:12" x14ac:dyDescent="0.2">
      <c r="E111"/>
      <c r="J111"/>
      <c r="L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</sheetData>
  <sheetProtection password="EDB4" sheet="1" objects="1" scenarios="1"/>
  <sortState ref="K8:L19">
    <sortCondition descending="1" ref="L8:L19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1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390</v>
      </c>
      <c r="B1" s="124" t="s">
        <v>127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425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195</v>
      </c>
      <c r="C9" t="s">
        <v>13</v>
      </c>
      <c r="D9" t="s">
        <v>10</v>
      </c>
      <c r="E9" s="28">
        <v>97268</v>
      </c>
      <c r="F9" s="13">
        <v>1803.056916</v>
      </c>
      <c r="G9" s="14">
        <f t="shared" ref="G9:G40" si="0">+ROUND(F9/VLOOKUP("Grand Total",$B$4:$F$293,5,0),4)</f>
        <v>5.67E-2</v>
      </c>
      <c r="H9" s="15"/>
      <c r="J9" s="14" t="s">
        <v>10</v>
      </c>
      <c r="K9" s="48">
        <f t="shared" ref="K9:K31" si="1">SUMIFS($G$5:$G$326,$D$5:$D$326,J9)</f>
        <v>0.24230000000000002</v>
      </c>
    </row>
    <row r="10" spans="1:16" ht="12.75" customHeight="1" x14ac:dyDescent="0.2">
      <c r="A10">
        <f>+MAX($A$8:A9)+1</f>
        <v>2</v>
      </c>
      <c r="B10" t="s">
        <v>198</v>
      </c>
      <c r="C10" t="s">
        <v>11</v>
      </c>
      <c r="D10" t="s">
        <v>10</v>
      </c>
      <c r="E10" s="28">
        <v>511908</v>
      </c>
      <c r="F10" s="13">
        <v>1574.3730540000001</v>
      </c>
      <c r="G10" s="14">
        <f t="shared" si="0"/>
        <v>4.9500000000000002E-2</v>
      </c>
      <c r="H10" s="15"/>
      <c r="J10" s="14" t="s">
        <v>26</v>
      </c>
      <c r="K10" s="48">
        <f t="shared" si="1"/>
        <v>0.1275</v>
      </c>
    </row>
    <row r="11" spans="1:16" ht="12.75" customHeight="1" x14ac:dyDescent="0.2">
      <c r="A11">
        <f>+MAX($A$8:A10)+1</f>
        <v>3</v>
      </c>
      <c r="B11" t="s">
        <v>197</v>
      </c>
      <c r="C11" t="s">
        <v>31</v>
      </c>
      <c r="D11" t="s">
        <v>30</v>
      </c>
      <c r="E11" s="28">
        <v>152446</v>
      </c>
      <c r="F11" s="13">
        <v>1404.866113</v>
      </c>
      <c r="G11" s="14">
        <f t="shared" si="0"/>
        <v>4.41E-2</v>
      </c>
      <c r="H11" s="15"/>
      <c r="J11" s="14" t="s">
        <v>20</v>
      </c>
      <c r="K11" s="48">
        <f t="shared" si="1"/>
        <v>9.1900000000000009E-2</v>
      </c>
      <c r="L11" s="36"/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213</v>
      </c>
      <c r="C12" t="s">
        <v>49</v>
      </c>
      <c r="D12" t="s">
        <v>20</v>
      </c>
      <c r="E12" s="28">
        <v>15964</v>
      </c>
      <c r="F12" s="13">
        <v>1372.7603240000001</v>
      </c>
      <c r="G12" s="14">
        <f t="shared" si="0"/>
        <v>4.3099999999999999E-2</v>
      </c>
      <c r="H12" s="15"/>
      <c r="J12" s="14" t="s">
        <v>30</v>
      </c>
      <c r="K12" s="48">
        <f t="shared" si="1"/>
        <v>8.2699999999999996E-2</v>
      </c>
      <c r="L12" s="36"/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207</v>
      </c>
      <c r="C13" t="s">
        <v>48</v>
      </c>
      <c r="D13" t="s">
        <v>26</v>
      </c>
      <c r="E13" s="28">
        <v>25179</v>
      </c>
      <c r="F13" s="13">
        <v>1212.5199239999999</v>
      </c>
      <c r="G13" s="14">
        <f t="shared" si="0"/>
        <v>3.8100000000000002E-2</v>
      </c>
      <c r="H13" s="15"/>
      <c r="J13" s="14" t="s">
        <v>24</v>
      </c>
      <c r="K13" s="48">
        <f t="shared" si="1"/>
        <v>7.4800000000000005E-2</v>
      </c>
      <c r="L13" s="36"/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201</v>
      </c>
      <c r="C14" t="s">
        <v>27</v>
      </c>
      <c r="D14" t="s">
        <v>24</v>
      </c>
      <c r="E14" s="28">
        <v>71227</v>
      </c>
      <c r="F14" s="13">
        <v>1193.550839</v>
      </c>
      <c r="G14" s="14">
        <f t="shared" si="0"/>
        <v>3.7499999999999999E-2</v>
      </c>
      <c r="H14" s="15"/>
      <c r="J14" s="14" t="s">
        <v>14</v>
      </c>
      <c r="K14" s="48">
        <f t="shared" si="1"/>
        <v>5.74E-2</v>
      </c>
      <c r="L14" s="36"/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16</v>
      </c>
      <c r="C15" t="s">
        <v>17</v>
      </c>
      <c r="D15" t="s">
        <v>10</v>
      </c>
      <c r="E15" s="28">
        <v>372000</v>
      </c>
      <c r="F15" s="13">
        <v>1191.702</v>
      </c>
      <c r="G15" s="14">
        <f t="shared" si="0"/>
        <v>3.7400000000000003E-2</v>
      </c>
      <c r="H15" s="15"/>
      <c r="J15" s="14" t="s">
        <v>22</v>
      </c>
      <c r="K15" s="48">
        <f t="shared" si="1"/>
        <v>4.8600000000000004E-2</v>
      </c>
      <c r="L15" s="36"/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205</v>
      </c>
      <c r="C16" t="s">
        <v>46</v>
      </c>
      <c r="D16" t="s">
        <v>26</v>
      </c>
      <c r="E16" s="28">
        <v>441656</v>
      </c>
      <c r="F16" s="13">
        <v>1130.8601879999999</v>
      </c>
      <c r="G16" s="14">
        <f t="shared" si="0"/>
        <v>3.5499999999999997E-2</v>
      </c>
      <c r="H16" s="15"/>
      <c r="J16" s="14" t="s">
        <v>28</v>
      </c>
      <c r="K16" s="48">
        <f t="shared" si="1"/>
        <v>4.19E-2</v>
      </c>
      <c r="L16" s="36"/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243</v>
      </c>
      <c r="C17" t="s">
        <v>102</v>
      </c>
      <c r="D17" t="s">
        <v>26</v>
      </c>
      <c r="E17" s="28">
        <v>81582</v>
      </c>
      <c r="F17" s="13">
        <v>1038.0901590000001</v>
      </c>
      <c r="G17" s="14">
        <f t="shared" si="0"/>
        <v>3.2599999999999997E-2</v>
      </c>
      <c r="H17" s="15"/>
      <c r="J17" s="14" t="s">
        <v>18</v>
      </c>
      <c r="K17" s="48">
        <f t="shared" si="1"/>
        <v>4.1700000000000001E-2</v>
      </c>
      <c r="L17" s="36"/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229</v>
      </c>
      <c r="C18" t="s">
        <v>71</v>
      </c>
      <c r="D18" t="s">
        <v>28</v>
      </c>
      <c r="E18" s="28">
        <v>78900</v>
      </c>
      <c r="F18" s="13">
        <v>959.85794999999996</v>
      </c>
      <c r="G18" s="14">
        <f t="shared" si="0"/>
        <v>3.0200000000000001E-2</v>
      </c>
      <c r="H18" s="15"/>
      <c r="J18" s="14" t="s">
        <v>45</v>
      </c>
      <c r="K18" s="48">
        <f t="shared" si="1"/>
        <v>2.69E-2</v>
      </c>
      <c r="L18" s="36"/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216</v>
      </c>
      <c r="C19" t="s">
        <v>99</v>
      </c>
      <c r="D19" t="s">
        <v>10</v>
      </c>
      <c r="E19" s="28">
        <v>93000</v>
      </c>
      <c r="F19" s="13">
        <v>930.279</v>
      </c>
      <c r="G19" s="14">
        <f t="shared" si="0"/>
        <v>2.92E-2</v>
      </c>
      <c r="H19" s="15"/>
      <c r="J19" s="14" t="s">
        <v>136</v>
      </c>
      <c r="K19" s="48">
        <f t="shared" si="1"/>
        <v>2.1600000000000001E-2</v>
      </c>
      <c r="L19" s="36"/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245</v>
      </c>
      <c r="C20" t="s">
        <v>104</v>
      </c>
      <c r="D20" t="s">
        <v>10</v>
      </c>
      <c r="E20" s="28">
        <v>52617</v>
      </c>
      <c r="F20" s="13">
        <v>874.46823150000012</v>
      </c>
      <c r="G20" s="14">
        <f t="shared" si="0"/>
        <v>2.75E-2</v>
      </c>
      <c r="H20" s="15"/>
      <c r="J20" s="14" t="s">
        <v>103</v>
      </c>
      <c r="K20" s="48">
        <f t="shared" si="1"/>
        <v>0.02</v>
      </c>
      <c r="L20" s="36"/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196</v>
      </c>
      <c r="C21" t="s">
        <v>15</v>
      </c>
      <c r="D21" t="s">
        <v>14</v>
      </c>
      <c r="E21" s="28">
        <v>85800</v>
      </c>
      <c r="F21" s="13">
        <v>837.49379999999996</v>
      </c>
      <c r="G21" s="14">
        <f t="shared" si="0"/>
        <v>2.63E-2</v>
      </c>
      <c r="H21" s="15"/>
      <c r="J21" s="14" t="s">
        <v>36</v>
      </c>
      <c r="K21" s="48">
        <f t="shared" si="1"/>
        <v>1.8599999999999998E-2</v>
      </c>
      <c r="L21" s="36"/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252</v>
      </c>
      <c r="C22" t="s">
        <v>113</v>
      </c>
      <c r="D22" t="s">
        <v>20</v>
      </c>
      <c r="E22" s="28">
        <v>21660</v>
      </c>
      <c r="F22" s="13">
        <v>787.04858999999999</v>
      </c>
      <c r="G22" s="14">
        <f t="shared" si="0"/>
        <v>2.47E-2</v>
      </c>
      <c r="H22" s="15"/>
      <c r="J22" s="14" t="s">
        <v>107</v>
      </c>
      <c r="K22" s="48">
        <f t="shared" si="1"/>
        <v>1.46E-2</v>
      </c>
      <c r="L22" s="36"/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233</v>
      </c>
      <c r="C23" t="s">
        <v>81</v>
      </c>
      <c r="D23" t="s">
        <v>30</v>
      </c>
      <c r="E23" s="28">
        <v>175900</v>
      </c>
      <c r="F23" s="13">
        <v>732.97529999999995</v>
      </c>
      <c r="G23" s="14">
        <f t="shared" si="0"/>
        <v>2.3E-2</v>
      </c>
      <c r="H23" s="15"/>
      <c r="J23" s="14" t="s">
        <v>431</v>
      </c>
      <c r="K23" s="48">
        <f t="shared" si="1"/>
        <v>1.4500000000000001E-2</v>
      </c>
      <c r="L23" s="36"/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266</v>
      </c>
      <c r="C24" t="s">
        <v>129</v>
      </c>
      <c r="D24" t="s">
        <v>18</v>
      </c>
      <c r="E24" s="28">
        <v>4196</v>
      </c>
      <c r="F24" s="13">
        <v>721.60500200000001</v>
      </c>
      <c r="G24" s="14">
        <f t="shared" si="0"/>
        <v>2.2700000000000001E-2</v>
      </c>
      <c r="H24" s="15"/>
      <c r="J24" s="14" t="s">
        <v>32</v>
      </c>
      <c r="K24" s="48">
        <f t="shared" si="1"/>
        <v>1.17E-2</v>
      </c>
      <c r="L24" s="36"/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199</v>
      </c>
      <c r="C25" t="s">
        <v>21</v>
      </c>
      <c r="D25" t="s">
        <v>20</v>
      </c>
      <c r="E25" s="28">
        <v>165000</v>
      </c>
      <c r="F25" s="13">
        <v>666.84749999999997</v>
      </c>
      <c r="G25" s="14">
        <f t="shared" si="0"/>
        <v>2.1000000000000001E-2</v>
      </c>
      <c r="H25" s="15"/>
      <c r="J25" s="14" t="s">
        <v>43</v>
      </c>
      <c r="K25" s="48">
        <f t="shared" si="1"/>
        <v>1.09E-2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257</v>
      </c>
      <c r="C26" t="s">
        <v>119</v>
      </c>
      <c r="D26" t="s">
        <v>103</v>
      </c>
      <c r="E26" s="28">
        <v>111900</v>
      </c>
      <c r="F26" s="13">
        <v>635.75985000000003</v>
      </c>
      <c r="G26" s="14">
        <f t="shared" si="0"/>
        <v>0.02</v>
      </c>
      <c r="H26" s="15"/>
      <c r="J26" s="14" t="s">
        <v>38</v>
      </c>
      <c r="K26" s="48">
        <f t="shared" si="1"/>
        <v>1.06E-2</v>
      </c>
      <c r="L26" s="36"/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208</v>
      </c>
      <c r="C27" t="s">
        <v>53</v>
      </c>
      <c r="D27" t="s">
        <v>18</v>
      </c>
      <c r="E27" s="28">
        <v>14400</v>
      </c>
      <c r="F27" s="13">
        <v>605.34720000000004</v>
      </c>
      <c r="G27" s="14">
        <f t="shared" si="0"/>
        <v>1.9E-2</v>
      </c>
      <c r="H27" s="15"/>
      <c r="J27" s="14" t="s">
        <v>34</v>
      </c>
      <c r="K27" s="48">
        <f t="shared" si="1"/>
        <v>1.01E-2</v>
      </c>
      <c r="L27" s="54"/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251</v>
      </c>
      <c r="C28" t="s">
        <v>115</v>
      </c>
      <c r="D28" t="s">
        <v>36</v>
      </c>
      <c r="E28" s="28">
        <v>288000</v>
      </c>
      <c r="F28" s="13">
        <v>593.42399999999998</v>
      </c>
      <c r="G28" s="14">
        <f t="shared" si="0"/>
        <v>1.8599999999999998E-2</v>
      </c>
      <c r="H28" s="15"/>
      <c r="J28" t="s">
        <v>106</v>
      </c>
      <c r="K28" s="48">
        <f t="shared" si="1"/>
        <v>8.3000000000000001E-3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264</v>
      </c>
      <c r="C29" t="s">
        <v>125</v>
      </c>
      <c r="D29" t="s">
        <v>45</v>
      </c>
      <c r="E29" s="28">
        <v>243000</v>
      </c>
      <c r="F29" s="13">
        <v>584.29349999999999</v>
      </c>
      <c r="G29" s="14">
        <f t="shared" si="0"/>
        <v>1.84E-2</v>
      </c>
      <c r="H29" s="15"/>
      <c r="J29" s="14" t="s">
        <v>529</v>
      </c>
      <c r="K29" s="48">
        <f t="shared" si="1"/>
        <v>7.6E-3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200</v>
      </c>
      <c r="C30" t="s">
        <v>25</v>
      </c>
      <c r="D30" t="s">
        <v>14</v>
      </c>
      <c r="E30" s="28">
        <v>67800</v>
      </c>
      <c r="F30" s="13">
        <v>574.94399999999996</v>
      </c>
      <c r="G30" s="14">
        <f t="shared" si="0"/>
        <v>1.8100000000000002E-2</v>
      </c>
      <c r="H30" s="15"/>
      <c r="J30" s="14" t="s">
        <v>330</v>
      </c>
      <c r="K30" s="48">
        <f t="shared" si="1"/>
        <v>6.1999999999999998E-3</v>
      </c>
      <c r="N30" s="36"/>
      <c r="P30" s="14"/>
    </row>
    <row r="31" spans="1:16" ht="12.75" customHeight="1" x14ac:dyDescent="0.2">
      <c r="A31">
        <f>+MAX($A$8:A30)+1</f>
        <v>23</v>
      </c>
      <c r="B31" t="s">
        <v>256</v>
      </c>
      <c r="C31" t="s">
        <v>118</v>
      </c>
      <c r="D31" t="s">
        <v>30</v>
      </c>
      <c r="E31" s="28">
        <v>98360</v>
      </c>
      <c r="F31" s="13">
        <v>495.58686</v>
      </c>
      <c r="G31" s="14">
        <f t="shared" si="0"/>
        <v>1.5599999999999999E-2</v>
      </c>
      <c r="H31" s="15"/>
      <c r="J31" s="14" t="s">
        <v>47</v>
      </c>
      <c r="K31" s="48">
        <f t="shared" si="1"/>
        <v>4.1000000000000003E-3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447</v>
      </c>
      <c r="C32" t="s">
        <v>448</v>
      </c>
      <c r="D32" t="s">
        <v>431</v>
      </c>
      <c r="E32" s="28">
        <v>88800</v>
      </c>
      <c r="F32" s="13">
        <v>460.65</v>
      </c>
      <c r="G32" s="14">
        <f t="shared" si="0"/>
        <v>1.4500000000000001E-2</v>
      </c>
      <c r="H32" s="15"/>
      <c r="J32" s="14" t="s">
        <v>64</v>
      </c>
      <c r="K32" s="48">
        <f>+SUMIFS($G$5:$G$999,$B$5:$B$999,"CBLO / Reverse Repo Investments")+SUMIFS($G$5:$G$999,$B$5:$B$999,"Net Receivable/Payable")</f>
        <v>5.5000000000000005E-3</v>
      </c>
    </row>
    <row r="33" spans="1:8" ht="12.75" customHeight="1" x14ac:dyDescent="0.2">
      <c r="A33">
        <f>+MAX($A$8:A32)+1</f>
        <v>25</v>
      </c>
      <c r="B33" t="s">
        <v>217</v>
      </c>
      <c r="C33" t="s">
        <v>59</v>
      </c>
      <c r="D33" t="s">
        <v>22</v>
      </c>
      <c r="E33" s="28">
        <v>45000</v>
      </c>
      <c r="F33" s="13">
        <v>423.27</v>
      </c>
      <c r="G33" s="14">
        <f t="shared" si="0"/>
        <v>1.3299999999999999E-2</v>
      </c>
      <c r="H33" s="15"/>
    </row>
    <row r="34" spans="1:8" ht="12.75" customHeight="1" x14ac:dyDescent="0.2">
      <c r="A34">
        <f>+MAX($A$8:A33)+1</f>
        <v>26</v>
      </c>
      <c r="B34" t="s">
        <v>249</v>
      </c>
      <c r="C34" t="s">
        <v>111</v>
      </c>
      <c r="D34" t="s">
        <v>26</v>
      </c>
      <c r="E34" s="28">
        <v>36907</v>
      </c>
      <c r="F34" s="13">
        <v>423.23102249999999</v>
      </c>
      <c r="G34" s="14">
        <f t="shared" si="0"/>
        <v>1.3299999999999999E-2</v>
      </c>
      <c r="H34" s="15"/>
    </row>
    <row r="35" spans="1:8" ht="12.75" customHeight="1" x14ac:dyDescent="0.2">
      <c r="A35">
        <f>+MAX($A$8:A34)+1</f>
        <v>27</v>
      </c>
      <c r="B35" t="s">
        <v>534</v>
      </c>
      <c r="C35" t="s">
        <v>535</v>
      </c>
      <c r="D35" t="s">
        <v>14</v>
      </c>
      <c r="E35" s="28">
        <v>40500</v>
      </c>
      <c r="F35" s="13">
        <v>414.05175000000003</v>
      </c>
      <c r="G35" s="14">
        <f t="shared" si="0"/>
        <v>1.2999999999999999E-2</v>
      </c>
      <c r="H35" s="15"/>
    </row>
    <row r="36" spans="1:8" ht="12.75" customHeight="1" x14ac:dyDescent="0.2">
      <c r="A36">
        <f>+MAX($A$8:A35)+1</f>
        <v>28</v>
      </c>
      <c r="B36" t="s">
        <v>209</v>
      </c>
      <c r="C36" t="s">
        <v>50</v>
      </c>
      <c r="D36" t="s">
        <v>22</v>
      </c>
      <c r="E36" s="28">
        <v>7800</v>
      </c>
      <c r="F36" s="13">
        <v>411.39150000000001</v>
      </c>
      <c r="G36" s="14">
        <f t="shared" si="0"/>
        <v>1.29E-2</v>
      </c>
      <c r="H36" s="15"/>
    </row>
    <row r="37" spans="1:8" ht="12.75" customHeight="1" x14ac:dyDescent="0.2">
      <c r="A37">
        <f>+MAX($A$8:A36)+1</f>
        <v>29</v>
      </c>
      <c r="B37" t="s">
        <v>489</v>
      </c>
      <c r="C37" t="s">
        <v>490</v>
      </c>
      <c r="D37" t="s">
        <v>24</v>
      </c>
      <c r="E37" s="28">
        <v>485901</v>
      </c>
      <c r="F37" s="13">
        <v>399.6535725</v>
      </c>
      <c r="G37" s="14">
        <f t="shared" si="0"/>
        <v>1.26E-2</v>
      </c>
      <c r="H37" s="15"/>
    </row>
    <row r="38" spans="1:8" ht="12.75" customHeight="1" x14ac:dyDescent="0.2">
      <c r="A38">
        <f>+MAX($A$8:A37)+1</f>
        <v>30</v>
      </c>
      <c r="B38" s="1" t="s">
        <v>227</v>
      </c>
      <c r="C38" t="s">
        <v>70</v>
      </c>
      <c r="D38" t="s">
        <v>10</v>
      </c>
      <c r="E38" s="28">
        <v>345600</v>
      </c>
      <c r="F38" s="13">
        <v>382.40640000000002</v>
      </c>
      <c r="G38" s="14">
        <f t="shared" si="0"/>
        <v>1.2E-2</v>
      </c>
      <c r="H38" s="15"/>
    </row>
    <row r="39" spans="1:8" ht="12.75" customHeight="1" x14ac:dyDescent="0.2">
      <c r="A39">
        <f>+MAX($A$8:A38)+1</f>
        <v>31</v>
      </c>
      <c r="B39" t="s">
        <v>255</v>
      </c>
      <c r="C39" t="s">
        <v>595</v>
      </c>
      <c r="D39" t="s">
        <v>10</v>
      </c>
      <c r="E39" s="28">
        <v>123000</v>
      </c>
      <c r="F39" s="13">
        <v>377.48700000000002</v>
      </c>
      <c r="G39" s="14">
        <f t="shared" si="0"/>
        <v>1.1900000000000001E-2</v>
      </c>
      <c r="H39" s="15"/>
    </row>
    <row r="40" spans="1:8" ht="12.75" customHeight="1" x14ac:dyDescent="0.2">
      <c r="A40">
        <f>+MAX($A$8:A39)+1</f>
        <v>32</v>
      </c>
      <c r="B40" t="s">
        <v>219</v>
      </c>
      <c r="C40" t="s">
        <v>61</v>
      </c>
      <c r="D40" t="s">
        <v>22</v>
      </c>
      <c r="E40" s="28">
        <v>53856</v>
      </c>
      <c r="F40" s="13">
        <v>373.14129600000001</v>
      </c>
      <c r="G40" s="14">
        <f t="shared" si="0"/>
        <v>1.17E-2</v>
      </c>
      <c r="H40" s="15"/>
    </row>
    <row r="41" spans="1:8" ht="12.75" customHeight="1" x14ac:dyDescent="0.2">
      <c r="A41">
        <f>+MAX($A$8:A40)+1</f>
        <v>33</v>
      </c>
      <c r="B41" t="s">
        <v>554</v>
      </c>
      <c r="C41" t="s">
        <v>555</v>
      </c>
      <c r="D41" t="s">
        <v>32</v>
      </c>
      <c r="E41" s="28">
        <v>180000</v>
      </c>
      <c r="F41" s="13">
        <v>372.42</v>
      </c>
      <c r="G41" s="14">
        <f t="shared" ref="G41:G61" si="2">+ROUND(F41/VLOOKUP("Grand Total",$B$4:$F$293,5,0),4)</f>
        <v>1.17E-2</v>
      </c>
      <c r="H41" s="15"/>
    </row>
    <row r="42" spans="1:8" ht="12.75" customHeight="1" x14ac:dyDescent="0.2">
      <c r="A42">
        <f>+MAX($A$8:A41)+1</f>
        <v>34</v>
      </c>
      <c r="B42" t="s">
        <v>502</v>
      </c>
      <c r="C42" t="s">
        <v>503</v>
      </c>
      <c r="D42" t="s">
        <v>28</v>
      </c>
      <c r="E42" s="28">
        <v>198386</v>
      </c>
      <c r="F42" s="13">
        <v>372.17213600000002</v>
      </c>
      <c r="G42" s="14">
        <f t="shared" si="2"/>
        <v>1.17E-2</v>
      </c>
      <c r="H42" s="15"/>
    </row>
    <row r="43" spans="1:8" ht="12.75" customHeight="1" x14ac:dyDescent="0.2">
      <c r="A43">
        <f>+MAX($A$8:A42)+1</f>
        <v>35</v>
      </c>
      <c r="B43" t="s">
        <v>597</v>
      </c>
      <c r="C43" t="s">
        <v>598</v>
      </c>
      <c r="D43" t="s">
        <v>136</v>
      </c>
      <c r="E43" s="28">
        <v>100800</v>
      </c>
      <c r="F43" s="13">
        <v>357.48719999999997</v>
      </c>
      <c r="G43" s="14">
        <f t="shared" si="2"/>
        <v>1.12E-2</v>
      </c>
      <c r="H43" s="15"/>
    </row>
    <row r="44" spans="1:8" ht="12.75" customHeight="1" x14ac:dyDescent="0.2">
      <c r="A44">
        <f>+MAX($A$8:A43)+1</f>
        <v>36</v>
      </c>
      <c r="B44" t="s">
        <v>530</v>
      </c>
      <c r="C44" t="s">
        <v>531</v>
      </c>
      <c r="D44" t="s">
        <v>43</v>
      </c>
      <c r="E44" s="28">
        <v>36000</v>
      </c>
      <c r="F44" s="13">
        <v>347.47199999999998</v>
      </c>
      <c r="G44" s="14">
        <f t="shared" si="2"/>
        <v>1.09E-2</v>
      </c>
      <c r="H44" s="15"/>
    </row>
    <row r="45" spans="1:8" ht="12.75" customHeight="1" x14ac:dyDescent="0.2">
      <c r="A45">
        <f>+MAX($A$8:A44)+1</f>
        <v>37</v>
      </c>
      <c r="B45" t="s">
        <v>221</v>
      </c>
      <c r="C45" t="s">
        <v>29</v>
      </c>
      <c r="D45" t="s">
        <v>10</v>
      </c>
      <c r="E45" s="28">
        <v>64800</v>
      </c>
      <c r="F45" s="13">
        <v>346.93920000000003</v>
      </c>
      <c r="G45" s="14">
        <f t="shared" si="2"/>
        <v>1.09E-2</v>
      </c>
      <c r="H45" s="15"/>
    </row>
    <row r="46" spans="1:8" ht="12.75" customHeight="1" x14ac:dyDescent="0.2">
      <c r="A46">
        <f>+MAX($A$8:A45)+1</f>
        <v>38</v>
      </c>
      <c r="B46" t="s">
        <v>504</v>
      </c>
      <c r="C46" t="s">
        <v>505</v>
      </c>
      <c r="D46" t="s">
        <v>22</v>
      </c>
      <c r="E46" s="28">
        <v>61437</v>
      </c>
      <c r="F46" s="13">
        <v>340.36097999999998</v>
      </c>
      <c r="G46" s="14">
        <f t="shared" si="2"/>
        <v>1.0699999999999999E-2</v>
      </c>
      <c r="H46" s="15"/>
    </row>
    <row r="47" spans="1:8" ht="12.75" customHeight="1" x14ac:dyDescent="0.2">
      <c r="A47">
        <f>+MAX($A$8:A46)+1</f>
        <v>39</v>
      </c>
      <c r="B47" t="s">
        <v>539</v>
      </c>
      <c r="C47" t="s">
        <v>540</v>
      </c>
      <c r="D47" t="s">
        <v>38</v>
      </c>
      <c r="E47" s="28">
        <v>135000</v>
      </c>
      <c r="F47" s="13">
        <v>338.44499999999999</v>
      </c>
      <c r="G47" s="14">
        <f t="shared" si="2"/>
        <v>1.06E-2</v>
      </c>
      <c r="H47" s="15"/>
    </row>
    <row r="48" spans="1:8" ht="12.75" customHeight="1" x14ac:dyDescent="0.2">
      <c r="A48">
        <f>+MAX($A$8:A47)+1</f>
        <v>40</v>
      </c>
      <c r="B48" t="s">
        <v>320</v>
      </c>
      <c r="C48" t="s">
        <v>538</v>
      </c>
      <c r="D48" t="s">
        <v>136</v>
      </c>
      <c r="E48" s="28">
        <v>48000</v>
      </c>
      <c r="F48" s="13">
        <v>332.37599999999998</v>
      </c>
      <c r="G48" s="14">
        <f t="shared" si="2"/>
        <v>1.04E-2</v>
      </c>
      <c r="H48" s="15"/>
    </row>
    <row r="49" spans="1:11" ht="12.75" customHeight="1" x14ac:dyDescent="0.2">
      <c r="A49">
        <f>+MAX($A$8:A48)+1</f>
        <v>41</v>
      </c>
      <c r="B49" t="s">
        <v>218</v>
      </c>
      <c r="C49" t="s">
        <v>65</v>
      </c>
      <c r="D49" t="s">
        <v>34</v>
      </c>
      <c r="E49" s="28">
        <v>64800</v>
      </c>
      <c r="F49" s="13">
        <v>321.69959999999998</v>
      </c>
      <c r="G49" s="14">
        <f t="shared" si="2"/>
        <v>1.01E-2</v>
      </c>
      <c r="H49" s="15"/>
    </row>
    <row r="50" spans="1:11" ht="12.75" customHeight="1" x14ac:dyDescent="0.2">
      <c r="A50">
        <f>+MAX($A$8:A49)+1</f>
        <v>42</v>
      </c>
      <c r="B50" t="s">
        <v>459</v>
      </c>
      <c r="C50" t="s">
        <v>460</v>
      </c>
      <c r="D50" t="s">
        <v>107</v>
      </c>
      <c r="E50" s="28">
        <v>121500</v>
      </c>
      <c r="F50" s="13">
        <v>309.64274999999998</v>
      </c>
      <c r="G50" s="14">
        <f t="shared" si="2"/>
        <v>9.7000000000000003E-3</v>
      </c>
      <c r="H50" s="15"/>
    </row>
    <row r="51" spans="1:11" ht="12.75" customHeight="1" x14ac:dyDescent="0.2">
      <c r="A51">
        <f>+MAX($A$8:A50)+1</f>
        <v>43</v>
      </c>
      <c r="B51" t="s">
        <v>556</v>
      </c>
      <c r="C51" t="s">
        <v>557</v>
      </c>
      <c r="D51" t="s">
        <v>24</v>
      </c>
      <c r="E51" s="28">
        <v>5400</v>
      </c>
      <c r="F51" s="13">
        <v>281.56139999999999</v>
      </c>
      <c r="G51" s="14">
        <f t="shared" si="2"/>
        <v>8.8000000000000005E-3</v>
      </c>
      <c r="H51" s="15"/>
    </row>
    <row r="52" spans="1:11" ht="12.75" customHeight="1" x14ac:dyDescent="0.2">
      <c r="A52">
        <f>+MAX($A$8:A51)+1</f>
        <v>44</v>
      </c>
      <c r="B52" t="s">
        <v>465</v>
      </c>
      <c r="C52" t="s">
        <v>466</v>
      </c>
      <c r="D52" t="s">
        <v>45</v>
      </c>
      <c r="E52" s="28">
        <v>91800</v>
      </c>
      <c r="F52" s="13">
        <v>271.22309999999999</v>
      </c>
      <c r="G52" s="14">
        <f t="shared" si="2"/>
        <v>8.5000000000000006E-3</v>
      </c>
      <c r="H52" s="15"/>
    </row>
    <row r="53" spans="1:11" ht="12.75" customHeight="1" x14ac:dyDescent="0.2">
      <c r="A53">
        <f>+MAX($A$8:A52)+1</f>
        <v>45</v>
      </c>
      <c r="B53" t="s">
        <v>506</v>
      </c>
      <c r="C53" t="s">
        <v>507</v>
      </c>
      <c r="D53" t="s">
        <v>106</v>
      </c>
      <c r="E53" s="28">
        <v>15900</v>
      </c>
      <c r="F53" s="13">
        <v>265.48230000000001</v>
      </c>
      <c r="G53" s="14">
        <f t="shared" si="2"/>
        <v>8.3000000000000001E-3</v>
      </c>
      <c r="H53" s="15"/>
    </row>
    <row r="54" spans="1:11" ht="12.75" customHeight="1" x14ac:dyDescent="0.2">
      <c r="A54">
        <f>+MAX($A$8:A53)+1</f>
        <v>46</v>
      </c>
      <c r="B54" t="s">
        <v>478</v>
      </c>
      <c r="C54" t="s">
        <v>479</v>
      </c>
      <c r="D54" t="s">
        <v>24</v>
      </c>
      <c r="E54" s="28">
        <v>150000</v>
      </c>
      <c r="F54" s="13">
        <v>259.8</v>
      </c>
      <c r="G54" s="14">
        <f t="shared" si="2"/>
        <v>8.2000000000000007E-3</v>
      </c>
      <c r="H54" s="15"/>
    </row>
    <row r="55" spans="1:11" ht="12.75" customHeight="1" x14ac:dyDescent="0.2">
      <c r="A55">
        <f>+MAX($A$8:A54)+1</f>
        <v>47</v>
      </c>
      <c r="B55" t="s">
        <v>487</v>
      </c>
      <c r="C55" t="s">
        <v>488</v>
      </c>
      <c r="D55" t="s">
        <v>26</v>
      </c>
      <c r="E55" s="28">
        <v>64800</v>
      </c>
      <c r="F55" s="13">
        <v>254.7612</v>
      </c>
      <c r="G55" s="14">
        <f t="shared" si="2"/>
        <v>8.0000000000000002E-3</v>
      </c>
      <c r="H55" s="15"/>
    </row>
    <row r="56" spans="1:11" ht="12.75" customHeight="1" x14ac:dyDescent="0.2">
      <c r="A56">
        <f>+MAX($A$8:A55)+1</f>
        <v>48</v>
      </c>
      <c r="B56" t="s">
        <v>446</v>
      </c>
      <c r="C56" t="s">
        <v>432</v>
      </c>
      <c r="D56" t="s">
        <v>24</v>
      </c>
      <c r="E56" s="28">
        <v>26400</v>
      </c>
      <c r="F56" s="13">
        <v>245.01840000000001</v>
      </c>
      <c r="G56" s="14">
        <f t="shared" si="2"/>
        <v>7.7000000000000002E-3</v>
      </c>
      <c r="H56" s="15"/>
    </row>
    <row r="57" spans="1:11" ht="12.75" customHeight="1" x14ac:dyDescent="0.2">
      <c r="A57">
        <f>+MAX($A$8:A56)+1</f>
        <v>49</v>
      </c>
      <c r="B57" t="s">
        <v>203</v>
      </c>
      <c r="C57" t="s">
        <v>23</v>
      </c>
      <c r="D57" t="s">
        <v>529</v>
      </c>
      <c r="E57" s="28">
        <v>69973</v>
      </c>
      <c r="F57" s="13">
        <v>241.966634</v>
      </c>
      <c r="G57" s="14">
        <f t="shared" si="2"/>
        <v>7.6E-3</v>
      </c>
      <c r="H57" s="15"/>
    </row>
    <row r="58" spans="1:11" ht="12.75" customHeight="1" x14ac:dyDescent="0.2">
      <c r="A58">
        <f>+MAX($A$8:A57)+1</f>
        <v>50</v>
      </c>
      <c r="B58" s="65" t="s">
        <v>40</v>
      </c>
      <c r="C58" s="65" t="s">
        <v>42</v>
      </c>
      <c r="D58" t="s">
        <v>10</v>
      </c>
      <c r="E58" s="28">
        <v>135000</v>
      </c>
      <c r="F58" s="13">
        <v>228.285</v>
      </c>
      <c r="G58" s="14">
        <f t="shared" si="2"/>
        <v>7.1999999999999998E-3</v>
      </c>
      <c r="H58" s="15"/>
    </row>
    <row r="59" spans="1:11" ht="12.75" customHeight="1" x14ac:dyDescent="0.2">
      <c r="A59">
        <f>+MAX($A$8:A58)+1</f>
        <v>51</v>
      </c>
      <c r="B59" s="65" t="s">
        <v>685</v>
      </c>
      <c r="C59" s="65" t="s">
        <v>686</v>
      </c>
      <c r="D59" t="s">
        <v>107</v>
      </c>
      <c r="E59" s="28">
        <v>201600</v>
      </c>
      <c r="F59" s="13">
        <v>154.8288</v>
      </c>
      <c r="G59" s="14">
        <f t="shared" si="2"/>
        <v>4.8999999999999998E-3</v>
      </c>
      <c r="H59" s="15"/>
    </row>
    <row r="60" spans="1:11" ht="12.75" customHeight="1" x14ac:dyDescent="0.2">
      <c r="A60">
        <f>+MAX($A$8:A59)+1</f>
        <v>52</v>
      </c>
      <c r="B60" s="65" t="s">
        <v>259</v>
      </c>
      <c r="C60" s="65" t="s">
        <v>120</v>
      </c>
      <c r="D60" t="s">
        <v>47</v>
      </c>
      <c r="E60" s="28">
        <v>28000</v>
      </c>
      <c r="F60" s="13">
        <v>131.15199999999999</v>
      </c>
      <c r="G60" s="14">
        <f t="shared" si="2"/>
        <v>4.1000000000000003E-3</v>
      </c>
      <c r="H60" s="15"/>
    </row>
    <row r="61" spans="1:11" ht="12.75" customHeight="1" x14ac:dyDescent="0.2">
      <c r="A61">
        <f>+MAX($A$8:A60)+1</f>
        <v>53</v>
      </c>
      <c r="B61" s="65" t="s">
        <v>413</v>
      </c>
      <c r="C61" s="65" t="s">
        <v>131</v>
      </c>
      <c r="D61" t="s">
        <v>20</v>
      </c>
      <c r="E61" s="28">
        <v>42000</v>
      </c>
      <c r="F61" s="13">
        <v>97.209000000000003</v>
      </c>
      <c r="G61" s="14">
        <f t="shared" si="2"/>
        <v>3.0999999999999999E-3</v>
      </c>
      <c r="H61" s="15"/>
    </row>
    <row r="62" spans="1:11" ht="12.75" customHeight="1" x14ac:dyDescent="0.2">
      <c r="B62" s="18" t="s">
        <v>86</v>
      </c>
      <c r="C62" s="18"/>
      <c r="D62" s="18"/>
      <c r="E62" s="29"/>
      <c r="F62" s="19">
        <f>SUM(F9:F61)</f>
        <v>31457.295541499996</v>
      </c>
      <c r="G62" s="20">
        <f>SUM(G9:G61)</f>
        <v>0.98830000000000029</v>
      </c>
      <c r="H62" s="21"/>
      <c r="I62" s="35"/>
    </row>
    <row r="63" spans="1:11" s="46" customFormat="1" ht="12.75" customHeight="1" x14ac:dyDescent="0.2">
      <c r="B63" s="67"/>
      <c r="C63" s="67"/>
      <c r="D63" s="67"/>
      <c r="E63" s="68"/>
      <c r="F63" s="69"/>
      <c r="G63" s="70"/>
      <c r="H63" s="71"/>
      <c r="I63" s="35"/>
      <c r="K63" s="48"/>
    </row>
    <row r="64" spans="1:11" ht="12.75" customHeight="1" x14ac:dyDescent="0.2">
      <c r="B64" s="16" t="s">
        <v>143</v>
      </c>
      <c r="C64" s="16"/>
      <c r="F64" s="13"/>
      <c r="G64" s="14"/>
      <c r="H64" s="15"/>
      <c r="J64" s="17"/>
      <c r="K64" s="37"/>
    </row>
    <row r="65" spans="1:11" ht="12.75" customHeight="1" x14ac:dyDescent="0.2">
      <c r="A65">
        <f>+MAX($A$8:A64)+1</f>
        <v>54</v>
      </c>
      <c r="B65" t="s">
        <v>259</v>
      </c>
      <c r="C65" s="122" t="s">
        <v>584</v>
      </c>
      <c r="D65" t="s">
        <v>330</v>
      </c>
      <c r="E65" s="28">
        <v>42000</v>
      </c>
      <c r="F65" s="13">
        <v>195.95099999999999</v>
      </c>
      <c r="G65" s="14">
        <f>+ROUND(F65/VLOOKUP("Grand Total",$B$4:$F$293,5,0),4)</f>
        <v>6.1999999999999998E-3</v>
      </c>
      <c r="H65" s="15">
        <v>43097</v>
      </c>
      <c r="J65" s="14"/>
      <c r="K65" s="48"/>
    </row>
    <row r="66" spans="1:11" ht="12.75" customHeight="1" x14ac:dyDescent="0.2">
      <c r="B66" s="18" t="s">
        <v>86</v>
      </c>
      <c r="C66" s="18"/>
      <c r="D66" s="18"/>
      <c r="E66" s="29"/>
      <c r="F66" s="19">
        <f>SUM(F65:F65)</f>
        <v>195.95099999999999</v>
      </c>
      <c r="G66" s="20">
        <f>SUM(G65:G65)</f>
        <v>6.1999999999999998E-3</v>
      </c>
      <c r="H66" s="21"/>
      <c r="I66" s="35"/>
    </row>
    <row r="67" spans="1:11" s="46" customFormat="1" ht="12.75" customHeight="1" x14ac:dyDescent="0.2">
      <c r="B67" s="67"/>
      <c r="C67" s="67"/>
      <c r="D67" s="67"/>
      <c r="E67" s="68"/>
      <c r="F67" s="69"/>
      <c r="G67" s="70"/>
      <c r="H67" s="71"/>
      <c r="I67" s="35"/>
      <c r="K67" s="48"/>
    </row>
    <row r="68" spans="1:11" ht="12.75" customHeight="1" x14ac:dyDescent="0.2">
      <c r="A68" s="95" t="s">
        <v>387</v>
      </c>
      <c r="B68" s="16" t="s">
        <v>94</v>
      </c>
      <c r="C68" s="16"/>
      <c r="F68" s="13">
        <v>410.63627270000001</v>
      </c>
      <c r="G68" s="14">
        <f>+ROUND(F68/VLOOKUP("Grand Total",$B$4:$F$293,5,0),4)</f>
        <v>1.29E-2</v>
      </c>
      <c r="H68" s="15">
        <v>43073</v>
      </c>
    </row>
    <row r="69" spans="1:11" ht="12.75" customHeight="1" x14ac:dyDescent="0.2">
      <c r="B69" s="18" t="s">
        <v>86</v>
      </c>
      <c r="C69" s="18"/>
      <c r="D69" s="18"/>
      <c r="E69" s="29"/>
      <c r="F69" s="19">
        <f>SUM(F68)</f>
        <v>410.63627270000001</v>
      </c>
      <c r="G69" s="20">
        <f>SUM(G68)</f>
        <v>1.29E-2</v>
      </c>
      <c r="H69" s="21"/>
    </row>
    <row r="70" spans="1:11" ht="12.75" customHeight="1" x14ac:dyDescent="0.2">
      <c r="F70" s="13"/>
      <c r="G70" s="14"/>
      <c r="H70" s="15"/>
      <c r="I70" s="35"/>
    </row>
    <row r="71" spans="1:11" ht="12.75" customHeight="1" x14ac:dyDescent="0.2">
      <c r="B71" s="16" t="s">
        <v>95</v>
      </c>
      <c r="C71" s="16"/>
      <c r="F71" s="13"/>
      <c r="G71" s="14"/>
      <c r="H71" s="15"/>
      <c r="I71" s="35"/>
    </row>
    <row r="72" spans="1:11" ht="12.75" customHeight="1" x14ac:dyDescent="0.2">
      <c r="B72" s="16" t="s">
        <v>96</v>
      </c>
      <c r="C72" s="16"/>
      <c r="F72" s="13">
        <v>-238.01688119999744</v>
      </c>
      <c r="G72" s="14">
        <f>+ROUND(F72/VLOOKUP("Grand Total",$B$4:$F$293,5,0),4)+0.01%</f>
        <v>-7.3999999999999995E-3</v>
      </c>
      <c r="H72" s="15"/>
    </row>
    <row r="73" spans="1:11" ht="12.75" customHeight="1" x14ac:dyDescent="0.2">
      <c r="B73" s="18" t="s">
        <v>86</v>
      </c>
      <c r="C73" s="18"/>
      <c r="D73" s="18"/>
      <c r="E73" s="29"/>
      <c r="F73" s="19">
        <f>SUM(F72)</f>
        <v>-238.01688119999744</v>
      </c>
      <c r="G73" s="20">
        <f>SUM(G72)</f>
        <v>-7.3999999999999995E-3</v>
      </c>
      <c r="H73" s="21"/>
    </row>
    <row r="74" spans="1:11" ht="12.75" customHeight="1" x14ac:dyDescent="0.2">
      <c r="B74" s="22" t="s">
        <v>97</v>
      </c>
      <c r="C74" s="22"/>
      <c r="D74" s="22"/>
      <c r="E74" s="30"/>
      <c r="F74" s="23">
        <f>+SUMIF($B$5:B73,"Total",$F$5:F73)</f>
        <v>31825.865933000001</v>
      </c>
      <c r="G74" s="24">
        <f>+SUMIF($B$5:B73,"Total",$G$5:G73)</f>
        <v>1.0000000000000002</v>
      </c>
      <c r="H74" s="25"/>
    </row>
    <row r="75" spans="1:11" ht="12.75" customHeight="1" x14ac:dyDescent="0.2">
      <c r="I75"/>
      <c r="K75"/>
    </row>
    <row r="76" spans="1:11" ht="12.75" customHeight="1" x14ac:dyDescent="0.2">
      <c r="B76" s="16" t="s">
        <v>757</v>
      </c>
      <c r="C76" s="16"/>
      <c r="F76" s="13"/>
      <c r="G76" s="14"/>
      <c r="I76"/>
      <c r="K76"/>
    </row>
    <row r="77" spans="1:11" ht="12.75" customHeight="1" x14ac:dyDescent="0.2">
      <c r="B77" s="16"/>
      <c r="C77" s="16"/>
      <c r="F77" s="13"/>
      <c r="G77" s="14"/>
      <c r="I77"/>
      <c r="K77"/>
    </row>
    <row r="78" spans="1:11" ht="12.75" customHeight="1" x14ac:dyDescent="0.2">
      <c r="B78" s="16"/>
      <c r="C78" s="16"/>
      <c r="F78" s="13"/>
      <c r="G78" s="14"/>
      <c r="I78"/>
      <c r="K78"/>
    </row>
    <row r="79" spans="1:11" ht="12.75" customHeight="1" x14ac:dyDescent="0.2">
      <c r="I79"/>
      <c r="K79"/>
    </row>
    <row r="80" spans="1:11" ht="12.75" customHeight="1" x14ac:dyDescent="0.2">
      <c r="F80" s="13"/>
      <c r="I80"/>
      <c r="K80"/>
    </row>
    <row r="81" spans="5:11" ht="12.75" customHeight="1" x14ac:dyDescent="0.2">
      <c r="I81"/>
      <c r="K81"/>
    </row>
    <row r="82" spans="5:11" ht="12.75" customHeight="1" x14ac:dyDescent="0.2">
      <c r="I82"/>
      <c r="K82"/>
    </row>
    <row r="83" spans="5:11" ht="12.75" customHeight="1" x14ac:dyDescent="0.2">
      <c r="I83"/>
      <c r="K83"/>
    </row>
    <row r="84" spans="5:11" ht="12.75" customHeight="1" x14ac:dyDescent="0.2">
      <c r="I84"/>
      <c r="K84"/>
    </row>
    <row r="85" spans="5:11" ht="12.75" customHeight="1" x14ac:dyDescent="0.2">
      <c r="I85"/>
      <c r="K85"/>
    </row>
    <row r="86" spans="5:11" ht="12.75" customHeight="1" x14ac:dyDescent="0.2">
      <c r="I86"/>
      <c r="K86"/>
    </row>
    <row r="87" spans="5:11" ht="12.75" customHeight="1" x14ac:dyDescent="0.2">
      <c r="I87"/>
      <c r="K87"/>
    </row>
    <row r="88" spans="5:11" ht="12.75" customHeight="1" x14ac:dyDescent="0.2"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ht="12.75" customHeight="1" x14ac:dyDescent="0.2">
      <c r="E106"/>
      <c r="I106"/>
      <c r="K106"/>
    </row>
    <row r="107" spans="5:11" ht="12.75" customHeight="1" x14ac:dyDescent="0.2">
      <c r="E107"/>
      <c r="I107"/>
      <c r="K107"/>
    </row>
    <row r="108" spans="5:11" ht="12.75" customHeight="1" x14ac:dyDescent="0.2">
      <c r="E108"/>
      <c r="I108"/>
      <c r="K108"/>
    </row>
    <row r="109" spans="5:11" ht="12.75" customHeight="1" x14ac:dyDescent="0.2">
      <c r="E109"/>
      <c r="I109"/>
      <c r="K109"/>
    </row>
    <row r="110" spans="5:11" ht="12.75" customHeight="1" x14ac:dyDescent="0.2">
      <c r="E110"/>
      <c r="I110"/>
      <c r="K110"/>
    </row>
    <row r="111" spans="5:11" ht="12.75" customHeight="1" x14ac:dyDescent="0.2">
      <c r="E111"/>
      <c r="I111"/>
      <c r="K111"/>
    </row>
  </sheetData>
  <sheetProtection password="EDB4" sheet="1" objects="1" scenarios="1"/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2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21.5703125" bestFit="1" customWidth="1"/>
    <col min="11" max="11" width="8" style="36" customWidth="1"/>
  </cols>
  <sheetData>
    <row r="1" spans="1:16" ht="18.75" x14ac:dyDescent="0.2">
      <c r="A1" s="94" t="s">
        <v>391</v>
      </c>
      <c r="B1" s="124" t="s">
        <v>132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425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243</v>
      </c>
      <c r="C9" t="s">
        <v>102</v>
      </c>
      <c r="D9" t="s">
        <v>26</v>
      </c>
      <c r="E9" s="28">
        <v>84280</v>
      </c>
      <c r="F9" s="13">
        <v>1072.4208599999999</v>
      </c>
      <c r="G9" s="14">
        <f t="shared" ref="G9:G40" si="0">+ROUND(F9/VLOOKUP("Grand Total",$B$4:$F$296,5,0),4)</f>
        <v>7.85E-2</v>
      </c>
      <c r="H9" s="15"/>
      <c r="J9" s="65" t="s">
        <v>26</v>
      </c>
      <c r="K9" s="103">
        <f t="shared" ref="K9:K31" si="1">SUMIFS($G$5:$G$320,$D$5:$D$320,J9)</f>
        <v>0.17370000000000002</v>
      </c>
    </row>
    <row r="10" spans="1:16" s="65" customFormat="1" ht="12.75" customHeight="1" x14ac:dyDescent="0.2">
      <c r="A10" s="65">
        <f>+MAX($A$7:A9)+1</f>
        <v>2</v>
      </c>
      <c r="B10" s="65" t="s">
        <v>213</v>
      </c>
      <c r="C10" s="65" t="s">
        <v>49</v>
      </c>
      <c r="D10" s="65" t="s">
        <v>20</v>
      </c>
      <c r="E10" s="85">
        <v>7350</v>
      </c>
      <c r="F10" s="86">
        <v>632.03385000000003</v>
      </c>
      <c r="G10" s="90">
        <f t="shared" si="0"/>
        <v>4.6300000000000001E-2</v>
      </c>
      <c r="H10" s="89"/>
      <c r="I10" s="73"/>
      <c r="J10" s="14" t="s">
        <v>10</v>
      </c>
      <c r="K10" s="48">
        <f t="shared" si="1"/>
        <v>0.15599999999999997</v>
      </c>
      <c r="L10" s="84"/>
      <c r="M10" s="90"/>
    </row>
    <row r="11" spans="1:16" ht="12.75" customHeight="1" x14ac:dyDescent="0.2">
      <c r="A11">
        <f>+MAX($A$7:A10)+1</f>
        <v>3</v>
      </c>
      <c r="B11" t="s">
        <v>252</v>
      </c>
      <c r="C11" t="s">
        <v>113</v>
      </c>
      <c r="D11" t="s">
        <v>20</v>
      </c>
      <c r="E11" s="28">
        <v>15000</v>
      </c>
      <c r="F11" s="13">
        <v>545.04750000000001</v>
      </c>
      <c r="G11" s="14">
        <f t="shared" si="0"/>
        <v>3.9899999999999998E-2</v>
      </c>
      <c r="H11" s="15"/>
      <c r="J11" s="14" t="s">
        <v>20</v>
      </c>
      <c r="K11" s="48">
        <f t="shared" si="1"/>
        <v>0.1128</v>
      </c>
      <c r="L11" s="36"/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205</v>
      </c>
      <c r="C12" t="s">
        <v>46</v>
      </c>
      <c r="D12" t="s">
        <v>26</v>
      </c>
      <c r="E12" s="28">
        <v>210108</v>
      </c>
      <c r="F12" s="13">
        <v>537.98153400000001</v>
      </c>
      <c r="G12" s="14">
        <f t="shared" si="0"/>
        <v>3.9399999999999998E-2</v>
      </c>
      <c r="H12" s="15"/>
      <c r="J12" s="14" t="s">
        <v>30</v>
      </c>
      <c r="K12" s="48">
        <f t="shared" si="1"/>
        <v>9.1299999999999992E-2</v>
      </c>
      <c r="L12" s="36"/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195</v>
      </c>
      <c r="C13" t="s">
        <v>13</v>
      </c>
      <c r="D13" t="s">
        <v>10</v>
      </c>
      <c r="E13" s="28">
        <v>27800</v>
      </c>
      <c r="F13" s="13">
        <v>515.32860000000005</v>
      </c>
      <c r="G13" s="14">
        <f t="shared" si="0"/>
        <v>3.7699999999999997E-2</v>
      </c>
      <c r="H13" s="15"/>
      <c r="J13" s="14" t="s">
        <v>18</v>
      </c>
      <c r="K13" s="48">
        <f t="shared" si="1"/>
        <v>6.0600000000000001E-2</v>
      </c>
      <c r="L13" s="36"/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198</v>
      </c>
      <c r="C14" t="s">
        <v>11</v>
      </c>
      <c r="D14" t="s">
        <v>10</v>
      </c>
      <c r="E14" s="28">
        <v>166499</v>
      </c>
      <c r="F14" s="13">
        <v>512.06767450000007</v>
      </c>
      <c r="G14" s="14">
        <f t="shared" si="0"/>
        <v>3.7499999999999999E-2</v>
      </c>
      <c r="H14" s="15"/>
      <c r="J14" s="14" t="s">
        <v>47</v>
      </c>
      <c r="K14" s="48">
        <f t="shared" si="1"/>
        <v>4.2300000000000004E-2</v>
      </c>
      <c r="L14" s="36"/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270</v>
      </c>
      <c r="C15" t="s">
        <v>137</v>
      </c>
      <c r="D15" t="s">
        <v>18</v>
      </c>
      <c r="E15" s="28">
        <v>15069</v>
      </c>
      <c r="F15" s="13">
        <v>475.17077700000004</v>
      </c>
      <c r="G15" s="14">
        <f t="shared" si="0"/>
        <v>3.4799999999999998E-2</v>
      </c>
      <c r="H15" s="15"/>
      <c r="J15" s="14" t="s">
        <v>136</v>
      </c>
      <c r="K15" s="48">
        <f t="shared" si="1"/>
        <v>3.9899999999999998E-2</v>
      </c>
      <c r="L15" s="36"/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16</v>
      </c>
      <c r="C16" t="s">
        <v>17</v>
      </c>
      <c r="D16" t="s">
        <v>10</v>
      </c>
      <c r="E16" s="28">
        <v>144000</v>
      </c>
      <c r="F16" s="13">
        <v>461.30399999999997</v>
      </c>
      <c r="G16" s="14">
        <f t="shared" si="0"/>
        <v>3.3799999999999997E-2</v>
      </c>
      <c r="H16" s="15"/>
      <c r="J16" s="14" t="s">
        <v>14</v>
      </c>
      <c r="K16" s="48">
        <f t="shared" si="1"/>
        <v>3.7199999999999997E-2</v>
      </c>
      <c r="L16" s="36"/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197</v>
      </c>
      <c r="C17" t="s">
        <v>31</v>
      </c>
      <c r="D17" t="s">
        <v>30</v>
      </c>
      <c r="E17" s="28">
        <v>47490</v>
      </c>
      <c r="F17" s="13">
        <v>437.64409499999999</v>
      </c>
      <c r="G17" s="14">
        <f t="shared" si="0"/>
        <v>3.2000000000000001E-2</v>
      </c>
      <c r="H17" s="15"/>
      <c r="J17" s="14" t="s">
        <v>38</v>
      </c>
      <c r="K17" s="48">
        <f t="shared" si="1"/>
        <v>3.1199999999999999E-2</v>
      </c>
      <c r="L17" s="36"/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256</v>
      </c>
      <c r="C18" t="s">
        <v>118</v>
      </c>
      <c r="D18" t="s">
        <v>30</v>
      </c>
      <c r="E18" s="28">
        <v>84930</v>
      </c>
      <c r="F18" s="13">
        <v>427.919805</v>
      </c>
      <c r="G18" s="14">
        <f t="shared" si="0"/>
        <v>3.1300000000000001E-2</v>
      </c>
      <c r="H18" s="15"/>
      <c r="J18" s="14" t="s">
        <v>43</v>
      </c>
      <c r="K18" s="48">
        <f t="shared" si="1"/>
        <v>2.92E-2</v>
      </c>
      <c r="L18" s="36"/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233</v>
      </c>
      <c r="C19" t="s">
        <v>81</v>
      </c>
      <c r="D19" t="s">
        <v>30</v>
      </c>
      <c r="E19" s="28">
        <v>91800</v>
      </c>
      <c r="F19" s="13">
        <v>382.53059999999999</v>
      </c>
      <c r="G19" s="14">
        <f t="shared" si="0"/>
        <v>2.8000000000000001E-2</v>
      </c>
      <c r="H19" s="15"/>
      <c r="J19" s="14" t="s">
        <v>28</v>
      </c>
      <c r="K19" s="48">
        <f t="shared" si="1"/>
        <v>2.7200000000000002E-2</v>
      </c>
      <c r="L19" s="36"/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271</v>
      </c>
      <c r="C20" t="s">
        <v>138</v>
      </c>
      <c r="D20" t="s">
        <v>26</v>
      </c>
      <c r="E20" s="28">
        <v>10800</v>
      </c>
      <c r="F20" s="13">
        <v>353.28960000000001</v>
      </c>
      <c r="G20" s="14">
        <f t="shared" si="0"/>
        <v>2.5899999999999999E-2</v>
      </c>
      <c r="H20" s="15"/>
      <c r="J20" s="14" t="s">
        <v>41</v>
      </c>
      <c r="K20" s="48">
        <f t="shared" si="1"/>
        <v>2.64E-2</v>
      </c>
      <c r="L20" s="36"/>
      <c r="M20" s="14"/>
      <c r="N20" s="36"/>
      <c r="P20" s="14"/>
    </row>
    <row r="21" spans="1:16" ht="12.75" customHeight="1" x14ac:dyDescent="0.2">
      <c r="A21">
        <f>+MAX($A$7:A20)+1</f>
        <v>13</v>
      </c>
      <c r="B21" t="s">
        <v>208</v>
      </c>
      <c r="C21" t="s">
        <v>53</v>
      </c>
      <c r="D21" t="s">
        <v>18</v>
      </c>
      <c r="E21" s="28">
        <v>8400</v>
      </c>
      <c r="F21" s="13">
        <v>353.11919999999998</v>
      </c>
      <c r="G21" s="14">
        <f t="shared" si="0"/>
        <v>2.58E-2</v>
      </c>
      <c r="H21" s="15"/>
      <c r="J21" s="14" t="s">
        <v>100</v>
      </c>
      <c r="K21" s="48">
        <f t="shared" si="1"/>
        <v>2.63E-2</v>
      </c>
      <c r="L21" s="36"/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196</v>
      </c>
      <c r="C22" t="s">
        <v>15</v>
      </c>
      <c r="D22" t="s">
        <v>14</v>
      </c>
      <c r="E22" s="28">
        <v>34500</v>
      </c>
      <c r="F22" s="13">
        <v>336.75450000000001</v>
      </c>
      <c r="G22" s="14">
        <f t="shared" si="0"/>
        <v>2.46E-2</v>
      </c>
      <c r="H22" s="15"/>
      <c r="J22" s="14" t="s">
        <v>45</v>
      </c>
      <c r="K22" s="48">
        <f t="shared" si="1"/>
        <v>2.3800000000000002E-2</v>
      </c>
      <c r="L22" s="36"/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319</v>
      </c>
      <c r="C23" t="s">
        <v>133</v>
      </c>
      <c r="D23" t="s">
        <v>24</v>
      </c>
      <c r="E23" s="28">
        <v>9900</v>
      </c>
      <c r="F23" s="13">
        <v>282.51134999999999</v>
      </c>
      <c r="G23" s="14">
        <f t="shared" si="0"/>
        <v>2.07E-2</v>
      </c>
      <c r="H23" s="15"/>
      <c r="J23" s="14" t="s">
        <v>22</v>
      </c>
      <c r="K23" s="48">
        <f t="shared" si="1"/>
        <v>2.1299999999999999E-2</v>
      </c>
      <c r="L23" s="36"/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202</v>
      </c>
      <c r="C24" t="s">
        <v>39</v>
      </c>
      <c r="D24" t="s">
        <v>20</v>
      </c>
      <c r="E24" s="28">
        <v>7860</v>
      </c>
      <c r="F24" s="13">
        <v>259.81229999999999</v>
      </c>
      <c r="G24" s="14">
        <f t="shared" si="0"/>
        <v>1.9E-2</v>
      </c>
      <c r="H24" s="15"/>
      <c r="J24" s="14" t="s">
        <v>24</v>
      </c>
      <c r="K24" s="48">
        <f t="shared" si="1"/>
        <v>2.07E-2</v>
      </c>
      <c r="L24" s="36"/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231</v>
      </c>
      <c r="C25" t="s">
        <v>687</v>
      </c>
      <c r="D25" t="s">
        <v>47</v>
      </c>
      <c r="E25" s="28">
        <v>75000</v>
      </c>
      <c r="F25" s="13">
        <v>244.95</v>
      </c>
      <c r="G25" s="14">
        <f t="shared" si="0"/>
        <v>1.7899999999999999E-2</v>
      </c>
      <c r="H25" s="15"/>
      <c r="J25" s="14" t="s">
        <v>135</v>
      </c>
      <c r="K25" s="48">
        <f t="shared" si="1"/>
        <v>1.5900000000000001E-2</v>
      </c>
      <c r="L25" s="36"/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508</v>
      </c>
      <c r="C26" t="s">
        <v>509</v>
      </c>
      <c r="D26" t="s">
        <v>41</v>
      </c>
      <c r="E26" s="28">
        <v>51600</v>
      </c>
      <c r="F26" s="13">
        <v>236.53440000000001</v>
      </c>
      <c r="G26" s="14">
        <f t="shared" si="0"/>
        <v>1.7299999999999999E-2</v>
      </c>
      <c r="H26" s="15"/>
      <c r="J26" s="14" t="s">
        <v>543</v>
      </c>
      <c r="K26" s="48">
        <f t="shared" si="1"/>
        <v>1.23E-2</v>
      </c>
      <c r="L26" s="36"/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267</v>
      </c>
      <c r="C27" t="s">
        <v>130</v>
      </c>
      <c r="D27" t="s">
        <v>26</v>
      </c>
      <c r="E27" s="28">
        <v>21900</v>
      </c>
      <c r="F27" s="13">
        <v>227.02635000000001</v>
      </c>
      <c r="G27" s="14">
        <f t="shared" si="0"/>
        <v>1.66E-2</v>
      </c>
      <c r="H27" s="15"/>
      <c r="J27" s="14" t="s">
        <v>146</v>
      </c>
      <c r="K27" s="48">
        <f t="shared" si="1"/>
        <v>1.23E-2</v>
      </c>
      <c r="L27" s="36"/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273</v>
      </c>
      <c r="C28" t="s">
        <v>140</v>
      </c>
      <c r="D28" t="s">
        <v>135</v>
      </c>
      <c r="E28" s="28">
        <v>22800</v>
      </c>
      <c r="F28" s="13">
        <v>217.13579999999999</v>
      </c>
      <c r="G28" s="14">
        <f t="shared" si="0"/>
        <v>1.5900000000000001E-2</v>
      </c>
      <c r="H28" s="15"/>
      <c r="J28" s="14" t="s">
        <v>32</v>
      </c>
      <c r="K28" s="48">
        <f t="shared" si="1"/>
        <v>1.0999999999999999E-2</v>
      </c>
      <c r="L28" s="36"/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245</v>
      </c>
      <c r="C29" t="s">
        <v>104</v>
      </c>
      <c r="D29" t="s">
        <v>10</v>
      </c>
      <c r="E29" s="28">
        <v>12900</v>
      </c>
      <c r="F29" s="13">
        <v>214.39155</v>
      </c>
      <c r="G29" s="14">
        <f t="shared" si="0"/>
        <v>1.5699999999999999E-2</v>
      </c>
      <c r="H29" s="15"/>
      <c r="J29" t="s">
        <v>34</v>
      </c>
      <c r="K29" s="48">
        <f t="shared" si="1"/>
        <v>9.7999999999999997E-3</v>
      </c>
      <c r="L29" s="36"/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228</v>
      </c>
      <c r="C30" t="s">
        <v>66</v>
      </c>
      <c r="D30" t="s">
        <v>28</v>
      </c>
      <c r="E30" s="28">
        <v>64800</v>
      </c>
      <c r="F30" s="13">
        <v>208.78559999999999</v>
      </c>
      <c r="G30" s="14">
        <f t="shared" si="0"/>
        <v>1.5299999999999999E-2</v>
      </c>
      <c r="H30" s="15"/>
      <c r="J30" s="14" t="s">
        <v>107</v>
      </c>
      <c r="K30" s="48">
        <f t="shared" si="1"/>
        <v>9.5999999999999992E-3</v>
      </c>
      <c r="L30" s="36"/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247</v>
      </c>
      <c r="C31" t="s">
        <v>108</v>
      </c>
      <c r="D31" t="s">
        <v>100</v>
      </c>
      <c r="E31" s="28">
        <v>106800</v>
      </c>
      <c r="F31" s="13">
        <v>192.9342</v>
      </c>
      <c r="G31" s="14">
        <f t="shared" si="0"/>
        <v>1.41E-2</v>
      </c>
      <c r="H31" s="15"/>
      <c r="J31" s="14" t="s">
        <v>327</v>
      </c>
      <c r="K31" s="48">
        <f t="shared" si="1"/>
        <v>1.6000000000000001E-3</v>
      </c>
      <c r="L31" s="36"/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291</v>
      </c>
      <c r="C32" t="s">
        <v>180</v>
      </c>
      <c r="D32" t="s">
        <v>47</v>
      </c>
      <c r="E32" s="28">
        <v>73800</v>
      </c>
      <c r="F32" s="13">
        <v>185.6808</v>
      </c>
      <c r="G32" s="14">
        <f t="shared" si="0"/>
        <v>1.3599999999999999E-2</v>
      </c>
      <c r="H32" s="15"/>
      <c r="J32" s="14" t="s">
        <v>64</v>
      </c>
      <c r="K32" s="48">
        <f>+SUMIFS($G$5:$G$999,$B$5:$B$999,"CBLO / Reverse Repo Investments")+SUMIFS($G$5:$G$999,$B$5:$B$999,"Net Receivable/Payable")</f>
        <v>7.6000000000000009E-3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452</v>
      </c>
      <c r="C33" t="s">
        <v>453</v>
      </c>
      <c r="D33" t="s">
        <v>26</v>
      </c>
      <c r="E33" s="28">
        <v>32400</v>
      </c>
      <c r="F33" s="13">
        <v>182.2662</v>
      </c>
      <c r="G33" s="14">
        <f t="shared" si="0"/>
        <v>1.3299999999999999E-2</v>
      </c>
      <c r="H33" s="15"/>
      <c r="L33" s="54"/>
      <c r="N33" s="36"/>
      <c r="P33" s="14"/>
    </row>
    <row r="34" spans="1:16" ht="12.75" customHeight="1" x14ac:dyDescent="0.2">
      <c r="A34">
        <f>+MAX($A$7:A33)+1</f>
        <v>26</v>
      </c>
      <c r="B34" t="s">
        <v>414</v>
      </c>
      <c r="C34" t="s">
        <v>415</v>
      </c>
      <c r="D34" t="s">
        <v>136</v>
      </c>
      <c r="E34" s="28">
        <v>19908</v>
      </c>
      <c r="F34" s="13">
        <v>181.48132800000002</v>
      </c>
      <c r="G34" s="14">
        <f t="shared" si="0"/>
        <v>1.3299999999999999E-2</v>
      </c>
      <c r="H34" s="15"/>
    </row>
    <row r="35" spans="1:16" ht="12.75" customHeight="1" x14ac:dyDescent="0.2">
      <c r="A35">
        <f>+MAX($A$7:A34)+1</f>
        <v>27</v>
      </c>
      <c r="B35" t="s">
        <v>275</v>
      </c>
      <c r="C35" t="s">
        <v>83</v>
      </c>
      <c r="D35" t="s">
        <v>14</v>
      </c>
      <c r="E35" s="28">
        <v>30000</v>
      </c>
      <c r="F35" s="13">
        <v>172.72499999999999</v>
      </c>
      <c r="G35" s="14">
        <f t="shared" si="0"/>
        <v>1.26E-2</v>
      </c>
      <c r="H35" s="15"/>
    </row>
    <row r="36" spans="1:16" ht="12.75" customHeight="1" x14ac:dyDescent="0.2">
      <c r="A36">
        <f>+MAX($A$7:A35)+1</f>
        <v>28</v>
      </c>
      <c r="B36" t="s">
        <v>328</v>
      </c>
      <c r="C36" t="s">
        <v>329</v>
      </c>
      <c r="D36" t="s">
        <v>10</v>
      </c>
      <c r="E36" s="28">
        <v>100590</v>
      </c>
      <c r="F36" s="13">
        <v>168.43795499999999</v>
      </c>
      <c r="G36" s="14">
        <f t="shared" si="0"/>
        <v>1.23E-2</v>
      </c>
      <c r="H36" s="15"/>
    </row>
    <row r="37" spans="1:16" ht="12.75" customHeight="1" x14ac:dyDescent="0.2">
      <c r="A37">
        <f>+MAX($A$7:A36)+1</f>
        <v>29</v>
      </c>
      <c r="B37" t="s">
        <v>541</v>
      </c>
      <c r="C37" t="s">
        <v>542</v>
      </c>
      <c r="D37" t="s">
        <v>543</v>
      </c>
      <c r="E37" s="28">
        <v>45000</v>
      </c>
      <c r="F37" s="13">
        <v>168.21</v>
      </c>
      <c r="G37" s="14">
        <f t="shared" si="0"/>
        <v>1.23E-2</v>
      </c>
      <c r="H37" s="15"/>
    </row>
    <row r="38" spans="1:16" ht="12.75" customHeight="1" x14ac:dyDescent="0.2">
      <c r="A38">
        <f>+MAX($A$7:A37)+1</f>
        <v>30</v>
      </c>
      <c r="B38" t="s">
        <v>369</v>
      </c>
      <c r="C38" t="s">
        <v>370</v>
      </c>
      <c r="D38" t="s">
        <v>146</v>
      </c>
      <c r="E38" s="28">
        <v>132475</v>
      </c>
      <c r="F38" s="13">
        <v>167.91206249999999</v>
      </c>
      <c r="G38" s="14">
        <f t="shared" si="0"/>
        <v>1.23E-2</v>
      </c>
      <c r="H38" s="15"/>
    </row>
    <row r="39" spans="1:16" ht="12.75" customHeight="1" x14ac:dyDescent="0.2">
      <c r="A39">
        <f>+MAX($A$7:A38)+1</f>
        <v>31</v>
      </c>
      <c r="B39" t="s">
        <v>558</v>
      </c>
      <c r="C39" t="s">
        <v>559</v>
      </c>
      <c r="D39" t="s">
        <v>100</v>
      </c>
      <c r="E39" s="28">
        <v>45900</v>
      </c>
      <c r="F39" s="13">
        <v>166.13505000000001</v>
      </c>
      <c r="G39" s="14">
        <f t="shared" si="0"/>
        <v>1.2200000000000001E-2</v>
      </c>
      <c r="H39" s="15"/>
    </row>
    <row r="40" spans="1:16" ht="12.75" customHeight="1" x14ac:dyDescent="0.2">
      <c r="A40">
        <f>+MAX($A$7:A39)+1</f>
        <v>32</v>
      </c>
      <c r="B40" t="s">
        <v>234</v>
      </c>
      <c r="C40" t="s">
        <v>82</v>
      </c>
      <c r="D40" t="s">
        <v>45</v>
      </c>
      <c r="E40" s="28">
        <v>54900</v>
      </c>
      <c r="F40" s="13">
        <v>164.3706</v>
      </c>
      <c r="G40" s="14">
        <f t="shared" si="0"/>
        <v>1.2E-2</v>
      </c>
      <c r="H40" s="15"/>
    </row>
    <row r="41" spans="1:16" ht="12.75" customHeight="1" x14ac:dyDescent="0.2">
      <c r="A41">
        <f>+MAX($A$7:A40)+1</f>
        <v>33</v>
      </c>
      <c r="B41" t="s">
        <v>229</v>
      </c>
      <c r="C41" t="s">
        <v>71</v>
      </c>
      <c r="D41" t="s">
        <v>28</v>
      </c>
      <c r="E41" s="28">
        <v>13350</v>
      </c>
      <c r="F41" s="13">
        <v>162.409425</v>
      </c>
      <c r="G41" s="14">
        <f t="shared" ref="G41:G61" si="2">+ROUND(F41/VLOOKUP("Grand Total",$B$4:$F$296,5,0),4)</f>
        <v>1.1900000000000001E-2</v>
      </c>
      <c r="H41" s="15"/>
    </row>
    <row r="42" spans="1:16" ht="12.75" customHeight="1" x14ac:dyDescent="0.2">
      <c r="A42">
        <f>+MAX($A$7:A41)+1</f>
        <v>34</v>
      </c>
      <c r="B42" t="s">
        <v>264</v>
      </c>
      <c r="C42" t="s">
        <v>125</v>
      </c>
      <c r="D42" t="s">
        <v>45</v>
      </c>
      <c r="E42" s="28">
        <v>66900</v>
      </c>
      <c r="F42" s="13">
        <v>160.86105000000001</v>
      </c>
      <c r="G42" s="14">
        <f t="shared" si="2"/>
        <v>1.18E-2</v>
      </c>
      <c r="H42" s="15"/>
    </row>
    <row r="43" spans="1:16" ht="12.75" customHeight="1" x14ac:dyDescent="0.2">
      <c r="A43">
        <f>+MAX($A$7:A42)+1</f>
        <v>35</v>
      </c>
      <c r="B43" t="s">
        <v>214</v>
      </c>
      <c r="C43" t="s">
        <v>55</v>
      </c>
      <c r="D43" t="s">
        <v>43</v>
      </c>
      <c r="E43" s="28">
        <v>8580</v>
      </c>
      <c r="F43" s="13">
        <v>157.13412</v>
      </c>
      <c r="G43" s="14">
        <f t="shared" si="2"/>
        <v>1.15E-2</v>
      </c>
      <c r="H43" s="15"/>
    </row>
    <row r="44" spans="1:16" ht="12.75" customHeight="1" x14ac:dyDescent="0.2">
      <c r="A44">
        <f>+MAX($A$7:A43)+1</f>
        <v>36</v>
      </c>
      <c r="B44" t="s">
        <v>317</v>
      </c>
      <c r="C44" t="s">
        <v>77</v>
      </c>
      <c r="D44" t="s">
        <v>38</v>
      </c>
      <c r="E44" s="28">
        <v>40608</v>
      </c>
      <c r="F44" s="13">
        <v>151.79270400000001</v>
      </c>
      <c r="G44" s="14">
        <f t="shared" si="2"/>
        <v>1.11E-2</v>
      </c>
      <c r="H44" s="15"/>
    </row>
    <row r="45" spans="1:16" ht="12.75" customHeight="1" x14ac:dyDescent="0.2">
      <c r="A45">
        <f>+MAX($A$7:A44)+1</f>
        <v>37</v>
      </c>
      <c r="B45" t="s">
        <v>349</v>
      </c>
      <c r="C45" t="s">
        <v>350</v>
      </c>
      <c r="D45" t="s">
        <v>32</v>
      </c>
      <c r="E45" s="28">
        <v>57000</v>
      </c>
      <c r="F45" s="13">
        <v>149.8245</v>
      </c>
      <c r="G45" s="14">
        <f t="shared" si="2"/>
        <v>1.0999999999999999E-2</v>
      </c>
      <c r="H45" s="15"/>
    </row>
    <row r="46" spans="1:16" ht="12.75" customHeight="1" x14ac:dyDescent="0.2">
      <c r="A46">
        <f>+MAX($A$7:A45)+1</f>
        <v>38</v>
      </c>
      <c r="B46" t="s">
        <v>272</v>
      </c>
      <c r="C46" t="s">
        <v>139</v>
      </c>
      <c r="D46" t="s">
        <v>47</v>
      </c>
      <c r="E46" s="28">
        <v>69900</v>
      </c>
      <c r="F46" s="13">
        <v>146.89484999999999</v>
      </c>
      <c r="G46" s="14">
        <f t="shared" si="2"/>
        <v>1.0800000000000001E-2</v>
      </c>
      <c r="H46" s="15"/>
    </row>
    <row r="47" spans="1:16" ht="12.75" customHeight="1" x14ac:dyDescent="0.2">
      <c r="A47">
        <f>+MAX($A$7:A46)+1</f>
        <v>39</v>
      </c>
      <c r="B47" t="s">
        <v>596</v>
      </c>
      <c r="C47" t="s">
        <v>501</v>
      </c>
      <c r="D47" t="s">
        <v>22</v>
      </c>
      <c r="E47" s="28">
        <v>47216</v>
      </c>
      <c r="F47" s="13">
        <v>146.345992</v>
      </c>
      <c r="G47" s="14">
        <f t="shared" si="2"/>
        <v>1.0699999999999999E-2</v>
      </c>
      <c r="H47" s="15"/>
    </row>
    <row r="48" spans="1:16" ht="12.75" customHeight="1" x14ac:dyDescent="0.2">
      <c r="A48">
        <f>+MAX($A$7:A47)+1</f>
        <v>40</v>
      </c>
      <c r="B48" t="s">
        <v>219</v>
      </c>
      <c r="C48" t="s">
        <v>61</v>
      </c>
      <c r="D48" t="s">
        <v>22</v>
      </c>
      <c r="E48" s="28">
        <v>21000</v>
      </c>
      <c r="F48" s="13">
        <v>145.49850000000001</v>
      </c>
      <c r="G48" s="14">
        <f t="shared" si="2"/>
        <v>1.06E-2</v>
      </c>
      <c r="H48" s="15"/>
    </row>
    <row r="49" spans="1:9" ht="12.75" customHeight="1" x14ac:dyDescent="0.2">
      <c r="A49">
        <f>+MAX($A$7:A48)+1</f>
        <v>41</v>
      </c>
      <c r="B49" t="s">
        <v>336</v>
      </c>
      <c r="C49" t="s">
        <v>337</v>
      </c>
      <c r="D49" t="s">
        <v>38</v>
      </c>
      <c r="E49" s="28">
        <v>7980</v>
      </c>
      <c r="F49" s="13">
        <v>142.37118000000001</v>
      </c>
      <c r="G49" s="14">
        <f t="shared" si="2"/>
        <v>1.04E-2</v>
      </c>
      <c r="H49" s="15"/>
    </row>
    <row r="50" spans="1:9" ht="12.75" customHeight="1" x14ac:dyDescent="0.2">
      <c r="A50">
        <f>+MAX($A$7:A49)+1</f>
        <v>42</v>
      </c>
      <c r="B50" t="s">
        <v>218</v>
      </c>
      <c r="C50" t="s">
        <v>65</v>
      </c>
      <c r="D50" t="s">
        <v>34</v>
      </c>
      <c r="E50" s="28">
        <v>27000</v>
      </c>
      <c r="F50" s="13">
        <v>134.04150000000001</v>
      </c>
      <c r="G50" s="14">
        <f t="shared" si="2"/>
        <v>9.7999999999999997E-3</v>
      </c>
      <c r="H50" s="15"/>
    </row>
    <row r="51" spans="1:9" ht="12.75" customHeight="1" x14ac:dyDescent="0.2">
      <c r="A51">
        <f>+MAX($A$7:A50)+1</f>
        <v>43</v>
      </c>
      <c r="B51" t="s">
        <v>221</v>
      </c>
      <c r="C51" t="s">
        <v>29</v>
      </c>
      <c r="D51" t="s">
        <v>10</v>
      </c>
      <c r="E51" s="28">
        <v>24900</v>
      </c>
      <c r="F51" s="13">
        <v>133.31460000000001</v>
      </c>
      <c r="G51" s="14">
        <f t="shared" si="2"/>
        <v>9.7999999999999997E-3</v>
      </c>
      <c r="H51" s="15"/>
    </row>
    <row r="52" spans="1:9" ht="12.75" customHeight="1" x14ac:dyDescent="0.2">
      <c r="A52">
        <f>+MAX($A$7:A51)+1</f>
        <v>44</v>
      </c>
      <c r="B52" t="s">
        <v>303</v>
      </c>
      <c r="C52" t="s">
        <v>181</v>
      </c>
      <c r="D52" t="s">
        <v>38</v>
      </c>
      <c r="E52" s="28">
        <v>64800</v>
      </c>
      <c r="F52" s="13">
        <v>132.8724</v>
      </c>
      <c r="G52" s="14">
        <f t="shared" si="2"/>
        <v>9.7000000000000003E-3</v>
      </c>
      <c r="H52" s="15"/>
    </row>
    <row r="53" spans="1:9" ht="12.75" customHeight="1" x14ac:dyDescent="0.2">
      <c r="A53">
        <f>+MAX($A$7:A52)+1</f>
        <v>45</v>
      </c>
      <c r="B53" t="s">
        <v>654</v>
      </c>
      <c r="C53" t="s">
        <v>655</v>
      </c>
      <c r="D53" t="s">
        <v>107</v>
      </c>
      <c r="E53" s="28">
        <v>75900</v>
      </c>
      <c r="F53" s="13">
        <v>130.51005000000001</v>
      </c>
      <c r="G53" s="14">
        <f t="shared" si="2"/>
        <v>9.5999999999999992E-3</v>
      </c>
      <c r="H53" s="15"/>
    </row>
    <row r="54" spans="1:9" ht="12.75" customHeight="1" x14ac:dyDescent="0.2">
      <c r="A54">
        <f>+MAX($A$7:A53)+1</f>
        <v>46</v>
      </c>
      <c r="B54" t="s">
        <v>470</v>
      </c>
      <c r="C54" t="s">
        <v>471</v>
      </c>
      <c r="D54" t="s">
        <v>136</v>
      </c>
      <c r="E54" s="28">
        <v>78900</v>
      </c>
      <c r="F54" s="13">
        <v>129.7116</v>
      </c>
      <c r="G54" s="14">
        <f t="shared" si="2"/>
        <v>9.4999999999999998E-3</v>
      </c>
      <c r="H54" s="15"/>
    </row>
    <row r="55" spans="1:9" ht="12.75" customHeight="1" x14ac:dyDescent="0.2">
      <c r="A55">
        <f>+MAX($A$7:A54)+1</f>
        <v>47</v>
      </c>
      <c r="B55" t="s">
        <v>216</v>
      </c>
      <c r="C55" t="s">
        <v>99</v>
      </c>
      <c r="D55" t="s">
        <v>10</v>
      </c>
      <c r="E55" s="28">
        <v>12600</v>
      </c>
      <c r="F55" s="13">
        <v>126.0378</v>
      </c>
      <c r="G55" s="14">
        <f t="shared" si="2"/>
        <v>9.1999999999999998E-3</v>
      </c>
      <c r="H55" s="15"/>
    </row>
    <row r="56" spans="1:9" ht="12.75" customHeight="1" x14ac:dyDescent="0.2">
      <c r="A56">
        <f>+MAX($A$7:A55)+1</f>
        <v>48</v>
      </c>
      <c r="B56" t="s">
        <v>530</v>
      </c>
      <c r="C56" t="s">
        <v>531</v>
      </c>
      <c r="D56" t="s">
        <v>43</v>
      </c>
      <c r="E56" s="28">
        <v>12900</v>
      </c>
      <c r="F56" s="13">
        <v>124.5108</v>
      </c>
      <c r="G56" s="14">
        <f t="shared" si="2"/>
        <v>9.1000000000000004E-3</v>
      </c>
      <c r="H56" s="15"/>
    </row>
    <row r="57" spans="1:9" ht="12.75" customHeight="1" x14ac:dyDescent="0.2">
      <c r="A57">
        <f>+MAX($A$7:A56)+1</f>
        <v>49</v>
      </c>
      <c r="B57" t="s">
        <v>562</v>
      </c>
      <c r="C57" t="s">
        <v>563</v>
      </c>
      <c r="D57" t="s">
        <v>41</v>
      </c>
      <c r="E57" s="28">
        <v>7080</v>
      </c>
      <c r="F57" s="13">
        <v>123.84336</v>
      </c>
      <c r="G57" s="14">
        <f t="shared" si="2"/>
        <v>9.1000000000000004E-3</v>
      </c>
      <c r="H57" s="15"/>
    </row>
    <row r="58" spans="1:9" ht="12.75" customHeight="1" x14ac:dyDescent="0.2">
      <c r="A58">
        <f>+MAX($A$7:A57)+1</f>
        <v>50</v>
      </c>
      <c r="B58" t="s">
        <v>360</v>
      </c>
      <c r="C58" t="s">
        <v>433</v>
      </c>
      <c r="D58" t="s">
        <v>136</v>
      </c>
      <c r="E58" s="28">
        <v>12900</v>
      </c>
      <c r="F58" s="13">
        <v>121.73085</v>
      </c>
      <c r="G58" s="14">
        <f t="shared" si="2"/>
        <v>8.8999999999999999E-3</v>
      </c>
      <c r="H58" s="15"/>
    </row>
    <row r="59" spans="1:9" ht="12.75" customHeight="1" x14ac:dyDescent="0.2">
      <c r="A59">
        <f>+MAX($A$7:A58)+1</f>
        <v>51</v>
      </c>
      <c r="B59" t="s">
        <v>416</v>
      </c>
      <c r="C59" t="s">
        <v>417</v>
      </c>
      <c r="D59" t="s">
        <v>43</v>
      </c>
      <c r="E59" s="28">
        <v>36000</v>
      </c>
      <c r="F59" s="13">
        <v>118.098</v>
      </c>
      <c r="G59" s="14">
        <f t="shared" si="2"/>
        <v>8.6E-3</v>
      </c>
      <c r="H59" s="15"/>
    </row>
    <row r="60" spans="1:9" ht="12.75" customHeight="1" x14ac:dyDescent="0.2">
      <c r="A60">
        <f>+MAX($A$7:A59)+1</f>
        <v>52</v>
      </c>
      <c r="B60" t="s">
        <v>560</v>
      </c>
      <c r="C60" t="s">
        <v>561</v>
      </c>
      <c r="D60" t="s">
        <v>136</v>
      </c>
      <c r="E60" s="28">
        <v>27900</v>
      </c>
      <c r="F60" s="13">
        <v>112.19985</v>
      </c>
      <c r="G60" s="14">
        <f t="shared" si="2"/>
        <v>8.2000000000000007E-3</v>
      </c>
      <c r="H60" s="15"/>
    </row>
    <row r="61" spans="1:9" ht="12.75" customHeight="1" x14ac:dyDescent="0.2">
      <c r="A61">
        <f>+MAX($A$7:A60)+1</f>
        <v>53</v>
      </c>
      <c r="B61" t="s">
        <v>413</v>
      </c>
      <c r="C61" t="s">
        <v>131</v>
      </c>
      <c r="D61" t="s">
        <v>20</v>
      </c>
      <c r="E61" s="28">
        <v>45000</v>
      </c>
      <c r="F61" s="13">
        <v>104.1525</v>
      </c>
      <c r="G61" s="14">
        <f t="shared" si="2"/>
        <v>7.6E-3</v>
      </c>
      <c r="H61" s="15"/>
    </row>
    <row r="62" spans="1:9" ht="12.75" customHeight="1" x14ac:dyDescent="0.2">
      <c r="A62">
        <f>+MAX($A$7:A61)+1</f>
        <v>54</v>
      </c>
      <c r="B62" t="s">
        <v>485</v>
      </c>
      <c r="C62" s="122" t="s">
        <v>584</v>
      </c>
      <c r="D62" t="s">
        <v>38</v>
      </c>
      <c r="E62" s="28">
        <v>16500</v>
      </c>
      <c r="F62" s="13">
        <v>0</v>
      </c>
      <c r="G62" s="108" t="s">
        <v>585</v>
      </c>
      <c r="H62" s="15"/>
    </row>
    <row r="63" spans="1:9" ht="12.75" customHeight="1" x14ac:dyDescent="0.2">
      <c r="B63" s="18" t="s">
        <v>86</v>
      </c>
      <c r="C63" s="18"/>
      <c r="D63" s="18"/>
      <c r="E63" s="29"/>
      <c r="F63" s="19">
        <f>SUM(F9:F62)</f>
        <v>13538.068772000002</v>
      </c>
      <c r="G63" s="20">
        <f>SUM(G9:G62)</f>
        <v>0.99080000000000013</v>
      </c>
      <c r="H63" s="21"/>
      <c r="I63" s="49"/>
    </row>
    <row r="64" spans="1:9" ht="12.75" customHeight="1" x14ac:dyDescent="0.2">
      <c r="F64" s="13"/>
      <c r="G64" s="14"/>
      <c r="H64" s="15"/>
    </row>
    <row r="65" spans="1:12" ht="12.75" customHeight="1" x14ac:dyDescent="0.2">
      <c r="B65" s="16" t="s">
        <v>312</v>
      </c>
      <c r="C65" s="16"/>
      <c r="F65" s="13"/>
      <c r="G65" s="14"/>
      <c r="H65" s="15"/>
      <c r="J65" s="65"/>
    </row>
    <row r="66" spans="1:12" ht="12.75" customHeight="1" x14ac:dyDescent="0.2">
      <c r="A66">
        <f>+MAX($A$8:A65)+1</f>
        <v>55</v>
      </c>
      <c r="B66" s="1" t="s">
        <v>434</v>
      </c>
      <c r="C66" s="122" t="s">
        <v>584</v>
      </c>
      <c r="D66" t="s">
        <v>26</v>
      </c>
      <c r="E66" s="28">
        <v>50000</v>
      </c>
      <c r="F66" s="13">
        <v>0</v>
      </c>
      <c r="G66" s="108" t="s">
        <v>585</v>
      </c>
      <c r="H66" s="15"/>
    </row>
    <row r="67" spans="1:12" ht="12.75" customHeight="1" x14ac:dyDescent="0.2">
      <c r="A67">
        <f>+MAX($A$8:A66)+1</f>
        <v>56</v>
      </c>
      <c r="B67" s="65" t="s">
        <v>437</v>
      </c>
      <c r="C67" s="122" t="s">
        <v>584</v>
      </c>
      <c r="D67" t="s">
        <v>24</v>
      </c>
      <c r="E67" s="28">
        <v>20</v>
      </c>
      <c r="F67" s="13">
        <v>0</v>
      </c>
      <c r="G67" s="108" t="s">
        <v>585</v>
      </c>
      <c r="H67" s="15"/>
    </row>
    <row r="68" spans="1:12" ht="12.75" customHeight="1" x14ac:dyDescent="0.2">
      <c r="A68">
        <f>+MAX($A$8:A67)+1</f>
        <v>57</v>
      </c>
      <c r="B68" s="65" t="s">
        <v>435</v>
      </c>
      <c r="C68" s="122" t="s">
        <v>142</v>
      </c>
      <c r="D68" t="s">
        <v>34</v>
      </c>
      <c r="E68" s="28">
        <v>50000</v>
      </c>
      <c r="F68" s="13">
        <v>0</v>
      </c>
      <c r="G68" s="108" t="s">
        <v>585</v>
      </c>
      <c r="H68" s="15"/>
    </row>
    <row r="69" spans="1:12" ht="12.75" customHeight="1" x14ac:dyDescent="0.2">
      <c r="A69">
        <f>+MAX($A$8:A68)+1</f>
        <v>58</v>
      </c>
      <c r="B69" s="65" t="s">
        <v>436</v>
      </c>
      <c r="C69" s="122" t="s">
        <v>584</v>
      </c>
      <c r="D69" t="s">
        <v>32</v>
      </c>
      <c r="E69" s="28">
        <v>900</v>
      </c>
      <c r="F69" s="13">
        <v>0</v>
      </c>
      <c r="G69" s="108" t="s">
        <v>585</v>
      </c>
      <c r="H69" s="15"/>
    </row>
    <row r="70" spans="1:12" ht="12.75" customHeight="1" x14ac:dyDescent="0.2">
      <c r="A70">
        <f>+MAX($A$8:A69)+1</f>
        <v>59</v>
      </c>
      <c r="B70" s="65" t="s">
        <v>438</v>
      </c>
      <c r="C70" s="122" t="s">
        <v>584</v>
      </c>
      <c r="D70" t="s">
        <v>28</v>
      </c>
      <c r="E70" s="28">
        <v>200000</v>
      </c>
      <c r="F70" s="13">
        <v>0</v>
      </c>
      <c r="G70" s="108" t="s">
        <v>585</v>
      </c>
      <c r="H70" s="15"/>
    </row>
    <row r="71" spans="1:12" ht="12.75" customHeight="1" x14ac:dyDescent="0.2">
      <c r="B71" s="18" t="s">
        <v>86</v>
      </c>
      <c r="C71" s="18"/>
      <c r="D71" s="18"/>
      <c r="E71" s="29"/>
      <c r="F71" s="19">
        <f>SUM(F66:F70)</f>
        <v>0</v>
      </c>
      <c r="G71" s="51" t="s">
        <v>585</v>
      </c>
      <c r="H71" s="21"/>
      <c r="I71" s="49"/>
    </row>
    <row r="72" spans="1:12" ht="12.75" customHeight="1" x14ac:dyDescent="0.2">
      <c r="F72" s="13"/>
      <c r="G72" s="14"/>
      <c r="H72" s="15"/>
      <c r="J72" s="46"/>
      <c r="K72" s="48"/>
    </row>
    <row r="73" spans="1:12" ht="12.75" customHeight="1" x14ac:dyDescent="0.2">
      <c r="B73" s="16" t="s">
        <v>93</v>
      </c>
      <c r="C73" s="16"/>
      <c r="F73" s="13"/>
      <c r="G73" s="14"/>
      <c r="H73" s="15"/>
      <c r="I73" s="73"/>
    </row>
    <row r="74" spans="1:12" ht="12.75" customHeight="1" x14ac:dyDescent="0.2">
      <c r="A74">
        <f>+MAX($A$8:A73)+1</f>
        <v>60</v>
      </c>
      <c r="B74" t="s">
        <v>472</v>
      </c>
      <c r="C74" t="s">
        <v>367</v>
      </c>
      <c r="D74" t="s">
        <v>327</v>
      </c>
      <c r="E74" s="28">
        <v>1317.8731</v>
      </c>
      <c r="F74" s="13">
        <v>21.723962499999999</v>
      </c>
      <c r="G74" s="14">
        <f>+ROUND(F74/VLOOKUP("Grand Total",$B$4:$F$287,5,0),4)</f>
        <v>1.6000000000000001E-3</v>
      </c>
      <c r="H74" s="15" t="s">
        <v>388</v>
      </c>
      <c r="I74" s="73"/>
    </row>
    <row r="75" spans="1:12" ht="12.75" customHeight="1" x14ac:dyDescent="0.2">
      <c r="B75" s="18" t="s">
        <v>86</v>
      </c>
      <c r="C75" s="18"/>
      <c r="D75" s="18"/>
      <c r="E75" s="29"/>
      <c r="F75" s="19">
        <f>SUM(F74)</f>
        <v>21.723962499999999</v>
      </c>
      <c r="G75" s="20">
        <f>SUM(G74)</f>
        <v>1.6000000000000001E-3</v>
      </c>
      <c r="H75" s="21"/>
      <c r="I75" s="35"/>
    </row>
    <row r="76" spans="1:12" s="46" customFormat="1" ht="12.75" customHeight="1" x14ac:dyDescent="0.2">
      <c r="B76" s="67"/>
      <c r="C76" s="67"/>
      <c r="D76" s="67"/>
      <c r="E76" s="68"/>
      <c r="F76" s="69"/>
      <c r="G76" s="70"/>
      <c r="H76" s="35"/>
      <c r="I76" s="35"/>
      <c r="K76" s="48"/>
      <c r="L76"/>
    </row>
    <row r="77" spans="1:12" ht="12.75" customHeight="1" x14ac:dyDescent="0.2">
      <c r="A77" s="95" t="s">
        <v>387</v>
      </c>
      <c r="B77" s="16" t="s">
        <v>94</v>
      </c>
      <c r="C77" s="16"/>
      <c r="F77" s="13">
        <v>167.44779389999999</v>
      </c>
      <c r="G77" s="14">
        <f>+ROUND(F77/VLOOKUP("Grand Total",$B$4:$F$296,5,0),4)</f>
        <v>1.23E-2</v>
      </c>
      <c r="H77" s="15">
        <v>43073</v>
      </c>
      <c r="L77" s="46"/>
    </row>
    <row r="78" spans="1:12" ht="12.75" customHeight="1" x14ac:dyDescent="0.2">
      <c r="B78" s="18" t="s">
        <v>86</v>
      </c>
      <c r="C78" s="18"/>
      <c r="D78" s="18"/>
      <c r="E78" s="29"/>
      <c r="F78" s="19">
        <f>SUM(F77)</f>
        <v>167.44779389999999</v>
      </c>
      <c r="G78" s="20">
        <f>SUM(G77)</f>
        <v>1.23E-2</v>
      </c>
      <c r="H78" s="21"/>
      <c r="I78" s="49"/>
    </row>
    <row r="79" spans="1:12" ht="12.75" customHeight="1" x14ac:dyDescent="0.2">
      <c r="F79" s="13"/>
      <c r="G79" s="14"/>
      <c r="H79" s="15"/>
    </row>
    <row r="80" spans="1:12" ht="12.75" customHeight="1" x14ac:dyDescent="0.2">
      <c r="B80" s="16" t="s">
        <v>95</v>
      </c>
      <c r="C80" s="16"/>
      <c r="F80" s="13"/>
      <c r="G80" s="14"/>
      <c r="H80" s="15"/>
    </row>
    <row r="81" spans="2:9" ht="12.75" customHeight="1" x14ac:dyDescent="0.2">
      <c r="B81" s="16" t="s">
        <v>96</v>
      </c>
      <c r="C81" s="16"/>
      <c r="F81" s="13">
        <v>-65.288203900005101</v>
      </c>
      <c r="G81" s="14">
        <f>+ROUND(F81/VLOOKUP("Grand Total",$B$4:$F$296,5,0),4)+0.01%</f>
        <v>-4.6999999999999993E-3</v>
      </c>
      <c r="H81" s="15"/>
    </row>
    <row r="82" spans="2:9" ht="12.75" customHeight="1" x14ac:dyDescent="0.2">
      <c r="B82" s="18" t="s">
        <v>86</v>
      </c>
      <c r="C82" s="18"/>
      <c r="D82" s="18"/>
      <c r="E82" s="29"/>
      <c r="F82" s="19">
        <f>SUM(F81)</f>
        <v>-65.288203900005101</v>
      </c>
      <c r="G82" s="20">
        <f>SUM(G81)</f>
        <v>-4.6999999999999993E-3</v>
      </c>
      <c r="H82" s="21"/>
      <c r="I82" s="49"/>
    </row>
    <row r="83" spans="2:9" ht="12.75" customHeight="1" x14ac:dyDescent="0.2">
      <c r="B83" s="22" t="s">
        <v>97</v>
      </c>
      <c r="C83" s="22"/>
      <c r="D83" s="22"/>
      <c r="E83" s="30"/>
      <c r="F83" s="23">
        <f>+SUMIF($B$5:B82,"Total",$F$5:F82)</f>
        <v>13661.952324499998</v>
      </c>
      <c r="G83" s="24">
        <f>+SUMIF($B$5:B82,"Total",$G$5:G82)</f>
        <v>1.0000000000000002</v>
      </c>
      <c r="H83" s="25"/>
      <c r="I83" s="49"/>
    </row>
    <row r="84" spans="2:9" ht="12.75" customHeight="1" x14ac:dyDescent="0.2">
      <c r="F84" s="13"/>
    </row>
    <row r="85" spans="2:9" ht="12.75" customHeight="1" x14ac:dyDescent="0.2">
      <c r="B85" s="16" t="s">
        <v>189</v>
      </c>
    </row>
    <row r="86" spans="2:9" ht="12.75" customHeight="1" x14ac:dyDescent="0.2">
      <c r="B86" s="16" t="s">
        <v>190</v>
      </c>
      <c r="C86" s="16"/>
    </row>
    <row r="87" spans="2:9" ht="12.75" customHeight="1" x14ac:dyDescent="0.2">
      <c r="B87" s="16" t="s">
        <v>191</v>
      </c>
      <c r="C87" s="16"/>
    </row>
    <row r="88" spans="2:9" ht="12.75" customHeight="1" x14ac:dyDescent="0.2">
      <c r="B88" s="16" t="s">
        <v>193</v>
      </c>
      <c r="C88" s="16"/>
    </row>
    <row r="89" spans="2:9" ht="12.75" customHeight="1" x14ac:dyDescent="0.2">
      <c r="B89" s="16"/>
    </row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</sheetData>
  <sheetProtection password="EDB4" sheet="1" objects="1" scenarios="1"/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4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bestFit="1" customWidth="1"/>
    <col min="12" max="12" width="10.28515625" bestFit="1" customWidth="1"/>
  </cols>
  <sheetData>
    <row r="1" spans="1:16" ht="18.75" x14ac:dyDescent="0.2">
      <c r="A1" s="94" t="s">
        <v>392</v>
      </c>
      <c r="B1" s="124" t="s">
        <v>144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425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276</v>
      </c>
      <c r="C9" t="s">
        <v>145</v>
      </c>
      <c r="D9" t="s">
        <v>20</v>
      </c>
      <c r="E9" s="28">
        <v>13260</v>
      </c>
      <c r="F9" s="13">
        <v>3970.5810299999998</v>
      </c>
      <c r="G9" s="14">
        <f t="shared" ref="G9:G40" si="0">+ROUND(F9/VLOOKUP("Grand Total",$B$4:$F$296,5,0),4)</f>
        <v>2.64E-2</v>
      </c>
      <c r="H9" s="15"/>
      <c r="J9" s="14" t="s">
        <v>10</v>
      </c>
      <c r="K9" s="48">
        <f t="shared" ref="K9:K35" si="1">SUMIFS($G$5:$G$328,$D$5:$D$328,J9)</f>
        <v>0.1177</v>
      </c>
    </row>
    <row r="10" spans="1:16" s="65" customFormat="1" ht="12.75" customHeight="1" x14ac:dyDescent="0.2">
      <c r="A10" s="65">
        <f>+MAX($A$8:A9)+1</f>
        <v>2</v>
      </c>
      <c r="B10" s="65" t="s">
        <v>207</v>
      </c>
      <c r="C10" s="65" t="s">
        <v>48</v>
      </c>
      <c r="D10" s="65" t="s">
        <v>26</v>
      </c>
      <c r="E10" s="85">
        <v>75900</v>
      </c>
      <c r="F10" s="86">
        <v>3655.0403999999999</v>
      </c>
      <c r="G10" s="14">
        <f t="shared" si="0"/>
        <v>2.4299999999999999E-2</v>
      </c>
      <c r="H10" s="91"/>
      <c r="I10" s="73"/>
      <c r="J10" s="14" t="s">
        <v>41</v>
      </c>
      <c r="K10" s="48">
        <f t="shared" si="1"/>
        <v>8.9400000000000007E-2</v>
      </c>
    </row>
    <row r="11" spans="1:16" ht="12.75" customHeight="1" x14ac:dyDescent="0.2">
      <c r="A11">
        <f>+MAX($A$8:A10)+1</f>
        <v>3</v>
      </c>
      <c r="B11" t="s">
        <v>245</v>
      </c>
      <c r="C11" t="s">
        <v>104</v>
      </c>
      <c r="D11" t="s">
        <v>10</v>
      </c>
      <c r="E11" s="28">
        <v>177900</v>
      </c>
      <c r="F11" s="13">
        <v>2956.60905</v>
      </c>
      <c r="G11" s="14">
        <f t="shared" si="0"/>
        <v>1.9699999999999999E-2</v>
      </c>
      <c r="H11" s="15"/>
      <c r="J11" s="14" t="s">
        <v>24</v>
      </c>
      <c r="K11" s="48">
        <f t="shared" si="1"/>
        <v>7.2900000000000006E-2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231</v>
      </c>
      <c r="C12" t="s">
        <v>687</v>
      </c>
      <c r="D12" t="s">
        <v>47</v>
      </c>
      <c r="E12" s="28">
        <v>834000</v>
      </c>
      <c r="F12" s="13">
        <v>2723.8440000000001</v>
      </c>
      <c r="G12" s="14">
        <f t="shared" si="0"/>
        <v>1.8100000000000002E-2</v>
      </c>
      <c r="H12" s="15"/>
      <c r="J12" s="14" t="s">
        <v>136</v>
      </c>
      <c r="K12" s="48">
        <f t="shared" si="1"/>
        <v>5.4300000000000001E-2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287</v>
      </c>
      <c r="C13" t="s">
        <v>158</v>
      </c>
      <c r="D13" t="s">
        <v>41</v>
      </c>
      <c r="E13" s="28">
        <v>181726</v>
      </c>
      <c r="F13" s="13">
        <v>2677.8234729999999</v>
      </c>
      <c r="G13" s="14">
        <f t="shared" si="0"/>
        <v>1.78E-2</v>
      </c>
      <c r="H13" s="15"/>
      <c r="J13" s="14" t="s">
        <v>146</v>
      </c>
      <c r="K13" s="48">
        <f t="shared" si="1"/>
        <v>5.3600000000000002E-2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198</v>
      </c>
      <c r="C14" t="s">
        <v>11</v>
      </c>
      <c r="D14" t="s">
        <v>10</v>
      </c>
      <c r="E14" s="28">
        <v>837048</v>
      </c>
      <c r="F14" s="13">
        <v>2574.341124</v>
      </c>
      <c r="G14" s="14">
        <f t="shared" si="0"/>
        <v>1.7100000000000001E-2</v>
      </c>
      <c r="H14" s="15"/>
      <c r="J14" s="14" t="s">
        <v>26</v>
      </c>
      <c r="K14" s="48">
        <f t="shared" si="1"/>
        <v>5.2900000000000003E-2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291</v>
      </c>
      <c r="C15" t="s">
        <v>180</v>
      </c>
      <c r="D15" t="s">
        <v>47</v>
      </c>
      <c r="E15" s="28">
        <v>1015890</v>
      </c>
      <c r="F15" s="13">
        <v>2555.9792400000001</v>
      </c>
      <c r="G15" s="14">
        <f t="shared" si="0"/>
        <v>1.7000000000000001E-2</v>
      </c>
      <c r="H15" s="15"/>
      <c r="J15" s="14" t="s">
        <v>18</v>
      </c>
      <c r="K15" s="48">
        <f t="shared" si="1"/>
        <v>5.2400000000000002E-2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233</v>
      </c>
      <c r="C16" t="s">
        <v>81</v>
      </c>
      <c r="D16" t="s">
        <v>30</v>
      </c>
      <c r="E16" s="28">
        <v>540900</v>
      </c>
      <c r="F16" s="13">
        <v>2253.9303</v>
      </c>
      <c r="G16" s="14">
        <f t="shared" si="0"/>
        <v>1.4999999999999999E-2</v>
      </c>
      <c r="H16" s="15"/>
      <c r="J16" s="14" t="s">
        <v>38</v>
      </c>
      <c r="K16" s="48">
        <f t="shared" si="1"/>
        <v>4.8899999999999999E-2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16</v>
      </c>
      <c r="C17" t="s">
        <v>17</v>
      </c>
      <c r="D17" t="s">
        <v>10</v>
      </c>
      <c r="E17" s="28">
        <v>702600</v>
      </c>
      <c r="F17" s="13">
        <v>2250.7791000000002</v>
      </c>
      <c r="G17" s="14">
        <f t="shared" si="0"/>
        <v>1.4999999999999999E-2</v>
      </c>
      <c r="H17" s="15"/>
      <c r="J17" s="14" t="s">
        <v>47</v>
      </c>
      <c r="K17" s="48">
        <f t="shared" si="1"/>
        <v>4.4600000000000008E-2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278</v>
      </c>
      <c r="C18" t="s">
        <v>378</v>
      </c>
      <c r="D18" t="s">
        <v>24</v>
      </c>
      <c r="E18" s="28">
        <v>129300</v>
      </c>
      <c r="F18" s="13">
        <v>2233.0756500000002</v>
      </c>
      <c r="G18" s="14">
        <f t="shared" si="0"/>
        <v>1.4800000000000001E-2</v>
      </c>
      <c r="H18" s="15"/>
      <c r="J18" s="14" t="s">
        <v>22</v>
      </c>
      <c r="K18" s="48">
        <f t="shared" si="1"/>
        <v>3.7600000000000001E-2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279</v>
      </c>
      <c r="C19" t="s">
        <v>148</v>
      </c>
      <c r="D19" t="s">
        <v>38</v>
      </c>
      <c r="E19" s="28">
        <v>3240</v>
      </c>
      <c r="F19" s="13">
        <v>2222.1053999999999</v>
      </c>
      <c r="G19" s="14">
        <f t="shared" si="0"/>
        <v>1.4800000000000001E-2</v>
      </c>
      <c r="H19" s="15"/>
      <c r="J19" s="14" t="s">
        <v>107</v>
      </c>
      <c r="K19" s="48">
        <f t="shared" si="1"/>
        <v>3.3399999999999999E-2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320</v>
      </c>
      <c r="C20" t="s">
        <v>538</v>
      </c>
      <c r="D20" t="s">
        <v>136</v>
      </c>
      <c r="E20" s="28">
        <v>311400</v>
      </c>
      <c r="F20" s="13">
        <v>2156.2892999999999</v>
      </c>
      <c r="G20" s="14">
        <f t="shared" si="0"/>
        <v>1.43E-2</v>
      </c>
      <c r="H20" s="15"/>
      <c r="J20" s="14" t="s">
        <v>37</v>
      </c>
      <c r="K20" s="48">
        <f t="shared" si="1"/>
        <v>3.2299999999999995E-2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281</v>
      </c>
      <c r="C21" t="s">
        <v>152</v>
      </c>
      <c r="D21" t="s">
        <v>28</v>
      </c>
      <c r="E21" s="28">
        <v>335400</v>
      </c>
      <c r="F21" s="13">
        <v>2135.1563999999998</v>
      </c>
      <c r="G21" s="14">
        <f t="shared" si="0"/>
        <v>1.4200000000000001E-2</v>
      </c>
      <c r="H21" s="15"/>
      <c r="J21" s="14" t="s">
        <v>14</v>
      </c>
      <c r="K21" s="48">
        <f t="shared" si="1"/>
        <v>3.2199999999999999E-2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195</v>
      </c>
      <c r="C22" t="s">
        <v>13</v>
      </c>
      <c r="D22" t="s">
        <v>10</v>
      </c>
      <c r="E22" s="28">
        <v>114900</v>
      </c>
      <c r="F22" s="13">
        <v>2129.9013</v>
      </c>
      <c r="G22" s="14">
        <f t="shared" si="0"/>
        <v>1.4200000000000001E-2</v>
      </c>
      <c r="H22" s="15"/>
      <c r="J22" s="14" t="s">
        <v>32</v>
      </c>
      <c r="K22" s="48">
        <f t="shared" si="1"/>
        <v>2.81E-2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289</v>
      </c>
      <c r="C23" t="s">
        <v>290</v>
      </c>
      <c r="D23" t="s">
        <v>41</v>
      </c>
      <c r="E23" s="28">
        <v>326700</v>
      </c>
      <c r="F23" s="13">
        <v>2122.2431999999999</v>
      </c>
      <c r="G23" s="14">
        <f t="shared" si="0"/>
        <v>1.41E-2</v>
      </c>
      <c r="H23" s="15"/>
      <c r="J23" s="14" t="s">
        <v>20</v>
      </c>
      <c r="K23" s="48">
        <f t="shared" si="1"/>
        <v>2.64E-2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565</v>
      </c>
      <c r="C24" t="s">
        <v>566</v>
      </c>
      <c r="D24" t="s">
        <v>567</v>
      </c>
      <c r="E24" s="28">
        <v>186000</v>
      </c>
      <c r="F24" s="13">
        <v>2094.8249999999998</v>
      </c>
      <c r="G24" s="14">
        <f t="shared" si="0"/>
        <v>1.3899999999999999E-2</v>
      </c>
      <c r="H24" s="15"/>
      <c r="J24" s="14" t="s">
        <v>28</v>
      </c>
      <c r="K24" s="48">
        <f t="shared" si="1"/>
        <v>2.63E-2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266</v>
      </c>
      <c r="C25" t="s">
        <v>129</v>
      </c>
      <c r="D25" t="s">
        <v>18</v>
      </c>
      <c r="E25" s="28">
        <v>12129</v>
      </c>
      <c r="F25" s="13">
        <v>2085.8787105000001</v>
      </c>
      <c r="G25" s="14">
        <f t="shared" si="0"/>
        <v>1.3899999999999999E-2</v>
      </c>
      <c r="H25" s="15"/>
      <c r="J25" s="14" t="s">
        <v>30</v>
      </c>
      <c r="K25" s="48">
        <f t="shared" si="1"/>
        <v>2.4399999999999998E-2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219</v>
      </c>
      <c r="C26" t="s">
        <v>61</v>
      </c>
      <c r="D26" t="s">
        <v>22</v>
      </c>
      <c r="E26" s="28">
        <v>297600</v>
      </c>
      <c r="F26" s="13">
        <v>2061.9216000000001</v>
      </c>
      <c r="G26" s="14">
        <f t="shared" si="0"/>
        <v>1.37E-2</v>
      </c>
      <c r="H26" s="15"/>
      <c r="J26" s="14" t="s">
        <v>106</v>
      </c>
      <c r="K26" s="48">
        <f t="shared" si="1"/>
        <v>2.1399999999999999E-2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217</v>
      </c>
      <c r="C27" t="s">
        <v>59</v>
      </c>
      <c r="D27" t="s">
        <v>22</v>
      </c>
      <c r="E27" s="28">
        <v>216600</v>
      </c>
      <c r="F27" s="13">
        <v>2037.3396</v>
      </c>
      <c r="G27" s="14">
        <f t="shared" si="0"/>
        <v>1.35E-2</v>
      </c>
      <c r="H27" s="15"/>
      <c r="J27" s="14" t="s">
        <v>103</v>
      </c>
      <c r="K27" s="48">
        <f t="shared" si="1"/>
        <v>1.8800000000000001E-2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230</v>
      </c>
      <c r="C28" t="s">
        <v>78</v>
      </c>
      <c r="D28" t="s">
        <v>38</v>
      </c>
      <c r="E28" s="28">
        <v>556080</v>
      </c>
      <c r="F28" s="13">
        <v>2030.8041599999999</v>
      </c>
      <c r="G28" s="14">
        <f t="shared" si="0"/>
        <v>1.35E-2</v>
      </c>
      <c r="H28" s="15"/>
      <c r="J28" s="14" t="s">
        <v>43</v>
      </c>
      <c r="K28" s="48">
        <f t="shared" si="1"/>
        <v>1.84E-2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569</v>
      </c>
      <c r="C29" t="s">
        <v>603</v>
      </c>
      <c r="D29" t="s">
        <v>37</v>
      </c>
      <c r="E29" s="28">
        <v>150990</v>
      </c>
      <c r="F29" s="13">
        <v>1974.9492</v>
      </c>
      <c r="G29" s="14">
        <f t="shared" si="0"/>
        <v>1.3100000000000001E-2</v>
      </c>
      <c r="H29" s="15"/>
      <c r="J29" s="14" t="s">
        <v>45</v>
      </c>
      <c r="K29" s="48">
        <f t="shared" si="1"/>
        <v>1.6899999999999998E-2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274</v>
      </c>
      <c r="C30" t="s">
        <v>141</v>
      </c>
      <c r="D30" t="s">
        <v>136</v>
      </c>
      <c r="E30" s="28">
        <v>264600</v>
      </c>
      <c r="F30" s="13">
        <v>1922.9804999999999</v>
      </c>
      <c r="G30" s="14">
        <f t="shared" si="0"/>
        <v>1.2800000000000001E-2</v>
      </c>
      <c r="H30" s="15"/>
      <c r="J30" s="14" t="s">
        <v>567</v>
      </c>
      <c r="K30" s="48">
        <f t="shared" si="1"/>
        <v>1.3899999999999999E-2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688</v>
      </c>
      <c r="C31" t="s">
        <v>689</v>
      </c>
      <c r="D31" t="s">
        <v>107</v>
      </c>
      <c r="E31" s="28">
        <v>90000</v>
      </c>
      <c r="F31" s="13">
        <v>1871.1</v>
      </c>
      <c r="G31" s="14">
        <f t="shared" si="0"/>
        <v>1.24E-2</v>
      </c>
      <c r="H31" s="15"/>
      <c r="J31" s="14" t="s">
        <v>150</v>
      </c>
      <c r="K31" s="48">
        <f t="shared" si="1"/>
        <v>1.0800000000000001E-2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654</v>
      </c>
      <c r="C32" t="s">
        <v>655</v>
      </c>
      <c r="D32" t="s">
        <v>107</v>
      </c>
      <c r="E32" s="28">
        <v>1080000</v>
      </c>
      <c r="F32" s="13">
        <v>1857.06</v>
      </c>
      <c r="G32" s="14">
        <f t="shared" si="0"/>
        <v>1.23E-2</v>
      </c>
      <c r="H32" s="15"/>
      <c r="J32" s="14" t="s">
        <v>135</v>
      </c>
      <c r="K32" s="48">
        <f t="shared" si="1"/>
        <v>9.7000000000000003E-3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347</v>
      </c>
      <c r="C33" t="s">
        <v>348</v>
      </c>
      <c r="D33" t="s">
        <v>18</v>
      </c>
      <c r="E33" s="28">
        <v>165000</v>
      </c>
      <c r="F33" s="13">
        <v>1852.2075</v>
      </c>
      <c r="G33" s="14">
        <f t="shared" si="0"/>
        <v>1.23E-2</v>
      </c>
      <c r="H33" s="15"/>
      <c r="J33" s="14" t="s">
        <v>512</v>
      </c>
      <c r="K33" s="48">
        <f t="shared" si="1"/>
        <v>7.6E-3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361</v>
      </c>
      <c r="C34" t="s">
        <v>157</v>
      </c>
      <c r="D34" t="s">
        <v>24</v>
      </c>
      <c r="E34" s="28">
        <v>187890</v>
      </c>
      <c r="F34" s="13">
        <v>1842.07356</v>
      </c>
      <c r="G34" s="14">
        <f t="shared" si="0"/>
        <v>1.2200000000000001E-2</v>
      </c>
      <c r="H34" s="15"/>
      <c r="J34" s="14" t="s">
        <v>327</v>
      </c>
      <c r="K34" s="48">
        <f t="shared" si="1"/>
        <v>4.5999999999999999E-3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294</v>
      </c>
      <c r="C35" t="s">
        <v>151</v>
      </c>
      <c r="D35" t="s">
        <v>41</v>
      </c>
      <c r="E35" s="28">
        <v>270900</v>
      </c>
      <c r="F35" s="13">
        <v>1830.2003999999999</v>
      </c>
      <c r="G35" s="14">
        <f t="shared" si="0"/>
        <v>1.2200000000000001E-2</v>
      </c>
      <c r="H35" s="15"/>
      <c r="J35" s="14" t="s">
        <v>330</v>
      </c>
      <c r="K35" s="48">
        <f t="shared" si="1"/>
        <v>4.3E-3</v>
      </c>
      <c r="L35" s="54"/>
      <c r="M35" s="14"/>
      <c r="N35" s="36"/>
      <c r="P35" s="14"/>
    </row>
    <row r="36" spans="1:16" ht="12.75" customHeight="1" x14ac:dyDescent="0.2">
      <c r="A36">
        <f>+MAX($A$8:A35)+1</f>
        <v>28</v>
      </c>
      <c r="B36" t="s">
        <v>228</v>
      </c>
      <c r="C36" t="s">
        <v>66</v>
      </c>
      <c r="D36" t="s">
        <v>28</v>
      </c>
      <c r="E36" s="28">
        <v>567000</v>
      </c>
      <c r="F36" s="13">
        <v>1826.874</v>
      </c>
      <c r="G36" s="14">
        <f t="shared" si="0"/>
        <v>1.21E-2</v>
      </c>
      <c r="H36" s="15"/>
      <c r="J36" s="14" t="s">
        <v>64</v>
      </c>
      <c r="K36" s="48">
        <f>+SUMIFS($G$5:$G$999,$B$5:$B$999,"CBLO / Reverse Repo Investments")+SUMIFS($G$5:$G$999,$B$5:$B$999,"Net Receivable/Payable")</f>
        <v>4.6199999999999998E-2</v>
      </c>
      <c r="L36" s="54">
        <f>+SUM($K$9:K33)</f>
        <v>0.94490000000000007</v>
      </c>
      <c r="M36" s="14"/>
      <c r="N36" s="36"/>
      <c r="P36" s="14"/>
    </row>
    <row r="37" spans="1:16" ht="12.75" customHeight="1" x14ac:dyDescent="0.2">
      <c r="A37">
        <f>+MAX($A$8:A36)+1</f>
        <v>29</v>
      </c>
      <c r="B37" t="s">
        <v>235</v>
      </c>
      <c r="C37" t="s">
        <v>79</v>
      </c>
      <c r="D37" t="s">
        <v>26</v>
      </c>
      <c r="E37" s="28">
        <v>55308</v>
      </c>
      <c r="F37" s="13">
        <v>1816.6742219999999</v>
      </c>
      <c r="G37" s="14">
        <f t="shared" si="0"/>
        <v>1.21E-2</v>
      </c>
      <c r="H37" s="15"/>
      <c r="J37" s="14"/>
      <c r="K37" s="48"/>
      <c r="M37" s="14"/>
      <c r="N37" s="36"/>
      <c r="P37" s="14"/>
    </row>
    <row r="38" spans="1:16" ht="12.75" customHeight="1" x14ac:dyDescent="0.2">
      <c r="A38">
        <f>+MAX($A$8:A37)+1</f>
        <v>30</v>
      </c>
      <c r="B38" t="s">
        <v>303</v>
      </c>
      <c r="C38" t="s">
        <v>181</v>
      </c>
      <c r="D38" t="s">
        <v>38</v>
      </c>
      <c r="E38" s="28">
        <v>864900</v>
      </c>
      <c r="F38" s="13">
        <v>1773.4774500000001</v>
      </c>
      <c r="G38" s="14">
        <f t="shared" si="0"/>
        <v>1.18E-2</v>
      </c>
      <c r="H38" s="15"/>
      <c r="J38" s="14"/>
      <c r="M38" s="14"/>
      <c r="N38" s="36"/>
      <c r="P38" s="14"/>
    </row>
    <row r="39" spans="1:16" ht="12.75" customHeight="1" x14ac:dyDescent="0.2">
      <c r="A39">
        <f>+MAX($A$8:A38)+1</f>
        <v>31</v>
      </c>
      <c r="B39" t="s">
        <v>324</v>
      </c>
      <c r="C39" t="s">
        <v>325</v>
      </c>
      <c r="D39" t="s">
        <v>146</v>
      </c>
      <c r="E39" s="28">
        <v>377674</v>
      </c>
      <c r="F39" s="13">
        <v>1763.73758</v>
      </c>
      <c r="G39" s="14">
        <f t="shared" si="0"/>
        <v>1.17E-2</v>
      </c>
      <c r="H39" s="15"/>
    </row>
    <row r="40" spans="1:16" ht="12.75" customHeight="1" x14ac:dyDescent="0.2">
      <c r="A40">
        <f>+MAX($A$8:A39)+1</f>
        <v>32</v>
      </c>
      <c r="B40" t="s">
        <v>216</v>
      </c>
      <c r="C40" t="s">
        <v>99</v>
      </c>
      <c r="D40" t="s">
        <v>10</v>
      </c>
      <c r="E40" s="28">
        <v>174600</v>
      </c>
      <c r="F40" s="13">
        <v>1746.5237999999999</v>
      </c>
      <c r="G40" s="14">
        <f t="shared" si="0"/>
        <v>1.1599999999999999E-2</v>
      </c>
      <c r="H40" s="15"/>
    </row>
    <row r="41" spans="1:16" ht="12.75" customHeight="1" x14ac:dyDescent="0.2">
      <c r="A41">
        <f>+MAX($A$8:A40)+1</f>
        <v>33</v>
      </c>
      <c r="B41" t="s">
        <v>268</v>
      </c>
      <c r="C41" t="s">
        <v>467</v>
      </c>
      <c r="D41" t="s">
        <v>106</v>
      </c>
      <c r="E41" s="28">
        <v>939000</v>
      </c>
      <c r="F41" s="13">
        <v>1744.662</v>
      </c>
      <c r="G41" s="14">
        <f t="shared" ref="G41:G72" si="2">+ROUND(F41/VLOOKUP("Grand Total",$B$4:$F$296,5,0),4)</f>
        <v>1.1599999999999999E-2</v>
      </c>
      <c r="H41" s="15"/>
    </row>
    <row r="42" spans="1:16" ht="12.75" customHeight="1" x14ac:dyDescent="0.2">
      <c r="A42">
        <f>+MAX($A$8:A41)+1</f>
        <v>34</v>
      </c>
      <c r="B42" t="s">
        <v>270</v>
      </c>
      <c r="C42" t="s">
        <v>137</v>
      </c>
      <c r="D42" t="s">
        <v>18</v>
      </c>
      <c r="E42" s="28">
        <v>54108</v>
      </c>
      <c r="F42" s="13">
        <v>1706.1875640000001</v>
      </c>
      <c r="G42" s="14">
        <f t="shared" si="2"/>
        <v>1.1299999999999999E-2</v>
      </c>
      <c r="H42" s="15"/>
    </row>
    <row r="43" spans="1:16" ht="12.75" customHeight="1" x14ac:dyDescent="0.2">
      <c r="A43">
        <f>+MAX($A$8:A42)+1</f>
        <v>35</v>
      </c>
      <c r="B43" t="s">
        <v>275</v>
      </c>
      <c r="C43" t="s">
        <v>83</v>
      </c>
      <c r="D43" t="s">
        <v>14</v>
      </c>
      <c r="E43" s="28">
        <v>294900</v>
      </c>
      <c r="F43" s="13">
        <v>1697.8867499999999</v>
      </c>
      <c r="G43" s="14">
        <f t="shared" si="2"/>
        <v>1.1299999999999999E-2</v>
      </c>
      <c r="H43" s="15"/>
    </row>
    <row r="44" spans="1:16" ht="12.75" customHeight="1" x14ac:dyDescent="0.2">
      <c r="A44">
        <f>+MAX($A$8:A43)+1</f>
        <v>36</v>
      </c>
      <c r="B44" t="s">
        <v>206</v>
      </c>
      <c r="C44" t="s">
        <v>44</v>
      </c>
      <c r="D44" t="s">
        <v>24</v>
      </c>
      <c r="E44" s="28">
        <v>270900</v>
      </c>
      <c r="F44" s="13">
        <v>1670.23395</v>
      </c>
      <c r="G44" s="14">
        <f t="shared" si="2"/>
        <v>1.11E-2</v>
      </c>
      <c r="H44" s="15"/>
    </row>
    <row r="45" spans="1:16" ht="12.75" customHeight="1" x14ac:dyDescent="0.2">
      <c r="A45">
        <f>+MAX($A$8:A44)+1</f>
        <v>37</v>
      </c>
      <c r="B45" t="s">
        <v>534</v>
      </c>
      <c r="C45" t="s">
        <v>535</v>
      </c>
      <c r="D45" t="s">
        <v>14</v>
      </c>
      <c r="E45" s="28">
        <v>159000</v>
      </c>
      <c r="F45" s="13">
        <v>1625.5364999999999</v>
      </c>
      <c r="G45" s="14">
        <f t="shared" si="2"/>
        <v>1.0800000000000001E-2</v>
      </c>
      <c r="H45" s="15"/>
    </row>
    <row r="46" spans="1:16" ht="12.75" customHeight="1" x14ac:dyDescent="0.2">
      <c r="A46">
        <f>+MAX($A$8:A45)+1</f>
        <v>38</v>
      </c>
      <c r="B46" t="s">
        <v>282</v>
      </c>
      <c r="C46" t="s">
        <v>155</v>
      </c>
      <c r="D46" t="s">
        <v>150</v>
      </c>
      <c r="E46" s="28">
        <v>123900</v>
      </c>
      <c r="F46" s="13">
        <v>1621.66515</v>
      </c>
      <c r="G46" s="14">
        <f t="shared" si="2"/>
        <v>1.0800000000000001E-2</v>
      </c>
      <c r="H46" s="15"/>
    </row>
    <row r="47" spans="1:16" ht="12.75" customHeight="1" x14ac:dyDescent="0.2">
      <c r="A47">
        <f>+MAX($A$8:A46)+1</f>
        <v>39</v>
      </c>
      <c r="B47" t="s">
        <v>606</v>
      </c>
      <c r="C47" t="s">
        <v>607</v>
      </c>
      <c r="D47" t="s">
        <v>146</v>
      </c>
      <c r="E47" s="28">
        <v>45000</v>
      </c>
      <c r="F47" s="13">
        <v>1583.8425</v>
      </c>
      <c r="G47" s="14">
        <f t="shared" si="2"/>
        <v>1.0500000000000001E-2</v>
      </c>
      <c r="H47" s="15"/>
    </row>
    <row r="48" spans="1:16" ht="12.75" customHeight="1" x14ac:dyDescent="0.2">
      <c r="A48">
        <f>+MAX($A$8:A47)+1</f>
        <v>40</v>
      </c>
      <c r="B48" t="s">
        <v>277</v>
      </c>
      <c r="C48" t="s">
        <v>147</v>
      </c>
      <c r="D48" t="s">
        <v>22</v>
      </c>
      <c r="E48" s="28">
        <v>121800</v>
      </c>
      <c r="F48" s="13">
        <v>1566.5307</v>
      </c>
      <c r="G48" s="14">
        <f t="shared" si="2"/>
        <v>1.04E-2</v>
      </c>
      <c r="H48" s="15"/>
    </row>
    <row r="49" spans="1:8" ht="12.75" customHeight="1" x14ac:dyDescent="0.2">
      <c r="A49">
        <f>+MAX($A$8:A48)+1</f>
        <v>41</v>
      </c>
      <c r="B49" t="s">
        <v>493</v>
      </c>
      <c r="C49" t="s">
        <v>494</v>
      </c>
      <c r="D49" t="s">
        <v>32</v>
      </c>
      <c r="E49" s="28">
        <v>339000</v>
      </c>
      <c r="F49" s="13">
        <v>1566.18</v>
      </c>
      <c r="G49" s="14">
        <f t="shared" si="2"/>
        <v>1.04E-2</v>
      </c>
      <c r="H49" s="15"/>
    </row>
    <row r="50" spans="1:8" ht="12.75" customHeight="1" x14ac:dyDescent="0.2">
      <c r="A50">
        <f>+MAX($A$8:A49)+1</f>
        <v>42</v>
      </c>
      <c r="B50" t="s">
        <v>305</v>
      </c>
      <c r="C50" t="s">
        <v>183</v>
      </c>
      <c r="D50" t="s">
        <v>103</v>
      </c>
      <c r="E50" s="28">
        <v>177108</v>
      </c>
      <c r="F50" s="13">
        <v>1540.1311680000001</v>
      </c>
      <c r="G50" s="14">
        <f t="shared" si="2"/>
        <v>1.0200000000000001E-2</v>
      </c>
      <c r="H50" s="15"/>
    </row>
    <row r="51" spans="1:8" ht="12.75" customHeight="1" x14ac:dyDescent="0.2">
      <c r="A51">
        <f>+MAX($A$8:A50)+1</f>
        <v>43</v>
      </c>
      <c r="B51" t="s">
        <v>280</v>
      </c>
      <c r="C51" t="s">
        <v>321</v>
      </c>
      <c r="D51" t="s">
        <v>41</v>
      </c>
      <c r="E51" s="28">
        <v>489000</v>
      </c>
      <c r="F51" s="13">
        <v>1537.4159999999999</v>
      </c>
      <c r="G51" s="14">
        <f t="shared" si="2"/>
        <v>1.0200000000000001E-2</v>
      </c>
      <c r="H51" s="15"/>
    </row>
    <row r="52" spans="1:8" ht="12.75" customHeight="1" x14ac:dyDescent="0.2">
      <c r="A52">
        <f>+MAX($A$8:A51)+1</f>
        <v>44</v>
      </c>
      <c r="B52" t="s">
        <v>196</v>
      </c>
      <c r="C52" t="s">
        <v>15</v>
      </c>
      <c r="D52" t="s">
        <v>14</v>
      </c>
      <c r="E52" s="28">
        <v>156108</v>
      </c>
      <c r="F52" s="13">
        <v>1523.7701880000002</v>
      </c>
      <c r="G52" s="14">
        <f t="shared" si="2"/>
        <v>1.01E-2</v>
      </c>
      <c r="H52" s="15"/>
    </row>
    <row r="53" spans="1:8" ht="12.75" customHeight="1" x14ac:dyDescent="0.2">
      <c r="A53">
        <f>+MAX($A$8:A52)+1</f>
        <v>45</v>
      </c>
      <c r="B53" t="s">
        <v>283</v>
      </c>
      <c r="C53" t="s">
        <v>149</v>
      </c>
      <c r="D53" t="s">
        <v>41</v>
      </c>
      <c r="E53" s="28">
        <v>201600</v>
      </c>
      <c r="F53" s="13">
        <v>1522.8864000000001</v>
      </c>
      <c r="G53" s="14">
        <f t="shared" si="2"/>
        <v>1.01E-2</v>
      </c>
      <c r="H53" s="15"/>
    </row>
    <row r="54" spans="1:8" ht="12.75" customHeight="1" x14ac:dyDescent="0.2">
      <c r="A54">
        <f>+MAX($A$8:A53)+1</f>
        <v>46</v>
      </c>
      <c r="B54" t="s">
        <v>544</v>
      </c>
      <c r="C54" t="s">
        <v>545</v>
      </c>
      <c r="D54" t="s">
        <v>24</v>
      </c>
      <c r="E54" s="28">
        <v>346800</v>
      </c>
      <c r="F54" s="13">
        <v>1520.3712</v>
      </c>
      <c r="G54" s="14">
        <f t="shared" si="2"/>
        <v>1.01E-2</v>
      </c>
      <c r="H54" s="15"/>
    </row>
    <row r="55" spans="1:8" ht="12.75" customHeight="1" x14ac:dyDescent="0.2">
      <c r="A55">
        <f>+MAX($A$8:A54)+1</f>
        <v>47</v>
      </c>
      <c r="B55" t="s">
        <v>470</v>
      </c>
      <c r="C55" t="s">
        <v>471</v>
      </c>
      <c r="D55" t="s">
        <v>136</v>
      </c>
      <c r="E55" s="28">
        <v>918900</v>
      </c>
      <c r="F55" s="13">
        <v>1510.6715999999999</v>
      </c>
      <c r="G55" s="14">
        <f t="shared" si="2"/>
        <v>0.01</v>
      </c>
      <c r="H55" s="15"/>
    </row>
    <row r="56" spans="1:8" ht="12.75" customHeight="1" x14ac:dyDescent="0.2">
      <c r="A56">
        <f>+MAX($A$8:A55)+1</f>
        <v>48</v>
      </c>
      <c r="B56" t="s">
        <v>214</v>
      </c>
      <c r="C56" t="s">
        <v>55</v>
      </c>
      <c r="D56" t="s">
        <v>43</v>
      </c>
      <c r="E56" s="28">
        <v>81708</v>
      </c>
      <c r="F56" s="13">
        <v>1496.400312</v>
      </c>
      <c r="G56" s="14">
        <f t="shared" si="2"/>
        <v>9.9000000000000008E-3</v>
      </c>
      <c r="H56" s="15"/>
    </row>
    <row r="57" spans="1:8" ht="12.75" customHeight="1" x14ac:dyDescent="0.2">
      <c r="A57">
        <f>+MAX($A$8:A56)+1</f>
        <v>49</v>
      </c>
      <c r="B57" t="s">
        <v>286</v>
      </c>
      <c r="C57" t="s">
        <v>153</v>
      </c>
      <c r="D57" t="s">
        <v>136</v>
      </c>
      <c r="E57" s="28">
        <v>57900</v>
      </c>
      <c r="F57" s="13">
        <v>1483.94805</v>
      </c>
      <c r="G57" s="14">
        <f t="shared" si="2"/>
        <v>9.9000000000000008E-3</v>
      </c>
      <c r="H57" s="15"/>
    </row>
    <row r="58" spans="1:8" ht="12.75" customHeight="1" x14ac:dyDescent="0.2">
      <c r="A58">
        <f>+MAX($A$8:A57)+1</f>
        <v>50</v>
      </c>
      <c r="B58" t="s">
        <v>506</v>
      </c>
      <c r="C58" t="s">
        <v>507</v>
      </c>
      <c r="D58" t="s">
        <v>106</v>
      </c>
      <c r="E58" s="28">
        <v>87900</v>
      </c>
      <c r="F58" s="13">
        <v>1467.6663000000001</v>
      </c>
      <c r="G58" s="14">
        <f t="shared" si="2"/>
        <v>9.7999999999999997E-3</v>
      </c>
      <c r="H58" s="15"/>
    </row>
    <row r="59" spans="1:8" ht="12.75" customHeight="1" x14ac:dyDescent="0.2">
      <c r="A59">
        <f>+MAX($A$8:A58)+1</f>
        <v>51</v>
      </c>
      <c r="B59" t="s">
        <v>449</v>
      </c>
      <c r="C59" t="s">
        <v>450</v>
      </c>
      <c r="D59" t="s">
        <v>146</v>
      </c>
      <c r="E59" s="28">
        <v>81748</v>
      </c>
      <c r="F59" s="13">
        <v>1460.3462719999998</v>
      </c>
      <c r="G59" s="14">
        <f t="shared" si="2"/>
        <v>9.7000000000000003E-3</v>
      </c>
      <c r="H59" s="15"/>
    </row>
    <row r="60" spans="1:8" ht="12.75" customHeight="1" x14ac:dyDescent="0.2">
      <c r="A60">
        <f>+MAX($A$8:A59)+1</f>
        <v>52</v>
      </c>
      <c r="B60" t="s">
        <v>288</v>
      </c>
      <c r="C60" t="s">
        <v>159</v>
      </c>
      <c r="D60" t="s">
        <v>135</v>
      </c>
      <c r="E60" s="28">
        <v>199290</v>
      </c>
      <c r="F60" s="13">
        <v>1457.507415</v>
      </c>
      <c r="G60" s="14">
        <f t="shared" si="2"/>
        <v>9.7000000000000003E-3</v>
      </c>
      <c r="H60" s="15"/>
    </row>
    <row r="61" spans="1:8" ht="12.75" customHeight="1" x14ac:dyDescent="0.2">
      <c r="A61">
        <f>+MAX($A$8:A60)+1</f>
        <v>53</v>
      </c>
      <c r="B61" t="s">
        <v>690</v>
      </c>
      <c r="C61" t="s">
        <v>691</v>
      </c>
      <c r="D61" t="s">
        <v>26</v>
      </c>
      <c r="E61" s="28">
        <v>604800</v>
      </c>
      <c r="F61" s="13">
        <v>1455.4512</v>
      </c>
      <c r="G61" s="14">
        <f t="shared" si="2"/>
        <v>9.7000000000000003E-3</v>
      </c>
      <c r="H61" s="15"/>
    </row>
    <row r="62" spans="1:8" ht="12.75" customHeight="1" x14ac:dyDescent="0.2">
      <c r="A62">
        <f>+MAX($A$8:A61)+1</f>
        <v>54</v>
      </c>
      <c r="B62" t="s">
        <v>373</v>
      </c>
      <c r="C62" t="s">
        <v>379</v>
      </c>
      <c r="D62" t="s">
        <v>37</v>
      </c>
      <c r="E62" s="28">
        <v>253987</v>
      </c>
      <c r="F62" s="13">
        <v>1445.5670105000002</v>
      </c>
      <c r="G62" s="14">
        <f t="shared" si="2"/>
        <v>9.5999999999999992E-3</v>
      </c>
      <c r="H62" s="15"/>
    </row>
    <row r="63" spans="1:8" ht="12.75" customHeight="1" x14ac:dyDescent="0.2">
      <c r="A63">
        <f>+MAX($A$8:A62)+1</f>
        <v>55</v>
      </c>
      <c r="B63" t="s">
        <v>444</v>
      </c>
      <c r="C63" t="s">
        <v>445</v>
      </c>
      <c r="D63" t="s">
        <v>37</v>
      </c>
      <c r="E63" s="28">
        <v>1008000</v>
      </c>
      <c r="F63" s="13">
        <v>1441.44</v>
      </c>
      <c r="G63" s="14">
        <f t="shared" si="2"/>
        <v>9.5999999999999992E-3</v>
      </c>
      <c r="H63" s="15"/>
    </row>
    <row r="64" spans="1:8" ht="12.75" customHeight="1" x14ac:dyDescent="0.2">
      <c r="A64">
        <f>+MAX($A$8:A63)+1</f>
        <v>56</v>
      </c>
      <c r="B64" t="s">
        <v>369</v>
      </c>
      <c r="C64" t="s">
        <v>370</v>
      </c>
      <c r="D64" t="s">
        <v>146</v>
      </c>
      <c r="E64" s="28">
        <v>1125000</v>
      </c>
      <c r="F64" s="13">
        <v>1425.9375</v>
      </c>
      <c r="G64" s="14">
        <f t="shared" si="2"/>
        <v>9.4999999999999998E-3</v>
      </c>
      <c r="H64" s="15"/>
    </row>
    <row r="65" spans="1:8" ht="12.75" customHeight="1" x14ac:dyDescent="0.2">
      <c r="A65">
        <f>+MAX($A$8:A64)+1</f>
        <v>57</v>
      </c>
      <c r="B65" t="s">
        <v>272</v>
      </c>
      <c r="C65" t="s">
        <v>139</v>
      </c>
      <c r="D65" t="s">
        <v>47</v>
      </c>
      <c r="E65" s="28">
        <v>676800</v>
      </c>
      <c r="F65" s="13">
        <v>1422.2952</v>
      </c>
      <c r="G65" s="14">
        <f t="shared" si="2"/>
        <v>9.4999999999999998E-3</v>
      </c>
      <c r="H65" s="15"/>
    </row>
    <row r="66" spans="1:8" ht="12.75" customHeight="1" x14ac:dyDescent="0.2">
      <c r="A66">
        <f>+MAX($A$8:A65)+1</f>
        <v>58</v>
      </c>
      <c r="B66" t="s">
        <v>349</v>
      </c>
      <c r="C66" t="s">
        <v>350</v>
      </c>
      <c r="D66" t="s">
        <v>32</v>
      </c>
      <c r="E66" s="28">
        <v>540000</v>
      </c>
      <c r="F66" s="13">
        <v>1419.39</v>
      </c>
      <c r="G66" s="14">
        <f t="shared" si="2"/>
        <v>9.4000000000000004E-3</v>
      </c>
      <c r="H66" s="15"/>
    </row>
    <row r="67" spans="1:8" ht="12.75" customHeight="1" x14ac:dyDescent="0.2">
      <c r="A67">
        <f>+MAX($A$8:A66)+1</f>
        <v>59</v>
      </c>
      <c r="B67" t="s">
        <v>293</v>
      </c>
      <c r="C67" t="s">
        <v>177</v>
      </c>
      <c r="D67" t="s">
        <v>30</v>
      </c>
      <c r="E67" s="28">
        <v>360000</v>
      </c>
      <c r="F67" s="13">
        <v>1416.6</v>
      </c>
      <c r="G67" s="14">
        <f t="shared" si="2"/>
        <v>9.4000000000000004E-3</v>
      </c>
      <c r="H67" s="15"/>
    </row>
    <row r="68" spans="1:8" ht="12.75" customHeight="1" x14ac:dyDescent="0.2">
      <c r="A68">
        <f>+MAX($A$8:A67)+1</f>
        <v>60</v>
      </c>
      <c r="B68" t="s">
        <v>564</v>
      </c>
      <c r="C68" t="s">
        <v>292</v>
      </c>
      <c r="D68" t="s">
        <v>41</v>
      </c>
      <c r="E68" s="28">
        <v>27000</v>
      </c>
      <c r="F68" s="13">
        <v>1407.7394999999999</v>
      </c>
      <c r="G68" s="14">
        <f t="shared" si="2"/>
        <v>9.4000000000000004E-3</v>
      </c>
      <c r="H68" s="15"/>
    </row>
    <row r="69" spans="1:8" ht="12.75" customHeight="1" x14ac:dyDescent="0.2">
      <c r="A69">
        <f>+MAX($A$8:A68)+1</f>
        <v>61</v>
      </c>
      <c r="B69" t="s">
        <v>604</v>
      </c>
      <c r="C69" t="s">
        <v>605</v>
      </c>
      <c r="D69" t="s">
        <v>41</v>
      </c>
      <c r="E69" s="28">
        <v>234000</v>
      </c>
      <c r="F69" s="13">
        <v>1397.2139999999999</v>
      </c>
      <c r="G69" s="14">
        <f t="shared" si="2"/>
        <v>9.2999999999999992E-3</v>
      </c>
      <c r="H69" s="15"/>
    </row>
    <row r="70" spans="1:8" ht="12.75" customHeight="1" x14ac:dyDescent="0.2">
      <c r="A70">
        <f>+MAX($A$8:A69)+1</f>
        <v>62</v>
      </c>
      <c r="B70" t="s">
        <v>468</v>
      </c>
      <c r="C70" t="s">
        <v>469</v>
      </c>
      <c r="D70" t="s">
        <v>24</v>
      </c>
      <c r="E70" s="28">
        <v>366000</v>
      </c>
      <c r="F70" s="13">
        <v>1375.9770000000001</v>
      </c>
      <c r="G70" s="14">
        <f t="shared" si="2"/>
        <v>9.1000000000000004E-3</v>
      </c>
      <c r="H70" s="15"/>
    </row>
    <row r="71" spans="1:8" ht="12.75" customHeight="1" x14ac:dyDescent="0.2">
      <c r="A71">
        <f>+MAX($A$8:A70)+1</f>
        <v>63</v>
      </c>
      <c r="B71" t="s">
        <v>284</v>
      </c>
      <c r="C71" t="s">
        <v>156</v>
      </c>
      <c r="D71" t="s">
        <v>146</v>
      </c>
      <c r="E71" s="28">
        <v>186900</v>
      </c>
      <c r="F71" s="13">
        <v>1372.3132499999999</v>
      </c>
      <c r="G71" s="14">
        <f t="shared" si="2"/>
        <v>9.1000000000000004E-3</v>
      </c>
      <c r="H71" s="15"/>
    </row>
    <row r="72" spans="1:8" ht="12.75" customHeight="1" x14ac:dyDescent="0.2">
      <c r="A72">
        <f>+MAX($A$8:A71)+1</f>
        <v>64</v>
      </c>
      <c r="B72" t="s">
        <v>255</v>
      </c>
      <c r="C72" t="s">
        <v>595</v>
      </c>
      <c r="D72" t="s">
        <v>10</v>
      </c>
      <c r="E72" s="28">
        <v>435000</v>
      </c>
      <c r="F72" s="13">
        <v>1335.0150000000001</v>
      </c>
      <c r="G72" s="14">
        <f t="shared" si="2"/>
        <v>8.8999999999999999E-3</v>
      </c>
      <c r="H72" s="15"/>
    </row>
    <row r="73" spans="1:8" ht="12.75" customHeight="1" x14ac:dyDescent="0.2">
      <c r="A73">
        <f>+MAX($A$8:A72)+1</f>
        <v>65</v>
      </c>
      <c r="B73" t="s">
        <v>285</v>
      </c>
      <c r="C73" t="s">
        <v>154</v>
      </c>
      <c r="D73" t="s">
        <v>38</v>
      </c>
      <c r="E73" s="28">
        <v>712680</v>
      </c>
      <c r="F73" s="13">
        <v>1322.3777399999999</v>
      </c>
      <c r="G73" s="14">
        <f t="shared" ref="G73:G93" si="3">+ROUND(F73/VLOOKUP("Grand Total",$B$4:$F$296,5,0),4)</f>
        <v>8.8000000000000005E-3</v>
      </c>
      <c r="H73" s="15"/>
    </row>
    <row r="74" spans="1:8" ht="12.75" customHeight="1" x14ac:dyDescent="0.2">
      <c r="A74">
        <f>+MAX($A$8:A73)+1</f>
        <v>66</v>
      </c>
      <c r="B74" t="s">
        <v>328</v>
      </c>
      <c r="C74" t="s">
        <v>329</v>
      </c>
      <c r="D74" t="s">
        <v>10</v>
      </c>
      <c r="E74" s="28">
        <v>789600</v>
      </c>
      <c r="F74" s="13">
        <v>1322.1851999999999</v>
      </c>
      <c r="G74" s="14">
        <f t="shared" si="3"/>
        <v>8.8000000000000005E-3</v>
      </c>
      <c r="H74" s="15"/>
    </row>
    <row r="75" spans="1:8" ht="12.75" customHeight="1" x14ac:dyDescent="0.2">
      <c r="A75">
        <f>+MAX($A$8:A74)+1</f>
        <v>67</v>
      </c>
      <c r="B75" t="s">
        <v>264</v>
      </c>
      <c r="C75" t="s">
        <v>125</v>
      </c>
      <c r="D75" t="s">
        <v>45</v>
      </c>
      <c r="E75" s="28">
        <v>549000</v>
      </c>
      <c r="F75" s="13">
        <v>1320.0705</v>
      </c>
      <c r="G75" s="14">
        <f t="shared" si="3"/>
        <v>8.8000000000000005E-3</v>
      </c>
      <c r="H75" s="15"/>
    </row>
    <row r="76" spans="1:8" ht="12.75" customHeight="1" x14ac:dyDescent="0.2">
      <c r="A76">
        <f>+MAX($A$8:A75)+1</f>
        <v>68</v>
      </c>
      <c r="B76" t="s">
        <v>260</v>
      </c>
      <c r="C76" t="s">
        <v>123</v>
      </c>
      <c r="D76" t="s">
        <v>107</v>
      </c>
      <c r="E76" s="28">
        <v>189000</v>
      </c>
      <c r="F76" s="13">
        <v>1311.9435000000001</v>
      </c>
      <c r="G76" s="14">
        <f t="shared" si="3"/>
        <v>8.6999999999999994E-3</v>
      </c>
      <c r="H76" s="15"/>
    </row>
    <row r="77" spans="1:8" ht="12.75" customHeight="1" x14ac:dyDescent="0.2">
      <c r="A77">
        <f>+MAX($A$8:A76)+1</f>
        <v>69</v>
      </c>
      <c r="B77" t="s">
        <v>489</v>
      </c>
      <c r="C77" t="s">
        <v>490</v>
      </c>
      <c r="D77" t="s">
        <v>24</v>
      </c>
      <c r="E77" s="28">
        <v>1590000</v>
      </c>
      <c r="F77" s="13">
        <v>1307.7750000000001</v>
      </c>
      <c r="G77" s="14">
        <f t="shared" si="3"/>
        <v>8.6999999999999994E-3</v>
      </c>
      <c r="H77" s="15"/>
    </row>
    <row r="78" spans="1:8" ht="12.75" customHeight="1" x14ac:dyDescent="0.2">
      <c r="A78">
        <f>+MAX($A$8:A77)+1</f>
        <v>70</v>
      </c>
      <c r="B78" t="s">
        <v>418</v>
      </c>
      <c r="C78" t="s">
        <v>419</v>
      </c>
      <c r="D78" t="s">
        <v>103</v>
      </c>
      <c r="E78" s="28">
        <v>98790</v>
      </c>
      <c r="F78" s="13">
        <v>1300.0270049999999</v>
      </c>
      <c r="G78" s="14">
        <f t="shared" si="3"/>
        <v>8.6E-3</v>
      </c>
      <c r="H78" s="15"/>
    </row>
    <row r="79" spans="1:8" ht="12.75" customHeight="1" x14ac:dyDescent="0.2">
      <c r="A79">
        <f>+MAX($A$8:A78)+1</f>
        <v>71</v>
      </c>
      <c r="B79" t="s">
        <v>371</v>
      </c>
      <c r="C79" t="s">
        <v>372</v>
      </c>
      <c r="D79" t="s">
        <v>43</v>
      </c>
      <c r="E79" s="28">
        <v>330000</v>
      </c>
      <c r="F79" s="13">
        <v>1278.2550000000001</v>
      </c>
      <c r="G79" s="14">
        <f t="shared" si="3"/>
        <v>8.5000000000000006E-3</v>
      </c>
      <c r="H79" s="15"/>
    </row>
    <row r="80" spans="1:8" ht="12.75" customHeight="1" x14ac:dyDescent="0.2">
      <c r="A80">
        <f>+MAX($A$8:A79)+1</f>
        <v>72</v>
      </c>
      <c r="B80" t="s">
        <v>439</v>
      </c>
      <c r="C80" t="s">
        <v>440</v>
      </c>
      <c r="D80" t="s">
        <v>32</v>
      </c>
      <c r="E80" s="28">
        <v>246000</v>
      </c>
      <c r="F80" s="13">
        <v>1251.5250000000001</v>
      </c>
      <c r="G80" s="14">
        <f t="shared" si="3"/>
        <v>8.3000000000000001E-3</v>
      </c>
      <c r="H80" s="15"/>
    </row>
    <row r="81" spans="1:11" ht="12.75" customHeight="1" x14ac:dyDescent="0.2">
      <c r="A81">
        <f>+MAX($A$8:A80)+1</f>
        <v>73</v>
      </c>
      <c r="B81" t="s">
        <v>304</v>
      </c>
      <c r="C81" t="s">
        <v>424</v>
      </c>
      <c r="D81" t="s">
        <v>10</v>
      </c>
      <c r="E81" s="28">
        <v>1090800</v>
      </c>
      <c r="F81" s="13">
        <v>1242.4212</v>
      </c>
      <c r="G81" s="14">
        <f t="shared" si="3"/>
        <v>8.3000000000000001E-3</v>
      </c>
      <c r="H81" s="15"/>
    </row>
    <row r="82" spans="1:11" ht="12.75" customHeight="1" x14ac:dyDescent="0.2">
      <c r="A82">
        <f>+MAX($A$8:A81)+1</f>
        <v>74</v>
      </c>
      <c r="B82" t="s">
        <v>234</v>
      </c>
      <c r="C82" t="s">
        <v>82</v>
      </c>
      <c r="D82" t="s">
        <v>45</v>
      </c>
      <c r="E82" s="28">
        <v>408600</v>
      </c>
      <c r="F82" s="13">
        <v>1223.3484000000001</v>
      </c>
      <c r="G82" s="14">
        <f t="shared" si="3"/>
        <v>8.0999999999999996E-3</v>
      </c>
      <c r="H82" s="15"/>
    </row>
    <row r="83" spans="1:11" ht="12.75" customHeight="1" x14ac:dyDescent="0.2">
      <c r="A83">
        <f>+MAX($A$8:A82)+1</f>
        <v>75</v>
      </c>
      <c r="B83" t="s">
        <v>536</v>
      </c>
      <c r="C83" t="s">
        <v>537</v>
      </c>
      <c r="D83" t="s">
        <v>18</v>
      </c>
      <c r="E83" s="28">
        <v>100800</v>
      </c>
      <c r="F83" s="13">
        <v>1179.2592</v>
      </c>
      <c r="G83" s="14">
        <f t="shared" si="3"/>
        <v>7.7999999999999996E-3</v>
      </c>
      <c r="H83" s="15"/>
    </row>
    <row r="84" spans="1:11" ht="12.75" customHeight="1" x14ac:dyDescent="0.2">
      <c r="A84">
        <f>+MAX($A$8:A83)+1</f>
        <v>76</v>
      </c>
      <c r="B84" t="s">
        <v>510</v>
      </c>
      <c r="C84" t="s">
        <v>511</v>
      </c>
      <c r="D84" t="s">
        <v>512</v>
      </c>
      <c r="E84" s="28">
        <v>288000</v>
      </c>
      <c r="F84" s="13">
        <v>1143.0719999999999</v>
      </c>
      <c r="G84" s="14">
        <f t="shared" si="3"/>
        <v>7.6E-3</v>
      </c>
      <c r="H84" s="15"/>
    </row>
    <row r="85" spans="1:11" ht="12.75" customHeight="1" x14ac:dyDescent="0.2">
      <c r="A85">
        <f>+MAX($A$8:A84)+1</f>
        <v>77</v>
      </c>
      <c r="B85" t="s">
        <v>331</v>
      </c>
      <c r="C85" t="s">
        <v>368</v>
      </c>
      <c r="D85" t="s">
        <v>10</v>
      </c>
      <c r="E85" s="28">
        <v>216900</v>
      </c>
      <c r="F85" s="13">
        <v>1120.8307500000001</v>
      </c>
      <c r="G85" s="14">
        <f t="shared" si="3"/>
        <v>7.4999999999999997E-3</v>
      </c>
      <c r="H85" s="15"/>
    </row>
    <row r="86" spans="1:11" ht="12.75" customHeight="1" x14ac:dyDescent="0.2">
      <c r="A86">
        <f>+MAX($A$8:A85)+1</f>
        <v>78</v>
      </c>
      <c r="B86" t="s">
        <v>318</v>
      </c>
      <c r="C86" t="s">
        <v>67</v>
      </c>
      <c r="D86" t="s">
        <v>18</v>
      </c>
      <c r="E86" s="28">
        <v>618000</v>
      </c>
      <c r="F86" s="13">
        <v>1074.393</v>
      </c>
      <c r="G86" s="14">
        <f t="shared" si="3"/>
        <v>7.1000000000000004E-3</v>
      </c>
      <c r="H86" s="15"/>
    </row>
    <row r="87" spans="1:11" ht="12.75" customHeight="1" x14ac:dyDescent="0.2">
      <c r="A87">
        <f>+MAX($A$8:A86)+1</f>
        <v>79</v>
      </c>
      <c r="B87" t="s">
        <v>491</v>
      </c>
      <c r="C87" t="s">
        <v>492</v>
      </c>
      <c r="D87" t="s">
        <v>24</v>
      </c>
      <c r="E87" s="28">
        <v>234000</v>
      </c>
      <c r="F87" s="13">
        <v>1035.2159999999999</v>
      </c>
      <c r="G87" s="14">
        <f t="shared" si="3"/>
        <v>6.8999999999999999E-3</v>
      </c>
      <c r="H87" s="15"/>
    </row>
    <row r="88" spans="1:11" ht="12.75" customHeight="1" x14ac:dyDescent="0.2">
      <c r="A88">
        <f>+MAX($A$8:A87)+1</f>
        <v>80</v>
      </c>
      <c r="B88" t="s">
        <v>524</v>
      </c>
      <c r="C88" t="s">
        <v>568</v>
      </c>
      <c r="D88" t="s">
        <v>26</v>
      </c>
      <c r="E88" s="28">
        <v>1800000</v>
      </c>
      <c r="F88" s="13">
        <v>1027.8</v>
      </c>
      <c r="G88" s="14">
        <f t="shared" si="3"/>
        <v>6.7999999999999996E-3</v>
      </c>
      <c r="H88" s="15"/>
    </row>
    <row r="89" spans="1:11" ht="12.75" customHeight="1" x14ac:dyDescent="0.2">
      <c r="A89">
        <f>+MAX($A$8:A88)+1</f>
        <v>81</v>
      </c>
      <c r="B89" t="s">
        <v>658</v>
      </c>
      <c r="C89" t="s">
        <v>672</v>
      </c>
      <c r="D89" t="s">
        <v>10</v>
      </c>
      <c r="E89" s="28">
        <v>603000</v>
      </c>
      <c r="F89" s="13">
        <v>989.52300000000002</v>
      </c>
      <c r="G89" s="14">
        <f t="shared" si="3"/>
        <v>6.6E-3</v>
      </c>
      <c r="H89" s="15"/>
    </row>
    <row r="90" spans="1:11" ht="12.75" customHeight="1" x14ac:dyDescent="0.2">
      <c r="A90">
        <f>+MAX($A$8:A89)+1</f>
        <v>82</v>
      </c>
      <c r="B90" t="s">
        <v>210</v>
      </c>
      <c r="C90" t="s">
        <v>52</v>
      </c>
      <c r="D90" t="s">
        <v>41</v>
      </c>
      <c r="E90" s="28">
        <v>792000</v>
      </c>
      <c r="F90" s="13">
        <v>949.21199999999999</v>
      </c>
      <c r="G90" s="14">
        <f t="shared" si="3"/>
        <v>6.3E-3</v>
      </c>
      <c r="H90" s="15"/>
    </row>
    <row r="91" spans="1:11" ht="12.75" customHeight="1" x14ac:dyDescent="0.2">
      <c r="A91">
        <f>+MAX($A$8:A90)+1</f>
        <v>83</v>
      </c>
      <c r="B91" t="s">
        <v>651</v>
      </c>
      <c r="C91" t="s">
        <v>652</v>
      </c>
      <c r="D91" t="s">
        <v>136</v>
      </c>
      <c r="E91" s="28">
        <v>201600</v>
      </c>
      <c r="F91" s="13">
        <v>891.97919999999999</v>
      </c>
      <c r="G91" s="14">
        <f t="shared" si="3"/>
        <v>5.8999999999999999E-3</v>
      </c>
      <c r="H91" s="15"/>
    </row>
    <row r="92" spans="1:11" ht="12.75" customHeight="1" x14ac:dyDescent="0.2">
      <c r="A92">
        <f>+MAX($A$8:A91)+1</f>
        <v>84</v>
      </c>
      <c r="B92" t="s">
        <v>692</v>
      </c>
      <c r="C92" t="s">
        <v>693</v>
      </c>
      <c r="D92" t="s">
        <v>146</v>
      </c>
      <c r="E92" s="28">
        <v>66700</v>
      </c>
      <c r="F92" s="13">
        <v>460.73025000000001</v>
      </c>
      <c r="G92" s="14">
        <f t="shared" si="3"/>
        <v>3.0999999999999999E-3</v>
      </c>
      <c r="H92" s="15"/>
    </row>
    <row r="93" spans="1:11" ht="12.75" customHeight="1" x14ac:dyDescent="0.2">
      <c r="A93">
        <f>+MAX($A$8:A92)+1</f>
        <v>85</v>
      </c>
      <c r="B93" t="s">
        <v>656</v>
      </c>
      <c r="C93" t="s">
        <v>657</v>
      </c>
      <c r="D93" t="s">
        <v>136</v>
      </c>
      <c r="E93" s="28">
        <v>402071</v>
      </c>
      <c r="F93" s="13">
        <v>215.10798500000001</v>
      </c>
      <c r="G93" s="14">
        <f t="shared" si="3"/>
        <v>1.4E-3</v>
      </c>
      <c r="H93" s="15"/>
    </row>
    <row r="94" spans="1:11" ht="12.75" customHeight="1" x14ac:dyDescent="0.2">
      <c r="B94" s="18" t="s">
        <v>86</v>
      </c>
      <c r="C94" s="18"/>
      <c r="D94" s="18"/>
      <c r="E94" s="29"/>
      <c r="F94" s="19">
        <f>SUM(F9:F93)</f>
        <v>142192.15785899991</v>
      </c>
      <c r="G94" s="20">
        <f>SUM(G9:G93)</f>
        <v>0.94490000000000007</v>
      </c>
      <c r="H94" s="21"/>
      <c r="I94" s="49"/>
    </row>
    <row r="95" spans="1:11" ht="12.75" customHeight="1" x14ac:dyDescent="0.2">
      <c r="F95" s="13"/>
      <c r="G95" s="14"/>
      <c r="H95" s="15"/>
    </row>
    <row r="96" spans="1:11" ht="12.75" customHeight="1" x14ac:dyDescent="0.2">
      <c r="B96" s="16" t="s">
        <v>143</v>
      </c>
      <c r="C96" s="16"/>
      <c r="F96" s="13"/>
      <c r="G96" s="14"/>
      <c r="H96" s="73"/>
      <c r="I96"/>
      <c r="J96" s="36"/>
      <c r="K96"/>
    </row>
    <row r="97" spans="1:12" ht="12.75" customHeight="1" x14ac:dyDescent="0.2">
      <c r="A97">
        <f>+MAX($A$8:A96)+1</f>
        <v>86</v>
      </c>
      <c r="B97" t="s">
        <v>210</v>
      </c>
      <c r="C97" s="122" t="s">
        <v>584</v>
      </c>
      <c r="D97" t="s">
        <v>330</v>
      </c>
      <c r="E97" s="28">
        <v>531000</v>
      </c>
      <c r="F97" s="13">
        <v>640.65150000000006</v>
      </c>
      <c r="G97" s="14">
        <f>+ROUND(F97/VLOOKUP("Grand Total",$B$4:$F$296,5,0),4)</f>
        <v>4.3E-3</v>
      </c>
      <c r="H97" s="15">
        <v>43097</v>
      </c>
      <c r="I97"/>
      <c r="J97" s="36"/>
      <c r="K97"/>
    </row>
    <row r="98" spans="1:12" ht="12.75" customHeight="1" x14ac:dyDescent="0.2">
      <c r="B98" s="18" t="s">
        <v>86</v>
      </c>
      <c r="C98" s="18"/>
      <c r="D98" s="18"/>
      <c r="E98" s="29"/>
      <c r="F98" s="19">
        <f>SUM(F97:F97)</f>
        <v>640.65150000000006</v>
      </c>
      <c r="G98" s="20">
        <f>SUM(G97:G97)</f>
        <v>4.3E-3</v>
      </c>
      <c r="H98" s="21"/>
      <c r="I98"/>
      <c r="J98" s="36"/>
      <c r="K98"/>
    </row>
    <row r="99" spans="1:12" ht="12.75" customHeight="1" x14ac:dyDescent="0.2">
      <c r="F99" s="13"/>
      <c r="G99" s="14"/>
      <c r="H99" s="15"/>
    </row>
    <row r="100" spans="1:12" ht="12.75" customHeight="1" x14ac:dyDescent="0.2">
      <c r="B100" s="16" t="s">
        <v>93</v>
      </c>
      <c r="C100" s="16"/>
      <c r="F100" s="13"/>
      <c r="G100" s="14"/>
      <c r="H100" s="73"/>
      <c r="I100"/>
      <c r="J100" s="36"/>
      <c r="K100"/>
    </row>
    <row r="101" spans="1:12" ht="12.75" customHeight="1" x14ac:dyDescent="0.2">
      <c r="A101">
        <f>+MAX($A$8:A100)+1</f>
        <v>87</v>
      </c>
      <c r="B101" t="s">
        <v>482</v>
      </c>
      <c r="C101" t="s">
        <v>307</v>
      </c>
      <c r="D101" t="s">
        <v>327</v>
      </c>
      <c r="E101" s="28">
        <v>1679159.6142</v>
      </c>
      <c r="F101" s="13">
        <v>522.4789098</v>
      </c>
      <c r="G101" s="14">
        <f>+ROUND(F101/VLOOKUP("Grand Total",$B$4:$F$296,5,0),4)</f>
        <v>3.5000000000000001E-3</v>
      </c>
      <c r="H101" s="73" t="s">
        <v>388</v>
      </c>
      <c r="I101"/>
      <c r="J101" s="36"/>
      <c r="K101"/>
    </row>
    <row r="102" spans="1:12" ht="12.75" customHeight="1" x14ac:dyDescent="0.2">
      <c r="A102">
        <f>+MAX($A$8:A101)+1</f>
        <v>88</v>
      </c>
      <c r="B102" t="s">
        <v>472</v>
      </c>
      <c r="C102" t="s">
        <v>367</v>
      </c>
      <c r="D102" t="s">
        <v>327</v>
      </c>
      <c r="E102" s="28">
        <v>9884.0483000000004</v>
      </c>
      <c r="F102" s="13">
        <v>162.92971969999999</v>
      </c>
      <c r="G102" s="14">
        <f>+ROUND(F102/VLOOKUP("Grand Total",$B$4:$F$296,5,0),4)</f>
        <v>1.1000000000000001E-3</v>
      </c>
      <c r="H102" s="73" t="s">
        <v>388</v>
      </c>
      <c r="I102"/>
      <c r="J102" s="36"/>
      <c r="K102"/>
    </row>
    <row r="103" spans="1:12" ht="12.75" customHeight="1" x14ac:dyDescent="0.2">
      <c r="B103" s="18" t="s">
        <v>86</v>
      </c>
      <c r="C103" s="18"/>
      <c r="D103" s="18"/>
      <c r="E103" s="29"/>
      <c r="F103" s="19">
        <f>SUM(F101:F102)</f>
        <v>685.40862949999996</v>
      </c>
      <c r="G103" s="20">
        <f>SUM(G101:G102)</f>
        <v>4.5999999999999999E-3</v>
      </c>
      <c r="H103" s="21"/>
      <c r="I103"/>
      <c r="J103" s="36"/>
      <c r="K103"/>
    </row>
    <row r="104" spans="1:12" s="46" customFormat="1" ht="12.75" customHeight="1" x14ac:dyDescent="0.2">
      <c r="B104" s="67"/>
      <c r="C104" s="67"/>
      <c r="D104" s="67"/>
      <c r="E104" s="68"/>
      <c r="F104" s="69"/>
      <c r="G104" s="70"/>
      <c r="H104" s="35"/>
      <c r="J104" s="48"/>
    </row>
    <row r="105" spans="1:12" ht="12.75" customHeight="1" x14ac:dyDescent="0.2">
      <c r="A105" s="95" t="s">
        <v>387</v>
      </c>
      <c r="B105" s="16" t="s">
        <v>94</v>
      </c>
      <c r="C105" s="16"/>
      <c r="F105" s="13">
        <v>6963.9526492999994</v>
      </c>
      <c r="G105" s="14">
        <f>+ROUND(F105/VLOOKUP("Grand Total",$B$4:$F$296,5,0),4)</f>
        <v>4.6300000000000001E-2</v>
      </c>
      <c r="H105" s="15">
        <v>43073</v>
      </c>
      <c r="L105" s="46"/>
    </row>
    <row r="106" spans="1:12" ht="12.75" customHeight="1" x14ac:dyDescent="0.2">
      <c r="B106" s="18" t="s">
        <v>86</v>
      </c>
      <c r="C106" s="18"/>
      <c r="D106" s="18"/>
      <c r="E106" s="29"/>
      <c r="F106" s="19">
        <f>SUM(F105)</f>
        <v>6963.9526492999994</v>
      </c>
      <c r="G106" s="20">
        <f>SUM(G105)</f>
        <v>4.6300000000000001E-2</v>
      </c>
      <c r="H106" s="21"/>
      <c r="I106" s="49"/>
    </row>
    <row r="107" spans="1:12" ht="12.75" customHeight="1" x14ac:dyDescent="0.2">
      <c r="F107" s="13"/>
      <c r="G107" s="14"/>
      <c r="H107" s="15"/>
    </row>
    <row r="108" spans="1:12" ht="12.75" customHeight="1" x14ac:dyDescent="0.2">
      <c r="B108" s="16" t="s">
        <v>95</v>
      </c>
      <c r="C108" s="16"/>
      <c r="F108" s="13"/>
      <c r="G108" s="14"/>
      <c r="H108" s="15"/>
      <c r="I108" s="56"/>
    </row>
    <row r="109" spans="1:12" ht="12.75" customHeight="1" x14ac:dyDescent="0.2">
      <c r="B109" s="16" t="s">
        <v>96</v>
      </c>
      <c r="C109" s="16"/>
      <c r="F109" s="13">
        <v>-48.971214500023052</v>
      </c>
      <c r="G109" s="45">
        <f>+ROUND(F109/VLOOKUP("Grand Total",$B$4:$F$314,5,0),4)+0.02%</f>
        <v>-9.9999999999999964E-5</v>
      </c>
      <c r="H109" s="15"/>
      <c r="I109" s="55"/>
    </row>
    <row r="110" spans="1:12" ht="12.75" customHeight="1" x14ac:dyDescent="0.2">
      <c r="B110" s="18" t="s">
        <v>86</v>
      </c>
      <c r="C110" s="18"/>
      <c r="D110" s="18"/>
      <c r="E110" s="29"/>
      <c r="F110" s="19">
        <f>SUM(F109)</f>
        <v>-48.971214500023052</v>
      </c>
      <c r="G110" s="20">
        <f>SUM(G109)</f>
        <v>-9.9999999999999964E-5</v>
      </c>
      <c r="H110" s="21"/>
      <c r="I110" s="39"/>
    </row>
    <row r="111" spans="1:12" ht="12.75" customHeight="1" x14ac:dyDescent="0.2">
      <c r="B111" s="22" t="s">
        <v>97</v>
      </c>
      <c r="C111" s="22"/>
      <c r="D111" s="22"/>
      <c r="E111" s="30"/>
      <c r="F111" s="23">
        <f>+SUMIF($B$5:B110,"Total",$F$5:F110)</f>
        <v>150433.19942329987</v>
      </c>
      <c r="G111" s="24">
        <f>+SUMIF($B$5:B110,"Total",$G$5:G110)</f>
        <v>1</v>
      </c>
      <c r="H111" s="25"/>
      <c r="K111"/>
    </row>
    <row r="112" spans="1:12" ht="12.75" customHeight="1" x14ac:dyDescent="0.2">
      <c r="F112" s="13"/>
    </row>
    <row r="113" spans="2:2" ht="12.75" customHeight="1" x14ac:dyDescent="0.2">
      <c r="B113" s="16" t="s">
        <v>756</v>
      </c>
    </row>
    <row r="114" spans="2:2" ht="12.75" customHeight="1" x14ac:dyDescent="0.2">
      <c r="B114" s="16"/>
    </row>
    <row r="115" spans="2:2" ht="12.75" customHeight="1" x14ac:dyDescent="0.2"/>
    <row r="116" spans="2:2" ht="12.75" customHeight="1" x14ac:dyDescent="0.2"/>
    <row r="117" spans="2:2" ht="12.75" customHeight="1" x14ac:dyDescent="0.2"/>
    <row r="118" spans="2:2" ht="12.75" customHeight="1" x14ac:dyDescent="0.2"/>
    <row r="119" spans="2:2" ht="12.75" customHeight="1" x14ac:dyDescent="0.2"/>
    <row r="120" spans="2:2" ht="12.75" customHeight="1" x14ac:dyDescent="0.2"/>
    <row r="121" spans="2:2" ht="12.75" customHeight="1" x14ac:dyDescent="0.2"/>
    <row r="122" spans="2:2" ht="12.75" customHeight="1" x14ac:dyDescent="0.2"/>
    <row r="123" spans="2:2" ht="12.75" customHeight="1" x14ac:dyDescent="0.2"/>
    <row r="124" spans="2:2" ht="12.75" customHeight="1" x14ac:dyDescent="0.2"/>
    <row r="125" spans="2:2" ht="12.75" customHeight="1" x14ac:dyDescent="0.2"/>
    <row r="126" spans="2:2" ht="12.75" customHeight="1" x14ac:dyDescent="0.2"/>
    <row r="127" spans="2:2" ht="12.75" customHeight="1" x14ac:dyDescent="0.2"/>
    <row r="128" spans="2:2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</sheetData>
  <sheetProtection password="EDB4" sheet="1" objects="1" scenarios="1"/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3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393</v>
      </c>
      <c r="B1" s="124" t="s">
        <v>160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425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195</v>
      </c>
      <c r="C9" t="s">
        <v>13</v>
      </c>
      <c r="D9" t="s">
        <v>10</v>
      </c>
      <c r="E9" s="28">
        <v>87992</v>
      </c>
      <c r="F9" s="13">
        <v>1631.107704</v>
      </c>
      <c r="G9" s="14">
        <f t="shared" ref="G9:G40" si="0">+ROUND(F9/VLOOKUP("Grand Total",$B$4:$F$299,5,0),4)</f>
        <v>4.82E-2</v>
      </c>
      <c r="H9" s="72" t="s">
        <v>388</v>
      </c>
      <c r="I9" s="107"/>
      <c r="J9" s="14" t="s">
        <v>10</v>
      </c>
      <c r="K9" s="48">
        <f t="shared" ref="K9:K30" si="1">SUMIFS($G$5:$G$330,$D$5:$D$330,J9)</f>
        <v>0.25289999999999996</v>
      </c>
    </row>
    <row r="10" spans="1:16" ht="12.75" customHeight="1" x14ac:dyDescent="0.2">
      <c r="A10">
        <f>+MAX($A$8:A9)+1</f>
        <v>2</v>
      </c>
      <c r="B10" t="s">
        <v>198</v>
      </c>
      <c r="C10" t="s">
        <v>11</v>
      </c>
      <c r="D10" t="s">
        <v>10</v>
      </c>
      <c r="E10" s="28">
        <v>526730</v>
      </c>
      <c r="F10" s="13">
        <v>1619.9581149999999</v>
      </c>
      <c r="G10" s="14">
        <f t="shared" si="0"/>
        <v>4.7899999999999998E-2</v>
      </c>
      <c r="H10" s="15" t="s">
        <v>388</v>
      </c>
      <c r="I10" s="107"/>
      <c r="J10" s="14" t="s">
        <v>26</v>
      </c>
      <c r="K10" s="48">
        <f t="shared" si="1"/>
        <v>0.1052</v>
      </c>
    </row>
    <row r="11" spans="1:16" ht="12.75" customHeight="1" x14ac:dyDescent="0.2">
      <c r="A11">
        <f>+MAX($A$8:A10)+1</f>
        <v>3</v>
      </c>
      <c r="B11" t="s">
        <v>16</v>
      </c>
      <c r="C11" t="s">
        <v>17</v>
      </c>
      <c r="D11" t="s">
        <v>10</v>
      </c>
      <c r="E11" s="28">
        <v>499480</v>
      </c>
      <c r="F11" s="13">
        <v>1600.0841800000001</v>
      </c>
      <c r="G11" s="14">
        <f t="shared" si="0"/>
        <v>4.7300000000000002E-2</v>
      </c>
      <c r="H11" s="15" t="s">
        <v>388</v>
      </c>
      <c r="I11" s="107"/>
      <c r="J11" s="14" t="s">
        <v>22</v>
      </c>
      <c r="K11" s="48">
        <f t="shared" si="1"/>
        <v>9.1300000000000006E-2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201</v>
      </c>
      <c r="C12" t="s">
        <v>27</v>
      </c>
      <c r="D12" t="s">
        <v>24</v>
      </c>
      <c r="E12" s="28">
        <v>63634</v>
      </c>
      <c r="F12" s="13">
        <v>1066.314938</v>
      </c>
      <c r="G12" s="14">
        <f t="shared" si="0"/>
        <v>3.15E-2</v>
      </c>
      <c r="H12" s="15" t="s">
        <v>388</v>
      </c>
      <c r="I12" s="107"/>
      <c r="J12" s="14" t="s">
        <v>24</v>
      </c>
      <c r="K12" s="48">
        <f t="shared" si="1"/>
        <v>6.0600000000000001E-2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229</v>
      </c>
      <c r="C13" t="s">
        <v>71</v>
      </c>
      <c r="D13" t="s">
        <v>28</v>
      </c>
      <c r="E13" s="28">
        <v>86891</v>
      </c>
      <c r="F13" s="13">
        <v>1057.0724605</v>
      </c>
      <c r="G13" s="14">
        <f t="shared" si="0"/>
        <v>3.1199999999999999E-2</v>
      </c>
      <c r="H13" s="15" t="s">
        <v>388</v>
      </c>
      <c r="I13" s="107"/>
      <c r="J13" s="14" t="s">
        <v>20</v>
      </c>
      <c r="K13" s="48">
        <f t="shared" si="1"/>
        <v>5.6999999999999995E-2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197</v>
      </c>
      <c r="C14" t="s">
        <v>31</v>
      </c>
      <c r="D14" t="s">
        <v>30</v>
      </c>
      <c r="E14" s="28">
        <v>114058</v>
      </c>
      <c r="F14" s="13">
        <v>1051.1014990000001</v>
      </c>
      <c r="G14" s="14">
        <f t="shared" si="0"/>
        <v>3.1099999999999999E-2</v>
      </c>
      <c r="H14" s="15" t="s">
        <v>388</v>
      </c>
      <c r="I14" s="107"/>
      <c r="J14" s="14" t="s">
        <v>18</v>
      </c>
      <c r="K14" s="48">
        <f t="shared" si="1"/>
        <v>5.4000000000000006E-2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243</v>
      </c>
      <c r="C15" t="s">
        <v>102</v>
      </c>
      <c r="D15" t="s">
        <v>26</v>
      </c>
      <c r="E15" s="28">
        <v>82445</v>
      </c>
      <c r="F15" s="13">
        <v>1049.0714025</v>
      </c>
      <c r="G15" s="14">
        <f t="shared" si="0"/>
        <v>3.1E-2</v>
      </c>
      <c r="H15" s="15" t="s">
        <v>388</v>
      </c>
      <c r="I15" s="107"/>
      <c r="J15" s="14" t="s">
        <v>14</v>
      </c>
      <c r="K15" s="48">
        <f t="shared" si="1"/>
        <v>4.6599999999999996E-2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218</v>
      </c>
      <c r="C16" t="s">
        <v>65</v>
      </c>
      <c r="D16" t="s">
        <v>34</v>
      </c>
      <c r="E16" s="28">
        <v>151027</v>
      </c>
      <c r="F16" s="13">
        <v>749.77354150000008</v>
      </c>
      <c r="G16" s="14">
        <f t="shared" si="0"/>
        <v>2.2100000000000002E-2</v>
      </c>
      <c r="H16" s="15" t="s">
        <v>388</v>
      </c>
      <c r="I16" s="107"/>
      <c r="J16" s="14" t="s">
        <v>28</v>
      </c>
      <c r="K16" s="48">
        <f t="shared" si="1"/>
        <v>4.1799999999999997E-2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266</v>
      </c>
      <c r="C17" t="s">
        <v>129</v>
      </c>
      <c r="D17" t="s">
        <v>18</v>
      </c>
      <c r="E17" s="28">
        <v>4298</v>
      </c>
      <c r="F17" s="13">
        <v>739.14640099999997</v>
      </c>
      <c r="G17" s="14">
        <f t="shared" si="0"/>
        <v>2.18E-2</v>
      </c>
      <c r="H17" s="15" t="s">
        <v>388</v>
      </c>
      <c r="I17" s="107"/>
      <c r="J17" s="14" t="s">
        <v>36</v>
      </c>
      <c r="K17" s="48">
        <f t="shared" si="1"/>
        <v>4.1499999999999995E-2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207</v>
      </c>
      <c r="C18" t="s">
        <v>48</v>
      </c>
      <c r="D18" t="s">
        <v>26</v>
      </c>
      <c r="E18" s="28">
        <v>14779</v>
      </c>
      <c r="F18" s="13">
        <v>711.69752400000004</v>
      </c>
      <c r="G18" s="14">
        <f t="shared" si="0"/>
        <v>2.1000000000000001E-2</v>
      </c>
      <c r="H18" s="15" t="s">
        <v>388</v>
      </c>
      <c r="I18" s="107"/>
      <c r="J18" s="14" t="s">
        <v>136</v>
      </c>
      <c r="K18" s="48">
        <f t="shared" si="1"/>
        <v>3.6999999999999998E-2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208</v>
      </c>
      <c r="C19" t="s">
        <v>53</v>
      </c>
      <c r="D19" t="s">
        <v>18</v>
      </c>
      <c r="E19" s="28">
        <v>16912</v>
      </c>
      <c r="F19" s="13">
        <v>710.94665599999996</v>
      </c>
      <c r="G19" s="14">
        <f t="shared" si="0"/>
        <v>2.1000000000000001E-2</v>
      </c>
      <c r="H19" s="15" t="s">
        <v>388</v>
      </c>
      <c r="I19" s="107"/>
      <c r="J19" s="14" t="s">
        <v>30</v>
      </c>
      <c r="K19" s="48">
        <f t="shared" si="1"/>
        <v>3.1099999999999999E-2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213</v>
      </c>
      <c r="C20" t="s">
        <v>49</v>
      </c>
      <c r="D20" t="s">
        <v>20</v>
      </c>
      <c r="E20" s="28">
        <v>8078</v>
      </c>
      <c r="F20" s="13">
        <v>694.63529799999992</v>
      </c>
      <c r="G20" s="14">
        <f t="shared" si="0"/>
        <v>2.0500000000000001E-2</v>
      </c>
      <c r="H20" s="15" t="s">
        <v>388</v>
      </c>
      <c r="I20" s="107"/>
      <c r="J20" s="14" t="s">
        <v>45</v>
      </c>
      <c r="K20" s="48">
        <f t="shared" si="1"/>
        <v>2.8199999999999999E-2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265</v>
      </c>
      <c r="C21" t="s">
        <v>128</v>
      </c>
      <c r="D21" t="s">
        <v>22</v>
      </c>
      <c r="E21" s="28">
        <v>66330</v>
      </c>
      <c r="F21" s="13">
        <v>690.49530000000004</v>
      </c>
      <c r="G21" s="14">
        <f t="shared" si="0"/>
        <v>2.0400000000000001E-2</v>
      </c>
      <c r="H21" s="15" t="s">
        <v>388</v>
      </c>
      <c r="I21" s="107"/>
      <c r="J21" s="14" t="s">
        <v>34</v>
      </c>
      <c r="K21" s="48">
        <f t="shared" si="1"/>
        <v>2.2100000000000002E-2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411</v>
      </c>
      <c r="C22" t="s">
        <v>410</v>
      </c>
      <c r="D22" t="s">
        <v>26</v>
      </c>
      <c r="E22" s="28">
        <v>200000</v>
      </c>
      <c r="F22" s="13">
        <v>688.6</v>
      </c>
      <c r="G22" s="14">
        <f t="shared" si="0"/>
        <v>2.0299999999999999E-2</v>
      </c>
      <c r="H22" s="15" t="s">
        <v>388</v>
      </c>
      <c r="I22" s="107"/>
      <c r="J22" s="14" t="s">
        <v>431</v>
      </c>
      <c r="K22" s="48">
        <f t="shared" si="1"/>
        <v>1.9900000000000001E-2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597</v>
      </c>
      <c r="C23" t="s">
        <v>598</v>
      </c>
      <c r="D23" t="s">
        <v>136</v>
      </c>
      <c r="E23" s="28">
        <v>193725</v>
      </c>
      <c r="F23" s="13">
        <v>687.04571250000004</v>
      </c>
      <c r="G23" s="14">
        <f t="shared" si="0"/>
        <v>2.0299999999999999E-2</v>
      </c>
      <c r="H23" s="15" t="s">
        <v>388</v>
      </c>
      <c r="I23" s="107"/>
      <c r="J23" s="14" t="s">
        <v>38</v>
      </c>
      <c r="K23" s="48">
        <f t="shared" si="1"/>
        <v>1.95E-2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254</v>
      </c>
      <c r="C24" t="s">
        <v>116</v>
      </c>
      <c r="D24" t="s">
        <v>36</v>
      </c>
      <c r="E24" s="28">
        <v>374900</v>
      </c>
      <c r="F24" s="13">
        <v>679.13135</v>
      </c>
      <c r="G24" s="14">
        <f t="shared" si="0"/>
        <v>2.01E-2</v>
      </c>
      <c r="H24" s="15" t="s">
        <v>388</v>
      </c>
      <c r="I24" s="107"/>
      <c r="J24" t="s">
        <v>51</v>
      </c>
      <c r="K24" s="48">
        <f t="shared" si="1"/>
        <v>1.44E-2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219</v>
      </c>
      <c r="C25" t="s">
        <v>61</v>
      </c>
      <c r="D25" t="s">
        <v>22</v>
      </c>
      <c r="E25" s="28">
        <v>97638</v>
      </c>
      <c r="F25" s="13">
        <v>676.48488299999997</v>
      </c>
      <c r="G25" s="14">
        <f t="shared" si="0"/>
        <v>0.02</v>
      </c>
      <c r="H25" s="15" t="s">
        <v>388</v>
      </c>
      <c r="I25" s="107"/>
      <c r="J25" t="s">
        <v>146</v>
      </c>
      <c r="K25" s="48">
        <f t="shared" si="1"/>
        <v>1.44E-2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447</v>
      </c>
      <c r="C26" t="s">
        <v>448</v>
      </c>
      <c r="D26" t="s">
        <v>431</v>
      </c>
      <c r="E26" s="28">
        <v>129608</v>
      </c>
      <c r="F26" s="13">
        <v>672.3415</v>
      </c>
      <c r="G26" s="14">
        <f t="shared" si="0"/>
        <v>1.9900000000000001E-2</v>
      </c>
      <c r="H26" s="15" t="s">
        <v>388</v>
      </c>
      <c r="I26" s="107"/>
      <c r="J26" t="s">
        <v>529</v>
      </c>
      <c r="K26" s="48">
        <f t="shared" si="1"/>
        <v>1.21E-2</v>
      </c>
      <c r="L26" s="54">
        <f>+SUM($K$9:K27)</f>
        <v>0.96089999999999987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383</v>
      </c>
      <c r="C27" t="s">
        <v>384</v>
      </c>
      <c r="D27" t="s">
        <v>38</v>
      </c>
      <c r="E27" s="28">
        <v>687142</v>
      </c>
      <c r="F27" s="13">
        <v>661.37417500000004</v>
      </c>
      <c r="G27" s="14">
        <f t="shared" si="0"/>
        <v>1.95E-2</v>
      </c>
      <c r="H27" s="15" t="s">
        <v>388</v>
      </c>
      <c r="I27" s="107"/>
      <c r="J27" s="65" t="s">
        <v>43</v>
      </c>
      <c r="K27" s="48">
        <f t="shared" si="1"/>
        <v>1.1299999999999999E-2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199</v>
      </c>
      <c r="C28" t="s">
        <v>21</v>
      </c>
      <c r="D28" t="s">
        <v>20</v>
      </c>
      <c r="E28" s="28">
        <v>156729</v>
      </c>
      <c r="F28" s="13">
        <v>633.42025350000006</v>
      </c>
      <c r="G28" s="14">
        <f t="shared" si="0"/>
        <v>1.8700000000000001E-2</v>
      </c>
      <c r="H28" s="15" t="s">
        <v>388</v>
      </c>
      <c r="I28" s="107"/>
      <c r="J28" t="s">
        <v>107</v>
      </c>
      <c r="K28" s="48">
        <f t="shared" si="1"/>
        <v>9.4000000000000004E-3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264</v>
      </c>
      <c r="C29" t="s">
        <v>125</v>
      </c>
      <c r="D29" t="s">
        <v>45</v>
      </c>
      <c r="E29" s="28">
        <v>252060</v>
      </c>
      <c r="F29" s="13">
        <v>606.07826999999997</v>
      </c>
      <c r="G29" s="14">
        <f t="shared" si="0"/>
        <v>1.7899999999999999E-2</v>
      </c>
      <c r="H29" s="15" t="s">
        <v>388</v>
      </c>
      <c r="I29" s="107"/>
      <c r="J29" s="14" t="s">
        <v>359</v>
      </c>
      <c r="K29" s="48">
        <f t="shared" si="1"/>
        <v>0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205</v>
      </c>
      <c r="C30" t="s">
        <v>46</v>
      </c>
      <c r="D30" t="s">
        <v>26</v>
      </c>
      <c r="E30" s="28">
        <v>236699</v>
      </c>
      <c r="F30" s="13">
        <v>606.0677895</v>
      </c>
      <c r="G30" s="14">
        <f t="shared" si="0"/>
        <v>1.7899999999999999E-2</v>
      </c>
      <c r="H30" s="15" t="s">
        <v>388</v>
      </c>
      <c r="I30" s="107"/>
      <c r="J30" s="14" t="s">
        <v>454</v>
      </c>
      <c r="K30" s="48">
        <f t="shared" si="1"/>
        <v>0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252</v>
      </c>
      <c r="C31" t="s">
        <v>113</v>
      </c>
      <c r="D31" t="s">
        <v>20</v>
      </c>
      <c r="E31" s="28">
        <v>16552</v>
      </c>
      <c r="F31" s="13">
        <v>601.44174799999996</v>
      </c>
      <c r="G31" s="14">
        <f t="shared" si="0"/>
        <v>1.78E-2</v>
      </c>
      <c r="H31" s="15" t="s">
        <v>388</v>
      </c>
      <c r="I31" s="107"/>
      <c r="J31" s="14" t="s">
        <v>64</v>
      </c>
      <c r="K31" s="48">
        <f>+SUMIFS($G$5:$G$999,$B$5:$B$999,"CBLO / Reverse Repo Investments")+SUMIFS($G$5:$G$999,$B$5:$B$999,"Net Receivable/Payable")</f>
        <v>2.9700000000000001E-2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455</v>
      </c>
      <c r="C32" t="s">
        <v>68</v>
      </c>
      <c r="D32" t="s">
        <v>22</v>
      </c>
      <c r="E32" s="28">
        <v>106911</v>
      </c>
      <c r="F32" s="13">
        <v>577.26594450000005</v>
      </c>
      <c r="G32" s="14">
        <f t="shared" si="0"/>
        <v>1.7100000000000001E-2</v>
      </c>
      <c r="H32" s="15" t="s">
        <v>388</v>
      </c>
      <c r="I32" s="107"/>
      <c r="J32" s="14"/>
      <c r="K32" s="48"/>
    </row>
    <row r="33" spans="1:9" ht="12.75" customHeight="1" x14ac:dyDescent="0.2">
      <c r="A33">
        <f>+MAX($A$8:A32)+1</f>
        <v>25</v>
      </c>
      <c r="B33" t="s">
        <v>360</v>
      </c>
      <c r="C33" t="s">
        <v>433</v>
      </c>
      <c r="D33" t="s">
        <v>136</v>
      </c>
      <c r="E33" s="28">
        <v>60000</v>
      </c>
      <c r="F33" s="13">
        <v>566.19000000000005</v>
      </c>
      <c r="G33" s="14">
        <f t="shared" si="0"/>
        <v>1.67E-2</v>
      </c>
      <c r="H33" s="15" t="s">
        <v>388</v>
      </c>
      <c r="I33" s="107"/>
    </row>
    <row r="34" spans="1:9" ht="12.75" customHeight="1" x14ac:dyDescent="0.2">
      <c r="A34">
        <f>+MAX($A$8:A33)+1</f>
        <v>26</v>
      </c>
      <c r="B34" t="s">
        <v>220</v>
      </c>
      <c r="C34" t="s">
        <v>19</v>
      </c>
      <c r="D34" t="s">
        <v>14</v>
      </c>
      <c r="E34" s="28">
        <v>21307</v>
      </c>
      <c r="F34" s="13">
        <v>561.86559</v>
      </c>
      <c r="G34" s="14">
        <f t="shared" si="0"/>
        <v>1.66E-2</v>
      </c>
      <c r="H34" s="15" t="s">
        <v>388</v>
      </c>
      <c r="I34" s="107"/>
    </row>
    <row r="35" spans="1:9" ht="12.75" customHeight="1" x14ac:dyDescent="0.2">
      <c r="A35">
        <f>+MAX($A$8:A34)+1</f>
        <v>27</v>
      </c>
      <c r="B35" t="s">
        <v>196</v>
      </c>
      <c r="C35" t="s">
        <v>15</v>
      </c>
      <c r="D35" t="s">
        <v>14</v>
      </c>
      <c r="E35" s="28">
        <v>56286</v>
      </c>
      <c r="F35" s="13">
        <v>549.407646</v>
      </c>
      <c r="G35" s="14">
        <f t="shared" si="0"/>
        <v>1.6199999999999999E-2</v>
      </c>
      <c r="H35" s="15" t="s">
        <v>388</v>
      </c>
      <c r="I35" s="107"/>
    </row>
    <row r="36" spans="1:9" ht="12.75" customHeight="1" x14ac:dyDescent="0.2">
      <c r="A36">
        <f>+MAX($A$8:A35)+1</f>
        <v>28</v>
      </c>
      <c r="B36" t="s">
        <v>206</v>
      </c>
      <c r="C36" t="s">
        <v>44</v>
      </c>
      <c r="D36" t="s">
        <v>24</v>
      </c>
      <c r="E36" s="28">
        <v>87680</v>
      </c>
      <c r="F36" s="13">
        <v>540.59104000000002</v>
      </c>
      <c r="G36" s="14">
        <f t="shared" si="0"/>
        <v>1.6E-2</v>
      </c>
      <c r="H36" s="15" t="s">
        <v>388</v>
      </c>
      <c r="I36" s="107"/>
    </row>
    <row r="37" spans="1:9" ht="12.75" customHeight="1" x14ac:dyDescent="0.2">
      <c r="A37">
        <f>+MAX($A$8:A36)+1</f>
        <v>29</v>
      </c>
      <c r="B37" t="s">
        <v>245</v>
      </c>
      <c r="C37" t="s">
        <v>104</v>
      </c>
      <c r="D37" t="s">
        <v>10</v>
      </c>
      <c r="E37" s="28">
        <v>31694</v>
      </c>
      <c r="F37" s="13">
        <v>526.73843299999999</v>
      </c>
      <c r="G37" s="14">
        <f t="shared" si="0"/>
        <v>1.5599999999999999E-2</v>
      </c>
      <c r="H37" s="15" t="s">
        <v>388</v>
      </c>
      <c r="I37" s="107"/>
    </row>
    <row r="38" spans="1:9" ht="12.75" customHeight="1" x14ac:dyDescent="0.2">
      <c r="A38">
        <f>+MAX($A$8:A37)+1</f>
        <v>30</v>
      </c>
      <c r="B38" t="s">
        <v>216</v>
      </c>
      <c r="C38" t="s">
        <v>99</v>
      </c>
      <c r="D38" t="s">
        <v>10</v>
      </c>
      <c r="E38" s="28">
        <v>51897</v>
      </c>
      <c r="F38" s="13">
        <v>519.12569099999996</v>
      </c>
      <c r="G38" s="14">
        <f t="shared" si="0"/>
        <v>1.5299999999999999E-2</v>
      </c>
      <c r="H38" s="15" t="s">
        <v>388</v>
      </c>
      <c r="I38" s="107"/>
    </row>
    <row r="39" spans="1:9" ht="12.75" customHeight="1" x14ac:dyDescent="0.2">
      <c r="A39">
        <f>+MAX($A$8:A38)+1</f>
        <v>31</v>
      </c>
      <c r="B39" t="s">
        <v>232</v>
      </c>
      <c r="C39" t="s">
        <v>80</v>
      </c>
      <c r="D39" t="s">
        <v>51</v>
      </c>
      <c r="E39" s="28">
        <v>177233</v>
      </c>
      <c r="F39" s="13">
        <v>488.80861399999998</v>
      </c>
      <c r="G39" s="14">
        <f t="shared" si="0"/>
        <v>1.44E-2</v>
      </c>
      <c r="H39" s="15" t="s">
        <v>388</v>
      </c>
      <c r="I39" s="107"/>
    </row>
    <row r="40" spans="1:9" ht="12.75" customHeight="1" x14ac:dyDescent="0.2">
      <c r="A40">
        <f>+MAX($A$8:A39)+1</f>
        <v>32</v>
      </c>
      <c r="B40" t="s">
        <v>217</v>
      </c>
      <c r="C40" t="s">
        <v>59</v>
      </c>
      <c r="D40" t="s">
        <v>22</v>
      </c>
      <c r="E40" s="28">
        <v>51936</v>
      </c>
      <c r="F40" s="13">
        <v>488.51001600000001</v>
      </c>
      <c r="G40" s="14">
        <f t="shared" si="0"/>
        <v>1.44E-2</v>
      </c>
      <c r="H40" s="15" t="s">
        <v>388</v>
      </c>
      <c r="I40" s="107"/>
    </row>
    <row r="41" spans="1:9" ht="12.75" customHeight="1" x14ac:dyDescent="0.2">
      <c r="A41">
        <f>+MAX($A$8:A40)+1</f>
        <v>33</v>
      </c>
      <c r="B41" t="s">
        <v>324</v>
      </c>
      <c r="C41" t="s">
        <v>325</v>
      </c>
      <c r="D41" t="s">
        <v>146</v>
      </c>
      <c r="E41" s="28">
        <v>104069</v>
      </c>
      <c r="F41" s="13">
        <v>486.00223</v>
      </c>
      <c r="G41" s="14">
        <f t="shared" ref="G41:G63" si="2">+ROUND(F41/VLOOKUP("Grand Total",$B$4:$F$299,5,0),4)</f>
        <v>1.44E-2</v>
      </c>
      <c r="H41" s="15" t="s">
        <v>388</v>
      </c>
      <c r="I41" s="107"/>
    </row>
    <row r="42" spans="1:9" ht="12.75" customHeight="1" x14ac:dyDescent="0.2">
      <c r="A42">
        <f>+MAX($A$8:A41)+1</f>
        <v>34</v>
      </c>
      <c r="B42" t="s">
        <v>304</v>
      </c>
      <c r="C42" t="s">
        <v>424</v>
      </c>
      <c r="D42" t="s">
        <v>10</v>
      </c>
      <c r="E42" s="28">
        <v>422693</v>
      </c>
      <c r="F42" s="13">
        <v>481.44732700000003</v>
      </c>
      <c r="G42" s="14">
        <f t="shared" si="2"/>
        <v>1.4200000000000001E-2</v>
      </c>
      <c r="H42" s="15" t="s">
        <v>388</v>
      </c>
      <c r="I42" s="107"/>
    </row>
    <row r="43" spans="1:9" ht="12.75" customHeight="1" x14ac:dyDescent="0.2">
      <c r="A43">
        <f>+MAX($A$8:A42)+1</f>
        <v>35</v>
      </c>
      <c r="B43" t="s">
        <v>200</v>
      </c>
      <c r="C43" t="s">
        <v>25</v>
      </c>
      <c r="D43" t="s">
        <v>14</v>
      </c>
      <c r="E43" s="28">
        <v>54935</v>
      </c>
      <c r="F43" s="13">
        <v>465.84879999999998</v>
      </c>
      <c r="G43" s="14">
        <f t="shared" si="2"/>
        <v>1.38E-2</v>
      </c>
      <c r="H43" s="15" t="s">
        <v>388</v>
      </c>
      <c r="I43" s="107"/>
    </row>
    <row r="44" spans="1:9" ht="12.75" customHeight="1" x14ac:dyDescent="0.2">
      <c r="A44">
        <f>+MAX($A$8:A43)+1</f>
        <v>36</v>
      </c>
      <c r="B44" t="s">
        <v>255</v>
      </c>
      <c r="C44" t="s">
        <v>595</v>
      </c>
      <c r="D44" t="s">
        <v>10</v>
      </c>
      <c r="E44" s="28">
        <v>145415</v>
      </c>
      <c r="F44" s="13">
        <v>446.27863500000001</v>
      </c>
      <c r="G44" s="14">
        <f t="shared" si="2"/>
        <v>1.32E-2</v>
      </c>
      <c r="H44" s="15" t="s">
        <v>388</v>
      </c>
      <c r="I44" s="107"/>
    </row>
    <row r="45" spans="1:9" ht="12.75" customHeight="1" x14ac:dyDescent="0.2">
      <c r="A45">
        <f>+MAX($A$8:A44)+1</f>
        <v>37</v>
      </c>
      <c r="B45" t="s">
        <v>532</v>
      </c>
      <c r="C45" t="s">
        <v>533</v>
      </c>
      <c r="D45" t="s">
        <v>24</v>
      </c>
      <c r="E45" s="28">
        <v>33511</v>
      </c>
      <c r="F45" s="13">
        <v>444.87528049999997</v>
      </c>
      <c r="G45" s="14">
        <f t="shared" si="2"/>
        <v>1.3100000000000001E-2</v>
      </c>
      <c r="H45" s="15" t="s">
        <v>388</v>
      </c>
      <c r="I45" s="107"/>
    </row>
    <row r="46" spans="1:9" ht="12.75" customHeight="1" x14ac:dyDescent="0.2">
      <c r="A46">
        <f>+MAX($A$8:A45)+1</f>
        <v>38</v>
      </c>
      <c r="B46" t="s">
        <v>235</v>
      </c>
      <c r="C46" t="s">
        <v>79</v>
      </c>
      <c r="D46" t="s">
        <v>26</v>
      </c>
      <c r="E46" s="28">
        <v>12600</v>
      </c>
      <c r="F46" s="13">
        <v>413.86590000000001</v>
      </c>
      <c r="G46" s="14">
        <f t="shared" si="2"/>
        <v>1.2200000000000001E-2</v>
      </c>
      <c r="H46" s="15" t="s">
        <v>388</v>
      </c>
      <c r="I46" s="107"/>
    </row>
    <row r="47" spans="1:9" ht="12.75" customHeight="1" x14ac:dyDescent="0.2">
      <c r="A47">
        <f>+MAX($A$8:A46)+1</f>
        <v>39</v>
      </c>
      <c r="B47" t="s">
        <v>601</v>
      </c>
      <c r="C47" t="s">
        <v>602</v>
      </c>
      <c r="D47" t="s">
        <v>10</v>
      </c>
      <c r="E47" s="28">
        <v>556534</v>
      </c>
      <c r="F47" s="13">
        <v>393.46953799999994</v>
      </c>
      <c r="G47" s="14">
        <f t="shared" si="2"/>
        <v>1.1599999999999999E-2</v>
      </c>
      <c r="H47" s="15" t="s">
        <v>388</v>
      </c>
      <c r="I47" s="107"/>
    </row>
    <row r="48" spans="1:9" ht="12.75" customHeight="1" x14ac:dyDescent="0.2">
      <c r="A48">
        <f>+MAX($A$8:A47)+1</f>
        <v>40</v>
      </c>
      <c r="B48" t="s">
        <v>209</v>
      </c>
      <c r="C48" t="s">
        <v>50</v>
      </c>
      <c r="D48" t="s">
        <v>22</v>
      </c>
      <c r="E48" s="28">
        <v>7253</v>
      </c>
      <c r="F48" s="13">
        <v>382.54135250000002</v>
      </c>
      <c r="G48" s="14">
        <f t="shared" si="2"/>
        <v>1.1299999999999999E-2</v>
      </c>
      <c r="H48" s="15" t="s">
        <v>388</v>
      </c>
      <c r="I48" s="107"/>
    </row>
    <row r="49" spans="1:9" ht="12.75" customHeight="1" x14ac:dyDescent="0.2">
      <c r="A49">
        <f>+MAX($A$8:A48)+1</f>
        <v>41</v>
      </c>
      <c r="B49" t="s">
        <v>530</v>
      </c>
      <c r="C49" t="s">
        <v>531</v>
      </c>
      <c r="D49" t="s">
        <v>43</v>
      </c>
      <c r="E49" s="28">
        <v>39500</v>
      </c>
      <c r="F49" s="13">
        <v>381.25400000000002</v>
      </c>
      <c r="G49" s="14">
        <f t="shared" si="2"/>
        <v>1.1299999999999999E-2</v>
      </c>
      <c r="H49" s="15" t="s">
        <v>388</v>
      </c>
      <c r="I49" s="107"/>
    </row>
    <row r="50" spans="1:9" ht="12.75" customHeight="1" x14ac:dyDescent="0.2">
      <c r="A50">
        <f>+MAX($A$8:A49)+1</f>
        <v>42</v>
      </c>
      <c r="B50" t="s">
        <v>318</v>
      </c>
      <c r="C50" t="s">
        <v>67</v>
      </c>
      <c r="D50" t="s">
        <v>18</v>
      </c>
      <c r="E50" s="28">
        <v>217267</v>
      </c>
      <c r="F50" s="13">
        <v>377.71867950000001</v>
      </c>
      <c r="G50" s="14">
        <f t="shared" si="2"/>
        <v>1.12E-2</v>
      </c>
      <c r="H50" s="15" t="s">
        <v>388</v>
      </c>
      <c r="I50" s="107"/>
    </row>
    <row r="51" spans="1:9" ht="12.75" customHeight="1" x14ac:dyDescent="0.2">
      <c r="A51">
        <f>+MAX($A$8:A50)+1</f>
        <v>43</v>
      </c>
      <c r="B51" t="s">
        <v>251</v>
      </c>
      <c r="C51" t="s">
        <v>115</v>
      </c>
      <c r="D51" t="s">
        <v>36</v>
      </c>
      <c r="E51" s="28">
        <v>180744</v>
      </c>
      <c r="F51" s="13">
        <v>372.42301200000003</v>
      </c>
      <c r="G51" s="14">
        <f t="shared" si="2"/>
        <v>1.0999999999999999E-2</v>
      </c>
      <c r="H51" s="15" t="s">
        <v>388</v>
      </c>
      <c r="I51" s="107"/>
    </row>
    <row r="52" spans="1:9" ht="12.75" customHeight="1" x14ac:dyDescent="0.2">
      <c r="A52">
        <f>+MAX($A$8:A51)+1</f>
        <v>44</v>
      </c>
      <c r="B52" t="s">
        <v>168</v>
      </c>
      <c r="C52" t="s">
        <v>184</v>
      </c>
      <c r="D52" t="s">
        <v>10</v>
      </c>
      <c r="E52" s="28">
        <v>99372</v>
      </c>
      <c r="F52" s="13">
        <v>370.50850200000002</v>
      </c>
      <c r="G52" s="14">
        <f t="shared" si="2"/>
        <v>1.09E-2</v>
      </c>
      <c r="H52" s="15" t="s">
        <v>388</v>
      </c>
      <c r="I52" s="107"/>
    </row>
    <row r="53" spans="1:9" ht="12.75" customHeight="1" x14ac:dyDescent="0.2">
      <c r="A53">
        <f>+MAX($A$8:A52)+1</f>
        <v>45</v>
      </c>
      <c r="B53" t="s">
        <v>326</v>
      </c>
      <c r="C53" t="s">
        <v>73</v>
      </c>
      <c r="D53" t="s">
        <v>28</v>
      </c>
      <c r="E53" s="28">
        <v>934500</v>
      </c>
      <c r="F53" s="13">
        <v>359.78250000000003</v>
      </c>
      <c r="G53" s="14">
        <f t="shared" si="2"/>
        <v>1.06E-2</v>
      </c>
      <c r="H53" s="15" t="s">
        <v>388</v>
      </c>
      <c r="I53" s="107"/>
    </row>
    <row r="54" spans="1:9" ht="12.75" customHeight="1" x14ac:dyDescent="0.2">
      <c r="A54">
        <f>+MAX($A$8:A53)+1</f>
        <v>46</v>
      </c>
      <c r="B54" t="s">
        <v>681</v>
      </c>
      <c r="C54" t="s">
        <v>682</v>
      </c>
      <c r="D54" t="s">
        <v>36</v>
      </c>
      <c r="E54" s="28">
        <v>370000</v>
      </c>
      <c r="F54" s="13">
        <v>350.39</v>
      </c>
      <c r="G54" s="14">
        <f t="shared" si="2"/>
        <v>1.04E-2</v>
      </c>
      <c r="H54" s="15" t="s">
        <v>388</v>
      </c>
      <c r="I54" s="107"/>
    </row>
    <row r="55" spans="1:9" ht="12.75" customHeight="1" x14ac:dyDescent="0.2">
      <c r="A55">
        <f>+MAX($A$8:A54)+1</f>
        <v>47</v>
      </c>
      <c r="B55" t="s">
        <v>599</v>
      </c>
      <c r="C55" t="s">
        <v>600</v>
      </c>
      <c r="D55" t="s">
        <v>45</v>
      </c>
      <c r="E55" s="28">
        <v>425975</v>
      </c>
      <c r="F55" s="13">
        <v>348.66053749999998</v>
      </c>
      <c r="G55" s="14">
        <f t="shared" si="2"/>
        <v>1.03E-2</v>
      </c>
      <c r="H55" s="15" t="s">
        <v>388</v>
      </c>
      <c r="I55" s="107"/>
    </row>
    <row r="56" spans="1:9" ht="12.75" customHeight="1" x14ac:dyDescent="0.2">
      <c r="A56">
        <f>+MAX($A$8:A55)+1</f>
        <v>48</v>
      </c>
      <c r="B56" t="s">
        <v>221</v>
      </c>
      <c r="C56" t="s">
        <v>29</v>
      </c>
      <c r="D56" t="s">
        <v>10</v>
      </c>
      <c r="E56" s="28">
        <v>62354</v>
      </c>
      <c r="F56" s="13">
        <v>333.84331600000002</v>
      </c>
      <c r="G56" s="14">
        <f t="shared" si="2"/>
        <v>9.9000000000000008E-3</v>
      </c>
      <c r="H56" s="15" t="s">
        <v>388</v>
      </c>
      <c r="I56" s="107"/>
    </row>
    <row r="57" spans="1:9" ht="12.75" customHeight="1" x14ac:dyDescent="0.2">
      <c r="A57">
        <f>+MAX($A$8:A56)+1</f>
        <v>49</v>
      </c>
      <c r="B57" t="s">
        <v>40</v>
      </c>
      <c r="C57" t="s">
        <v>42</v>
      </c>
      <c r="D57" t="s">
        <v>10</v>
      </c>
      <c r="E57" s="28">
        <v>189657</v>
      </c>
      <c r="F57" s="13">
        <v>320.70998700000001</v>
      </c>
      <c r="G57" s="14">
        <f t="shared" si="2"/>
        <v>9.4999999999999998E-3</v>
      </c>
      <c r="H57" s="15" t="s">
        <v>388</v>
      </c>
      <c r="I57" s="107"/>
    </row>
    <row r="58" spans="1:9" ht="12.75" customHeight="1" x14ac:dyDescent="0.2">
      <c r="A58">
        <f>+MAX($A$8:A57)+1</f>
        <v>50</v>
      </c>
      <c r="B58" t="s">
        <v>459</v>
      </c>
      <c r="C58" t="s">
        <v>460</v>
      </c>
      <c r="D58" t="s">
        <v>107</v>
      </c>
      <c r="E58" s="28">
        <v>124820</v>
      </c>
      <c r="F58" s="13">
        <v>318.10377</v>
      </c>
      <c r="G58" s="14">
        <f t="shared" si="2"/>
        <v>9.4000000000000004E-3</v>
      </c>
      <c r="H58" s="15" t="s">
        <v>388</v>
      </c>
      <c r="I58" s="107"/>
    </row>
    <row r="59" spans="1:9" ht="12.75" customHeight="1" x14ac:dyDescent="0.2">
      <c r="A59">
        <f>+MAX($A$8:A58)+1</f>
        <v>51</v>
      </c>
      <c r="B59" t="s">
        <v>227</v>
      </c>
      <c r="C59" t="s">
        <v>70</v>
      </c>
      <c r="D59" t="s">
        <v>10</v>
      </c>
      <c r="E59" s="28">
        <v>285366</v>
      </c>
      <c r="F59" s="13">
        <v>315.75747899999999</v>
      </c>
      <c r="G59" s="14">
        <f t="shared" si="2"/>
        <v>9.2999999999999992E-3</v>
      </c>
      <c r="H59" s="15" t="s">
        <v>388</v>
      </c>
      <c r="I59" s="107"/>
    </row>
    <row r="60" spans="1:9" ht="12.75" customHeight="1" x14ac:dyDescent="0.2">
      <c r="A60">
        <f>+MAX($A$8:A59)+1</f>
        <v>52</v>
      </c>
      <c r="B60" t="s">
        <v>203</v>
      </c>
      <c r="C60" t="s">
        <v>23</v>
      </c>
      <c r="D60" t="s">
        <v>529</v>
      </c>
      <c r="E60" s="28">
        <v>82338</v>
      </c>
      <c r="F60" s="13">
        <v>284.72480400000001</v>
      </c>
      <c r="G60" s="14">
        <f t="shared" si="2"/>
        <v>8.3999999999999995E-3</v>
      </c>
      <c r="H60" s="15" t="s">
        <v>388</v>
      </c>
      <c r="I60" s="107"/>
    </row>
    <row r="61" spans="1:9" ht="12.75" customHeight="1" x14ac:dyDescent="0.2">
      <c r="A61">
        <f>+MAX($A$8:A60)+1</f>
        <v>53</v>
      </c>
      <c r="B61" t="s">
        <v>596</v>
      </c>
      <c r="C61" t="s">
        <v>501</v>
      </c>
      <c r="D61" t="s">
        <v>22</v>
      </c>
      <c r="E61" s="28">
        <v>88638</v>
      </c>
      <c r="F61" s="13">
        <v>274.73348100000004</v>
      </c>
      <c r="G61" s="14">
        <f t="shared" si="2"/>
        <v>8.0999999999999996E-3</v>
      </c>
      <c r="H61" s="15" t="s">
        <v>388</v>
      </c>
      <c r="I61" s="107"/>
    </row>
    <row r="62" spans="1:9" ht="12.75" customHeight="1" x14ac:dyDescent="0.2">
      <c r="A62">
        <f>+MAX($A$8:A61)+1</f>
        <v>54</v>
      </c>
      <c r="B62" s="65" t="s">
        <v>215</v>
      </c>
      <c r="C62" t="s">
        <v>75</v>
      </c>
      <c r="D62" t="s">
        <v>529</v>
      </c>
      <c r="E62" s="28">
        <v>102000</v>
      </c>
      <c r="F62" s="13">
        <v>126.072</v>
      </c>
      <c r="G62" s="14">
        <f t="shared" si="2"/>
        <v>3.7000000000000002E-3</v>
      </c>
      <c r="H62" s="15" t="s">
        <v>388</v>
      </c>
      <c r="I62" s="107"/>
    </row>
    <row r="63" spans="1:9" ht="12.75" customHeight="1" x14ac:dyDescent="0.2">
      <c r="A63">
        <f>+MAX($A$8:A62)+1</f>
        <v>55</v>
      </c>
      <c r="B63" t="s">
        <v>683</v>
      </c>
      <c r="C63" t="s">
        <v>684</v>
      </c>
      <c r="D63" t="s">
        <v>26</v>
      </c>
      <c r="E63" s="28">
        <v>1543</v>
      </c>
      <c r="F63" s="13">
        <v>93.914694999999995</v>
      </c>
      <c r="G63" s="14">
        <f t="shared" si="2"/>
        <v>2.8E-3</v>
      </c>
      <c r="H63" s="15" t="s">
        <v>388</v>
      </c>
      <c r="I63" s="107"/>
    </row>
    <row r="64" spans="1:9" ht="12.75" customHeight="1" x14ac:dyDescent="0.2">
      <c r="A64">
        <f>+MAX($A$8:A63)+1</f>
        <v>56</v>
      </c>
      <c r="B64" t="s">
        <v>485</v>
      </c>
      <c r="C64" s="122" t="s">
        <v>584</v>
      </c>
      <c r="D64" t="s">
        <v>38</v>
      </c>
      <c r="E64" s="28">
        <v>250</v>
      </c>
      <c r="F64" s="13">
        <v>0</v>
      </c>
      <c r="G64" s="108" t="s">
        <v>585</v>
      </c>
      <c r="H64" s="15" t="s">
        <v>388</v>
      </c>
      <c r="I64" s="107"/>
    </row>
    <row r="65" spans="1:9" ht="12.75" customHeight="1" x14ac:dyDescent="0.2">
      <c r="B65" s="18" t="s">
        <v>86</v>
      </c>
      <c r="C65" s="18"/>
      <c r="D65" s="18"/>
      <c r="E65" s="29"/>
      <c r="F65" s="19">
        <f>SUM(F9:F64)</f>
        <v>32844.819501500009</v>
      </c>
      <c r="G65" s="20">
        <f>SUM(G9:G64)</f>
        <v>0.97029999999999994</v>
      </c>
      <c r="H65" s="21"/>
      <c r="I65" s="49"/>
    </row>
    <row r="66" spans="1:9" ht="12.75" customHeight="1" x14ac:dyDescent="0.2">
      <c r="F66" s="86"/>
      <c r="G66" s="14"/>
      <c r="H66" s="15"/>
    </row>
    <row r="67" spans="1:9" ht="12.75" customHeight="1" x14ac:dyDescent="0.2">
      <c r="B67" s="16" t="s">
        <v>312</v>
      </c>
      <c r="C67" s="16"/>
      <c r="F67" s="13"/>
      <c r="G67" s="14"/>
      <c r="H67" s="15"/>
    </row>
    <row r="68" spans="1:9" ht="12.75" customHeight="1" x14ac:dyDescent="0.2">
      <c r="A68">
        <f>+MAX($A$8:A67)+1</f>
        <v>57</v>
      </c>
      <c r="B68" t="s">
        <v>295</v>
      </c>
      <c r="C68" t="s">
        <v>161</v>
      </c>
      <c r="D68" s="65" t="s">
        <v>359</v>
      </c>
      <c r="E68" s="28">
        <v>8600</v>
      </c>
      <c r="F68" s="13">
        <v>0</v>
      </c>
      <c r="G68" s="108" t="s">
        <v>585</v>
      </c>
      <c r="H68" s="15" t="s">
        <v>388</v>
      </c>
    </row>
    <row r="69" spans="1:9" ht="12.75" customHeight="1" x14ac:dyDescent="0.2">
      <c r="A69">
        <f>+MAX($A$8:A68)+1</f>
        <v>58</v>
      </c>
      <c r="B69" s="65" t="s">
        <v>242</v>
      </c>
      <c r="C69" s="65" t="s">
        <v>91</v>
      </c>
      <c r="D69" t="s">
        <v>454</v>
      </c>
      <c r="E69" s="28">
        <v>200000</v>
      </c>
      <c r="F69" s="13">
        <v>0</v>
      </c>
      <c r="G69" s="108" t="s">
        <v>585</v>
      </c>
      <c r="H69" s="15" t="s">
        <v>388</v>
      </c>
    </row>
    <row r="70" spans="1:9" ht="12.75" customHeight="1" x14ac:dyDescent="0.2">
      <c r="B70" s="18" t="s">
        <v>86</v>
      </c>
      <c r="C70" s="18"/>
      <c r="D70" s="18"/>
      <c r="E70" s="29"/>
      <c r="F70" s="19">
        <f>SUM(F68:F69)</f>
        <v>0</v>
      </c>
      <c r="G70" s="51" t="s">
        <v>585</v>
      </c>
      <c r="H70" s="21"/>
      <c r="I70" s="35"/>
    </row>
    <row r="71" spans="1:9" ht="12.75" customHeight="1" x14ac:dyDescent="0.2">
      <c r="F71" s="13"/>
      <c r="G71" s="14"/>
      <c r="H71" s="15"/>
    </row>
    <row r="72" spans="1:9" ht="12.75" customHeight="1" x14ac:dyDescent="0.2">
      <c r="A72" s="95" t="s">
        <v>387</v>
      </c>
      <c r="B72" s="16" t="s">
        <v>94</v>
      </c>
      <c r="C72" s="16"/>
      <c r="F72" s="13">
        <v>1203.6682164000001</v>
      </c>
      <c r="G72" s="14">
        <f>+ROUND(F72/VLOOKUP("Grand Total",$B$4:$F$299,5,0),4)</f>
        <v>3.56E-2</v>
      </c>
      <c r="H72" s="15">
        <v>43073</v>
      </c>
    </row>
    <row r="73" spans="1:9" ht="12.75" customHeight="1" x14ac:dyDescent="0.2">
      <c r="B73" s="18" t="s">
        <v>86</v>
      </c>
      <c r="C73" s="18"/>
      <c r="D73" s="18"/>
      <c r="E73" s="29"/>
      <c r="F73" s="19">
        <f>SUM(F72)</f>
        <v>1203.6682164000001</v>
      </c>
      <c r="G73" s="20">
        <f>SUM(G72)</f>
        <v>3.56E-2</v>
      </c>
      <c r="H73" s="21"/>
      <c r="I73" s="49"/>
    </row>
    <row r="74" spans="1:9" ht="12.75" customHeight="1" x14ac:dyDescent="0.2">
      <c r="F74" s="13"/>
      <c r="G74" s="14"/>
      <c r="H74" s="15"/>
    </row>
    <row r="75" spans="1:9" ht="12.75" customHeight="1" x14ac:dyDescent="0.2">
      <c r="B75" s="16" t="s">
        <v>95</v>
      </c>
      <c r="C75" s="16"/>
      <c r="F75" s="13"/>
      <c r="G75" s="14"/>
      <c r="H75" s="15"/>
    </row>
    <row r="76" spans="1:9" ht="12.75" customHeight="1" x14ac:dyDescent="0.2">
      <c r="B76" s="16" t="s">
        <v>96</v>
      </c>
      <c r="C76" s="16"/>
      <c r="F76" s="13">
        <v>-198.32981570000993</v>
      </c>
      <c r="G76" s="45">
        <f>+ROUND(F76/VLOOKUP("Grand Total",$B$4:$F$299,5,0),4)</f>
        <v>-5.8999999999999999E-3</v>
      </c>
      <c r="H76" s="15"/>
    </row>
    <row r="77" spans="1:9" ht="12.75" customHeight="1" x14ac:dyDescent="0.2">
      <c r="B77" s="18" t="s">
        <v>86</v>
      </c>
      <c r="C77" s="18"/>
      <c r="D77" s="18"/>
      <c r="E77" s="29"/>
      <c r="F77" s="19">
        <f>SUM(F76)</f>
        <v>-198.32981570000993</v>
      </c>
      <c r="G77" s="20">
        <f>SUM(G76)</f>
        <v>-5.8999999999999999E-3</v>
      </c>
      <c r="H77" s="21"/>
      <c r="I77" s="49"/>
    </row>
    <row r="78" spans="1:9" ht="12.75" customHeight="1" x14ac:dyDescent="0.2">
      <c r="B78" s="22" t="s">
        <v>97</v>
      </c>
      <c r="C78" s="22"/>
      <c r="D78" s="22"/>
      <c r="E78" s="30"/>
      <c r="F78" s="23">
        <f>+SUMIF($B$5:B77,"Total",$F$5:F77)</f>
        <v>33850.157902200001</v>
      </c>
      <c r="G78" s="24">
        <f>+SUMIF($B$5:B77,"Total",$G$5:G77)</f>
        <v>1</v>
      </c>
      <c r="H78" s="25"/>
      <c r="I78" s="35"/>
    </row>
    <row r="79" spans="1:9" ht="12.75" customHeight="1" x14ac:dyDescent="0.2"/>
    <row r="80" spans="1:9" ht="12.75" customHeight="1" x14ac:dyDescent="0.2">
      <c r="B80" s="16" t="s">
        <v>189</v>
      </c>
    </row>
    <row r="81" spans="2:3" ht="12.75" customHeight="1" x14ac:dyDescent="0.2">
      <c r="B81" s="16" t="s">
        <v>190</v>
      </c>
      <c r="C81" s="16"/>
    </row>
    <row r="82" spans="2:3" ht="12.75" customHeight="1" x14ac:dyDescent="0.2">
      <c r="B82" s="16" t="s">
        <v>191</v>
      </c>
      <c r="C82" s="16"/>
    </row>
    <row r="83" spans="2:3" ht="12.75" customHeight="1" x14ac:dyDescent="0.2">
      <c r="B83" s="16" t="s">
        <v>193</v>
      </c>
      <c r="C83" s="16"/>
    </row>
    <row r="84" spans="2:3" ht="12.75" customHeight="1" x14ac:dyDescent="0.2">
      <c r="B84" s="53"/>
      <c r="C84" s="16"/>
    </row>
    <row r="85" spans="2:3" ht="12.75" customHeight="1" x14ac:dyDescent="0.2">
      <c r="B85" s="16"/>
      <c r="C85" s="16"/>
    </row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spans="9:9" ht="12.75" customHeight="1" x14ac:dyDescent="0.2"/>
    <row r="98" spans="9:9" ht="12.75" customHeight="1" x14ac:dyDescent="0.2"/>
    <row r="99" spans="9:9" ht="12.75" customHeight="1" x14ac:dyDescent="0.2"/>
    <row r="100" spans="9:9" ht="12.75" customHeight="1" x14ac:dyDescent="0.2"/>
    <row r="101" spans="9:9" ht="12.75" customHeight="1" x14ac:dyDescent="0.2"/>
    <row r="102" spans="9:9" ht="12.75" customHeight="1" x14ac:dyDescent="0.2"/>
    <row r="103" spans="9:9" ht="12.75" customHeight="1" x14ac:dyDescent="0.2"/>
    <row r="104" spans="9:9" ht="12.75" customHeight="1" x14ac:dyDescent="0.2"/>
    <row r="105" spans="9:9" ht="12.75" customHeight="1" x14ac:dyDescent="0.2"/>
    <row r="106" spans="9:9" ht="12.75" customHeight="1" x14ac:dyDescent="0.2"/>
    <row r="107" spans="9:9" ht="12.75" customHeight="1" x14ac:dyDescent="0.2"/>
    <row r="108" spans="9:9" ht="12.75" customHeight="1" x14ac:dyDescent="0.2"/>
    <row r="109" spans="9:9" ht="12.75" customHeight="1" x14ac:dyDescent="0.2"/>
    <row r="110" spans="9:9" ht="12.75" customHeight="1" x14ac:dyDescent="0.2"/>
    <row r="111" spans="9:9" ht="12.75" customHeight="1" x14ac:dyDescent="0.2">
      <c r="I111" s="33" t="str">
        <f>IFERROR(IF(A111="CBLO",VLOOKUP($A$1&amp;A111,#REF!,23,0),IF(VLOOKUP($C111,#REF!,17,0)="","",VLOOKUP(C111,#REF!,17,0))),"")</f>
        <v/>
      </c>
    </row>
    <row r="112" spans="9:9" ht="12.75" customHeight="1" x14ac:dyDescent="0.2">
      <c r="I112" s="33" t="str">
        <f>IFERROR(IF(A112="CBLO",VLOOKUP($A$1&amp;A112,#REF!,23,0),IF(VLOOKUP($C112,#REF!,17,0)="","",VLOOKUP(C112,#REF!,17,0))),"")</f>
        <v/>
      </c>
    </row>
    <row r="113" spans="9:9" ht="12.75" customHeight="1" x14ac:dyDescent="0.2">
      <c r="I113" s="33" t="str">
        <f>IFERROR(IF(A113="CBLO",VLOOKUP($A$1&amp;A113,#REF!,23,0),IF(VLOOKUP($C113,#REF!,17,0)="","",VLOOKUP(C113,#REF!,17,0))),"")</f>
        <v/>
      </c>
    </row>
    <row r="114" spans="9:9" ht="12.75" customHeight="1" x14ac:dyDescent="0.2">
      <c r="I114" s="33" t="str">
        <f>IFERROR(IF(A114="CBLO",VLOOKUP($A$1&amp;A114,#REF!,23,0),IF(VLOOKUP($C114,#REF!,17,0)="","",VLOOKUP(C114,#REF!,17,0))),"")</f>
        <v/>
      </c>
    </row>
    <row r="115" spans="9:9" ht="12.75" customHeight="1" x14ac:dyDescent="0.2">
      <c r="I115" s="33" t="str">
        <f>IFERROR(IF(A115="CBLO",VLOOKUP($A$1&amp;A115,#REF!,23,0),IF(VLOOKUP($C115,#REF!,17,0)="","",VLOOKUP(C115,#REF!,17,0))),"")</f>
        <v/>
      </c>
    </row>
    <row r="116" spans="9:9" ht="12.75" customHeight="1" x14ac:dyDescent="0.2">
      <c r="I116" s="33" t="str">
        <f>IFERROR(IF(A116="CBLO",VLOOKUP($A$1&amp;A116,#REF!,23,0),IF(VLOOKUP($C116,#REF!,17,0)="","",VLOOKUP(C116,#REF!,17,0))),"")</f>
        <v/>
      </c>
    </row>
    <row r="117" spans="9:9" ht="12.75" customHeight="1" x14ac:dyDescent="0.2"/>
    <row r="118" spans="9:9" ht="12.75" customHeight="1" x14ac:dyDescent="0.2"/>
    <row r="119" spans="9:9" ht="12.75" customHeight="1" x14ac:dyDescent="0.2"/>
    <row r="120" spans="9:9" ht="12.75" customHeight="1" x14ac:dyDescent="0.2">
      <c r="I120" s="33" t="str">
        <f>IFERROR(IF(A120="CBLO",VLOOKUP($A$1&amp;A120,#REF!,23,0),IF(VLOOKUP($C120,#REF!,17,0)="","",VLOOKUP(C120,#REF!,17,0))),"")</f>
        <v/>
      </c>
    </row>
    <row r="121" spans="9:9" ht="12.75" customHeight="1" x14ac:dyDescent="0.2"/>
    <row r="122" spans="9:9" ht="12.75" customHeight="1" x14ac:dyDescent="0.2"/>
    <row r="123" spans="9:9" ht="12.75" customHeight="1" x14ac:dyDescent="0.2"/>
    <row r="124" spans="9:9" x14ac:dyDescent="0.2">
      <c r="I124" s="33" t="str">
        <f>IFERROR(IF(A124="CBLO",VLOOKUP($A$1&amp;A124,#REF!,23,0),IF(VLOOKUP($C124,#REF!,17,0)="","",VLOOKUP(C124,#REF!,17,0))),"")</f>
        <v/>
      </c>
    </row>
    <row r="125" spans="9:9" x14ac:dyDescent="0.2">
      <c r="I125" s="33" t="str">
        <f>IFERROR(IF(A125="CBLO",VLOOKUP($A$1&amp;A125,#REF!,23,0),IF(VLOOKUP($C125,#REF!,17,0)="","",VLOOKUP(C125,#REF!,17,0))),"")</f>
        <v/>
      </c>
    </row>
    <row r="130" spans="9:9" x14ac:dyDescent="0.2">
      <c r="I130" s="33" t="str">
        <f>IFERROR(IF(A130="CBLO",VLOOKUP($A$1&amp;A130,#REF!,23,0),IF(VLOOKUP($C130,#REF!,17,0)="","",VLOOKUP(C130,#REF!,17,0))),"")</f>
        <v/>
      </c>
    </row>
    <row r="131" spans="9:9" x14ac:dyDescent="0.2">
      <c r="I131" s="33" t="str">
        <f>IFERROR(IF(A131="CBLO",VLOOKUP($A$1&amp;A131,#REF!,23,0),IF(VLOOKUP($C131,#REF!,17,0)="","",VLOOKUP(C131,#REF!,17,0))),"")</f>
        <v/>
      </c>
    </row>
    <row r="135" spans="9:9" x14ac:dyDescent="0.2">
      <c r="I135" s="33" t="str">
        <f>IFERROR(IF(A135="CBLO",VLOOKUP($A$1&amp;A135,#REF!,23,0),IF(VLOOKUP($C135,#REF!,17,0)="","",VLOOKUP(C135,#REF!,17,0))),"")</f>
        <v/>
      </c>
    </row>
    <row r="139" spans="9:9" x14ac:dyDescent="0.2">
      <c r="I139" s="33" t="str">
        <f>IFERROR(IF(A139="CBLO",VLOOKUP($A$1&amp;A139,#REF!,23,0),IF(VLOOKUP($C139,#REF!,17,0)="","",VLOOKUP(C139,#REF!,17,0))),"")</f>
        <v/>
      </c>
    </row>
  </sheetData>
  <sheetProtection password="EDB4" sheet="1" objects="1" scenarios="1"/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80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  <col min="18" max="18" width="16.7109375" bestFit="1" customWidth="1"/>
  </cols>
  <sheetData>
    <row r="1" spans="1:18" ht="18.75" x14ac:dyDescent="0.2">
      <c r="A1" s="94" t="s">
        <v>394</v>
      </c>
      <c r="B1" s="124" t="s">
        <v>162</v>
      </c>
      <c r="C1" s="125"/>
      <c r="D1" s="125"/>
      <c r="E1" s="125"/>
      <c r="F1" s="125"/>
      <c r="G1" s="125"/>
      <c r="H1" s="125"/>
      <c r="I1" s="126"/>
    </row>
    <row r="2" spans="1:18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  <c r="I2" s="6"/>
    </row>
    <row r="3" spans="1:18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8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121" t="s">
        <v>594</v>
      </c>
      <c r="I4" s="32" t="s">
        <v>7</v>
      </c>
      <c r="J4" s="34"/>
    </row>
    <row r="5" spans="1:18" ht="12.75" customHeight="1" x14ac:dyDescent="0.2">
      <c r="F5" s="13"/>
      <c r="G5" s="14"/>
      <c r="H5" s="14"/>
      <c r="I5" s="15"/>
    </row>
    <row r="6" spans="1:18" ht="12.75" customHeight="1" x14ac:dyDescent="0.2">
      <c r="F6" s="13"/>
      <c r="G6" s="14"/>
      <c r="H6" s="14"/>
      <c r="I6" s="15"/>
    </row>
    <row r="7" spans="1:18" ht="12.75" customHeight="1" x14ac:dyDescent="0.2">
      <c r="B7" s="16" t="s">
        <v>9</v>
      </c>
      <c r="C7" s="16"/>
      <c r="F7" s="13"/>
      <c r="G7" s="14"/>
      <c r="H7" s="14"/>
      <c r="I7" s="15"/>
    </row>
    <row r="8" spans="1:18" ht="12.75" customHeight="1" x14ac:dyDescent="0.2">
      <c r="B8" s="16" t="s">
        <v>425</v>
      </c>
      <c r="C8" s="16"/>
      <c r="F8" s="13"/>
      <c r="G8" s="14"/>
      <c r="H8" s="14"/>
      <c r="I8" s="60"/>
      <c r="K8" s="17" t="s">
        <v>4</v>
      </c>
      <c r="L8" s="102" t="s">
        <v>12</v>
      </c>
      <c r="Q8" s="65"/>
    </row>
    <row r="9" spans="1:18" s="65" customFormat="1" ht="12.75" customHeight="1" x14ac:dyDescent="0.2">
      <c r="A9" s="77">
        <f>+MAX($A$8:A8)+1</f>
        <v>1</v>
      </c>
      <c r="B9" s="77" t="s">
        <v>235</v>
      </c>
      <c r="C9" s="77" t="s">
        <v>79</v>
      </c>
      <c r="D9" s="77" t="s">
        <v>26</v>
      </c>
      <c r="E9" s="74">
        <v>6500</v>
      </c>
      <c r="F9" s="80">
        <v>213.50225</v>
      </c>
      <c r="G9" s="76">
        <f t="shared" ref="G9:G41" si="0">+ROUND(F9/VLOOKUP("Grand Total",$B$4:$F$310,5,0),4)</f>
        <v>1.15E-2</v>
      </c>
      <c r="H9" s="76"/>
      <c r="I9" s="91" t="s">
        <v>388</v>
      </c>
      <c r="J9" s="101"/>
      <c r="K9" s="65" t="s">
        <v>24</v>
      </c>
      <c r="L9" s="103">
        <f t="shared" ref="L9:L37" si="1">SUMIFS($G$5:$G$326,$D$5:$D$326,K9)</f>
        <v>0.11289999999999999</v>
      </c>
      <c r="Q9" s="91"/>
      <c r="R9" s="91"/>
    </row>
    <row r="10" spans="1:18" s="65" customFormat="1" ht="12.75" customHeight="1" x14ac:dyDescent="0.2">
      <c r="A10" s="77">
        <f>+MAX($A$8:A9)+1</f>
        <v>2</v>
      </c>
      <c r="B10" s="77" t="s">
        <v>195</v>
      </c>
      <c r="C10" s="65" t="s">
        <v>13</v>
      </c>
      <c r="D10" s="77" t="s">
        <v>10</v>
      </c>
      <c r="E10" s="74">
        <v>10267</v>
      </c>
      <c r="F10" s="80">
        <v>190.319379</v>
      </c>
      <c r="G10" s="76">
        <f t="shared" si="0"/>
        <v>1.03E-2</v>
      </c>
      <c r="H10" s="76"/>
      <c r="I10" s="91" t="s">
        <v>388</v>
      </c>
      <c r="J10" s="101"/>
      <c r="K10" s="90" t="s">
        <v>30</v>
      </c>
      <c r="L10" s="103">
        <f t="shared" si="1"/>
        <v>9.4199999999999992E-2</v>
      </c>
    </row>
    <row r="11" spans="1:18" s="65" customFormat="1" ht="12.75" customHeight="1" x14ac:dyDescent="0.2">
      <c r="A11" s="77">
        <f>+MAX($A$8:A10)+1</f>
        <v>3</v>
      </c>
      <c r="B11" s="77" t="s">
        <v>232</v>
      </c>
      <c r="C11" s="65" t="s">
        <v>80</v>
      </c>
      <c r="D11" s="77" t="s">
        <v>51</v>
      </c>
      <c r="E11" s="74">
        <v>63671</v>
      </c>
      <c r="F11" s="80">
        <v>175.60461800000002</v>
      </c>
      <c r="G11" s="76">
        <f t="shared" si="0"/>
        <v>9.4999999999999998E-3</v>
      </c>
      <c r="H11" s="76"/>
      <c r="I11" s="91" t="s">
        <v>388</v>
      </c>
      <c r="J11" s="101"/>
      <c r="K11" s="65" t="s">
        <v>20</v>
      </c>
      <c r="L11" s="103">
        <f t="shared" si="1"/>
        <v>8.5699999999999998E-2</v>
      </c>
    </row>
    <row r="12" spans="1:18" s="65" customFormat="1" ht="12.75" customHeight="1" x14ac:dyDescent="0.2">
      <c r="A12" s="77">
        <f>+MAX($A$8:A11)+1</f>
        <v>4</v>
      </c>
      <c r="B12" s="77" t="s">
        <v>254</v>
      </c>
      <c r="C12" s="65" t="s">
        <v>116</v>
      </c>
      <c r="D12" s="77" t="s">
        <v>36</v>
      </c>
      <c r="E12" s="74">
        <v>95000</v>
      </c>
      <c r="F12" s="80">
        <v>172.0925</v>
      </c>
      <c r="G12" s="76">
        <f t="shared" si="0"/>
        <v>9.2999999999999992E-3</v>
      </c>
      <c r="H12" s="76"/>
      <c r="I12" s="91" t="s">
        <v>388</v>
      </c>
      <c r="J12" s="101"/>
      <c r="K12" s="14" t="s">
        <v>659</v>
      </c>
      <c r="L12" s="103">
        <f t="shared" si="1"/>
        <v>5.1900000000000002E-2</v>
      </c>
    </row>
    <row r="13" spans="1:18" s="65" customFormat="1" ht="12.75" customHeight="1" x14ac:dyDescent="0.2">
      <c r="A13" s="77">
        <f>+MAX($A$8:A12)+1</f>
        <v>5</v>
      </c>
      <c r="B13" s="77" t="s">
        <v>198</v>
      </c>
      <c r="C13" s="65" t="s">
        <v>11</v>
      </c>
      <c r="D13" s="77" t="s">
        <v>10</v>
      </c>
      <c r="E13" s="74">
        <v>52533</v>
      </c>
      <c r="F13" s="80">
        <v>161.56524150000001</v>
      </c>
      <c r="G13" s="76">
        <f t="shared" si="0"/>
        <v>8.6999999999999994E-3</v>
      </c>
      <c r="H13" s="76"/>
      <c r="I13" s="91" t="s">
        <v>388</v>
      </c>
      <c r="J13" s="101"/>
      <c r="K13" s="14" t="s">
        <v>420</v>
      </c>
      <c r="L13" s="103">
        <f t="shared" si="1"/>
        <v>4.7500000000000001E-2</v>
      </c>
    </row>
    <row r="14" spans="1:18" s="65" customFormat="1" ht="12.75" customHeight="1" x14ac:dyDescent="0.2">
      <c r="A14" s="77">
        <f>+MAX($A$8:A13)+1</f>
        <v>6</v>
      </c>
      <c r="B14" s="77" t="s">
        <v>16</v>
      </c>
      <c r="C14" s="65" t="s">
        <v>17</v>
      </c>
      <c r="D14" s="77" t="s">
        <v>10</v>
      </c>
      <c r="E14" s="74">
        <v>48487</v>
      </c>
      <c r="F14" s="80">
        <v>155.32810449999999</v>
      </c>
      <c r="G14" s="76">
        <f t="shared" si="0"/>
        <v>8.3999999999999995E-3</v>
      </c>
      <c r="H14" s="76"/>
      <c r="I14" s="91" t="s">
        <v>388</v>
      </c>
      <c r="J14" s="101"/>
      <c r="K14" s="65" t="s">
        <v>14</v>
      </c>
      <c r="L14" s="103">
        <f t="shared" si="1"/>
        <v>4.6100000000000002E-2</v>
      </c>
    </row>
    <row r="15" spans="1:18" s="65" customFormat="1" ht="12.75" customHeight="1" x14ac:dyDescent="0.2">
      <c r="A15" s="77">
        <f>+MAX($A$8:A14)+1</f>
        <v>7</v>
      </c>
      <c r="B15" s="77" t="s">
        <v>213</v>
      </c>
      <c r="C15" s="65" t="s">
        <v>49</v>
      </c>
      <c r="D15" s="77" t="s">
        <v>20</v>
      </c>
      <c r="E15" s="74">
        <v>1733</v>
      </c>
      <c r="F15" s="80">
        <v>149.022403</v>
      </c>
      <c r="G15" s="76">
        <f t="shared" si="0"/>
        <v>8.0000000000000002E-3</v>
      </c>
      <c r="H15" s="76"/>
      <c r="I15" s="91" t="s">
        <v>388</v>
      </c>
      <c r="J15" s="101"/>
      <c r="K15" s="14" t="s">
        <v>178</v>
      </c>
      <c r="L15" s="103">
        <f t="shared" si="1"/>
        <v>4.5499999999999999E-2</v>
      </c>
    </row>
    <row r="16" spans="1:18" s="65" customFormat="1" ht="12.75" customHeight="1" x14ac:dyDescent="0.2">
      <c r="A16" s="77">
        <f>+MAX($A$8:A15)+1</f>
        <v>8</v>
      </c>
      <c r="B16" s="77" t="s">
        <v>219</v>
      </c>
      <c r="C16" s="65" t="s">
        <v>61</v>
      </c>
      <c r="D16" s="77" t="s">
        <v>22</v>
      </c>
      <c r="E16" s="74">
        <v>21003</v>
      </c>
      <c r="F16" s="80">
        <v>145.5192855</v>
      </c>
      <c r="G16" s="76">
        <f t="shared" si="0"/>
        <v>7.7999999999999996E-3</v>
      </c>
      <c r="H16" s="76"/>
      <c r="I16" s="91" t="s">
        <v>388</v>
      </c>
      <c r="J16" s="101"/>
      <c r="K16" s="65" t="s">
        <v>22</v>
      </c>
      <c r="L16" s="103">
        <f t="shared" si="1"/>
        <v>4.3200000000000002E-2</v>
      </c>
    </row>
    <row r="17" spans="1:12" s="65" customFormat="1" ht="12.75" customHeight="1" x14ac:dyDescent="0.2">
      <c r="A17" s="77">
        <f>+MAX($A$8:A16)+1</f>
        <v>9</v>
      </c>
      <c r="B17" s="77" t="s">
        <v>229</v>
      </c>
      <c r="C17" s="65" t="s">
        <v>71</v>
      </c>
      <c r="D17" s="77" t="s">
        <v>28</v>
      </c>
      <c r="E17" s="74">
        <v>11283</v>
      </c>
      <c r="F17" s="80">
        <v>137.26333650000001</v>
      </c>
      <c r="G17" s="76">
        <f t="shared" si="0"/>
        <v>7.4000000000000003E-3</v>
      </c>
      <c r="H17" s="76"/>
      <c r="I17" s="91" t="s">
        <v>388</v>
      </c>
      <c r="J17" s="101"/>
      <c r="K17" s="65" t="s">
        <v>10</v>
      </c>
      <c r="L17" s="103">
        <f t="shared" si="1"/>
        <v>4.2999999999999997E-2</v>
      </c>
    </row>
    <row r="18" spans="1:12" s="65" customFormat="1" ht="12.75" customHeight="1" x14ac:dyDescent="0.2">
      <c r="A18" s="77">
        <f>+MAX($A$8:A17)+1</f>
        <v>10</v>
      </c>
      <c r="B18" s="77" t="s">
        <v>207</v>
      </c>
      <c r="C18" s="77" t="s">
        <v>48</v>
      </c>
      <c r="D18" s="77" t="s">
        <v>26</v>
      </c>
      <c r="E18" s="74">
        <v>2754</v>
      </c>
      <c r="F18" s="80">
        <v>132.621624</v>
      </c>
      <c r="G18" s="76">
        <f t="shared" si="0"/>
        <v>7.1999999999999998E-3</v>
      </c>
      <c r="H18" s="76"/>
      <c r="I18" s="91" t="s">
        <v>388</v>
      </c>
      <c r="J18" s="101"/>
      <c r="K18" s="65" t="s">
        <v>26</v>
      </c>
      <c r="L18" s="103">
        <f t="shared" si="1"/>
        <v>3.9200000000000006E-2</v>
      </c>
    </row>
    <row r="19" spans="1:12" s="65" customFormat="1" ht="12.75" customHeight="1" x14ac:dyDescent="0.2">
      <c r="A19" s="77">
        <f>+MAX($A$8:A18)+1</f>
        <v>11</v>
      </c>
      <c r="B19" s="77" t="s">
        <v>252</v>
      </c>
      <c r="C19" s="65" t="s">
        <v>113</v>
      </c>
      <c r="D19" s="77" t="s">
        <v>20</v>
      </c>
      <c r="E19" s="74">
        <v>3608</v>
      </c>
      <c r="F19" s="80">
        <v>131.102092</v>
      </c>
      <c r="G19" s="76">
        <f t="shared" si="0"/>
        <v>7.1000000000000004E-3</v>
      </c>
      <c r="H19" s="76"/>
      <c r="I19" s="91" t="s">
        <v>388</v>
      </c>
      <c r="J19" s="101"/>
      <c r="K19" s="14" t="s">
        <v>376</v>
      </c>
      <c r="L19" s="103">
        <f t="shared" si="1"/>
        <v>3.8199999999999998E-2</v>
      </c>
    </row>
    <row r="20" spans="1:12" s="65" customFormat="1" ht="12.75" customHeight="1" x14ac:dyDescent="0.2">
      <c r="A20" s="77">
        <f>+MAX($A$8:A19)+1</f>
        <v>12</v>
      </c>
      <c r="B20" s="77" t="s">
        <v>251</v>
      </c>
      <c r="C20" s="65" t="s">
        <v>115</v>
      </c>
      <c r="D20" s="77" t="s">
        <v>36</v>
      </c>
      <c r="E20" s="74">
        <v>62286</v>
      </c>
      <c r="F20" s="80">
        <v>128.34030300000001</v>
      </c>
      <c r="G20" s="76">
        <f t="shared" si="0"/>
        <v>6.8999999999999999E-3</v>
      </c>
      <c r="H20" s="76"/>
      <c r="I20" s="91" t="s">
        <v>388</v>
      </c>
      <c r="J20" s="101"/>
      <c r="K20" s="14" t="s">
        <v>327</v>
      </c>
      <c r="L20" s="103">
        <f t="shared" si="1"/>
        <v>3.8199999999999998E-2</v>
      </c>
    </row>
    <row r="21" spans="1:12" s="65" customFormat="1" ht="12.75" customHeight="1" x14ac:dyDescent="0.2">
      <c r="A21" s="77">
        <f>+MAX($A$8:A20)+1</f>
        <v>13</v>
      </c>
      <c r="B21" s="77" t="s">
        <v>205</v>
      </c>
      <c r="C21" s="65" t="s">
        <v>46</v>
      </c>
      <c r="D21" s="77" t="s">
        <v>26</v>
      </c>
      <c r="E21" s="74">
        <v>49522</v>
      </c>
      <c r="F21" s="80">
        <v>126.80108100000001</v>
      </c>
      <c r="G21" s="76">
        <f t="shared" si="0"/>
        <v>6.7999999999999996E-3</v>
      </c>
      <c r="H21" s="76"/>
      <c r="I21" s="91" t="s">
        <v>388</v>
      </c>
      <c r="J21" s="101"/>
      <c r="K21" s="14" t="s">
        <v>103</v>
      </c>
      <c r="L21" s="103">
        <f t="shared" si="1"/>
        <v>3.3000000000000002E-2</v>
      </c>
    </row>
    <row r="22" spans="1:12" s="65" customFormat="1" ht="12.75" customHeight="1" x14ac:dyDescent="0.2">
      <c r="A22" s="77">
        <f>+MAX($A$8:A21)+1</f>
        <v>14</v>
      </c>
      <c r="B22" s="77" t="s">
        <v>220</v>
      </c>
      <c r="C22" s="65" t="s">
        <v>19</v>
      </c>
      <c r="D22" s="77" t="s">
        <v>14</v>
      </c>
      <c r="E22" s="74">
        <v>4630</v>
      </c>
      <c r="F22" s="80">
        <v>122.09310000000001</v>
      </c>
      <c r="G22" s="76">
        <f t="shared" si="0"/>
        <v>6.6E-3</v>
      </c>
      <c r="H22" s="76"/>
      <c r="I22" s="91" t="s">
        <v>388</v>
      </c>
      <c r="J22" s="101"/>
      <c r="K22" s="65" t="s">
        <v>18</v>
      </c>
      <c r="L22" s="103">
        <f t="shared" si="1"/>
        <v>3.1199999999999999E-2</v>
      </c>
    </row>
    <row r="23" spans="1:12" s="65" customFormat="1" ht="12.75" customHeight="1" x14ac:dyDescent="0.2">
      <c r="A23" s="77">
        <f>+MAX($A$8:A22)+1</f>
        <v>15</v>
      </c>
      <c r="B23" s="77" t="s">
        <v>201</v>
      </c>
      <c r="C23" s="77" t="s">
        <v>27</v>
      </c>
      <c r="D23" s="77" t="s">
        <v>24</v>
      </c>
      <c r="E23" s="74">
        <v>6377</v>
      </c>
      <c r="F23" s="80">
        <v>106.85938900000001</v>
      </c>
      <c r="G23" s="76">
        <f t="shared" si="0"/>
        <v>5.7999999999999996E-3</v>
      </c>
      <c r="H23" s="76"/>
      <c r="I23" s="91" t="s">
        <v>388</v>
      </c>
      <c r="J23" s="101"/>
      <c r="K23" s="14" t="s">
        <v>298</v>
      </c>
      <c r="L23" s="103">
        <f t="shared" si="1"/>
        <v>2.9700000000000001E-2</v>
      </c>
    </row>
    <row r="24" spans="1:12" s="65" customFormat="1" ht="12.75" customHeight="1" x14ac:dyDescent="0.2">
      <c r="A24" s="77">
        <f>+MAX($A$8:A23)+1</f>
        <v>16</v>
      </c>
      <c r="B24" s="77" t="s">
        <v>197</v>
      </c>
      <c r="C24" s="77" t="s">
        <v>31</v>
      </c>
      <c r="D24" s="77" t="s">
        <v>30</v>
      </c>
      <c r="E24" s="74">
        <v>11420</v>
      </c>
      <c r="F24" s="80">
        <v>105.24101</v>
      </c>
      <c r="G24" s="76">
        <f t="shared" si="0"/>
        <v>5.7000000000000002E-3</v>
      </c>
      <c r="H24" s="76"/>
      <c r="I24" s="91" t="s">
        <v>388</v>
      </c>
      <c r="J24" s="101"/>
      <c r="K24" s="65" t="s">
        <v>36</v>
      </c>
      <c r="L24" s="103">
        <f t="shared" si="1"/>
        <v>2.8400000000000002E-2</v>
      </c>
    </row>
    <row r="25" spans="1:12" s="65" customFormat="1" ht="12.75" customHeight="1" x14ac:dyDescent="0.2">
      <c r="A25" s="77">
        <f>+MAX($A$8:A24)+1</f>
        <v>17</v>
      </c>
      <c r="B25" s="77" t="s">
        <v>243</v>
      </c>
      <c r="C25" s="65" t="s">
        <v>102</v>
      </c>
      <c r="D25" s="77" t="s">
        <v>26</v>
      </c>
      <c r="E25" s="74">
        <v>8214</v>
      </c>
      <c r="F25" s="80">
        <v>104.51904300000001</v>
      </c>
      <c r="G25" s="76">
        <f t="shared" si="0"/>
        <v>5.5999999999999999E-3</v>
      </c>
      <c r="H25" s="76"/>
      <c r="I25" s="91" t="s">
        <v>388</v>
      </c>
      <c r="J25" s="101"/>
      <c r="K25" s="14" t="s">
        <v>476</v>
      </c>
      <c r="L25" s="103">
        <f t="shared" si="1"/>
        <v>2.1499999999999998E-2</v>
      </c>
    </row>
    <row r="26" spans="1:12" s="65" customFormat="1" ht="12.75" customHeight="1" x14ac:dyDescent="0.2">
      <c r="A26" s="77">
        <f>+MAX($A$8:A25)+1</f>
        <v>18</v>
      </c>
      <c r="B26" s="77" t="s">
        <v>200</v>
      </c>
      <c r="C26" s="65" t="s">
        <v>25</v>
      </c>
      <c r="D26" s="77" t="s">
        <v>14</v>
      </c>
      <c r="E26" s="74">
        <v>12263</v>
      </c>
      <c r="F26" s="80">
        <v>103.99024</v>
      </c>
      <c r="G26" s="76">
        <f t="shared" si="0"/>
        <v>5.5999999999999999E-3</v>
      </c>
      <c r="H26" s="76"/>
      <c r="I26" s="91" t="s">
        <v>388</v>
      </c>
      <c r="J26" s="101"/>
      <c r="K26" s="14" t="s">
        <v>573</v>
      </c>
      <c r="L26" s="103">
        <f t="shared" si="1"/>
        <v>1.7899999999999999E-2</v>
      </c>
    </row>
    <row r="27" spans="1:12" s="65" customFormat="1" ht="12.75" customHeight="1" x14ac:dyDescent="0.2">
      <c r="A27" s="77">
        <f>+MAX($A$8:A26)+1</f>
        <v>19</v>
      </c>
      <c r="B27" s="77" t="s">
        <v>216</v>
      </c>
      <c r="C27" s="65" t="s">
        <v>99</v>
      </c>
      <c r="D27" s="77" t="s">
        <v>10</v>
      </c>
      <c r="E27" s="74">
        <v>10146</v>
      </c>
      <c r="F27" s="80">
        <v>101.49043800000001</v>
      </c>
      <c r="G27" s="76">
        <f t="shared" si="0"/>
        <v>5.4999999999999997E-3</v>
      </c>
      <c r="H27" s="76"/>
      <c r="I27" s="91" t="s">
        <v>388</v>
      </c>
      <c r="J27" s="101"/>
      <c r="K27" s="14" t="s">
        <v>109</v>
      </c>
      <c r="L27" s="103">
        <f t="shared" si="1"/>
        <v>1.6400000000000001E-2</v>
      </c>
    </row>
    <row r="28" spans="1:12" s="65" customFormat="1" ht="12.75" customHeight="1" x14ac:dyDescent="0.2">
      <c r="A28" s="77">
        <f>+MAX($A$8:A27)+1</f>
        <v>20</v>
      </c>
      <c r="B28" s="77" t="s">
        <v>245</v>
      </c>
      <c r="C28" s="65" t="s">
        <v>104</v>
      </c>
      <c r="D28" s="77" t="s">
        <v>10</v>
      </c>
      <c r="E28" s="74">
        <v>5744</v>
      </c>
      <c r="F28" s="80">
        <v>95.462408000000011</v>
      </c>
      <c r="G28" s="76">
        <f t="shared" si="0"/>
        <v>5.1000000000000004E-3</v>
      </c>
      <c r="H28" s="76"/>
      <c r="I28" s="91" t="s">
        <v>388</v>
      </c>
      <c r="J28" s="101"/>
      <c r="K28" s="14" t="s">
        <v>176</v>
      </c>
      <c r="L28" s="103">
        <f t="shared" si="1"/>
        <v>1.6299999999999999E-2</v>
      </c>
    </row>
    <row r="29" spans="1:12" s="65" customFormat="1" ht="12.75" customHeight="1" x14ac:dyDescent="0.2">
      <c r="A29" s="77">
        <f>+MAX($A$8:A28)+1</f>
        <v>21</v>
      </c>
      <c r="B29" s="77" t="s">
        <v>40</v>
      </c>
      <c r="C29" s="65" t="s">
        <v>42</v>
      </c>
      <c r="D29" s="77" t="s">
        <v>10</v>
      </c>
      <c r="E29" s="74">
        <v>54940</v>
      </c>
      <c r="F29" s="80">
        <v>92.903540000000007</v>
      </c>
      <c r="G29" s="76">
        <f t="shared" si="0"/>
        <v>5.0000000000000001E-3</v>
      </c>
      <c r="H29" s="76"/>
      <c r="I29" s="91" t="s">
        <v>388</v>
      </c>
      <c r="J29" s="101"/>
      <c r="K29" s="90" t="s">
        <v>51</v>
      </c>
      <c r="L29" s="103">
        <f t="shared" si="1"/>
        <v>1.12E-2</v>
      </c>
    </row>
    <row r="30" spans="1:12" s="65" customFormat="1" ht="12.75" customHeight="1" x14ac:dyDescent="0.2">
      <c r="A30" s="77">
        <f>+MAX($A$8:A29)+1</f>
        <v>22</v>
      </c>
      <c r="B30" s="77" t="s">
        <v>264</v>
      </c>
      <c r="C30" s="65" t="s">
        <v>125</v>
      </c>
      <c r="D30" s="77" t="s">
        <v>45</v>
      </c>
      <c r="E30" s="74">
        <v>37702</v>
      </c>
      <c r="F30" s="80">
        <v>90.654459000000003</v>
      </c>
      <c r="G30" s="76">
        <f t="shared" si="0"/>
        <v>4.8999999999999998E-3</v>
      </c>
      <c r="H30" s="76"/>
      <c r="I30" s="91" t="s">
        <v>388</v>
      </c>
      <c r="J30" s="101"/>
      <c r="K30" s="14" t="s">
        <v>37</v>
      </c>
      <c r="L30" s="103">
        <f t="shared" si="1"/>
        <v>9.1999999999999998E-3</v>
      </c>
    </row>
    <row r="31" spans="1:12" s="65" customFormat="1" ht="12.75" customHeight="1" x14ac:dyDescent="0.2">
      <c r="A31" s="77">
        <f>+MAX($A$8:A30)+1</f>
        <v>23</v>
      </c>
      <c r="B31" s="77" t="s">
        <v>266</v>
      </c>
      <c r="C31" s="65" t="s">
        <v>129</v>
      </c>
      <c r="D31" s="77" t="s">
        <v>18</v>
      </c>
      <c r="E31" s="74">
        <v>428</v>
      </c>
      <c r="F31" s="80">
        <v>73.605086</v>
      </c>
      <c r="G31" s="76">
        <f t="shared" si="0"/>
        <v>4.0000000000000001E-3</v>
      </c>
      <c r="H31" s="76"/>
      <c r="I31" s="91" t="s">
        <v>388</v>
      </c>
      <c r="J31" s="101"/>
      <c r="K31" s="65" t="s">
        <v>28</v>
      </c>
      <c r="L31" s="103">
        <f t="shared" si="1"/>
        <v>7.4000000000000003E-3</v>
      </c>
    </row>
    <row r="32" spans="1:12" s="65" customFormat="1" ht="12.75" customHeight="1" x14ac:dyDescent="0.2">
      <c r="A32" s="77">
        <f>+MAX($A$8:A31)+1</f>
        <v>24</v>
      </c>
      <c r="B32" s="77" t="s">
        <v>218</v>
      </c>
      <c r="C32" s="65" t="s">
        <v>65</v>
      </c>
      <c r="D32" s="77" t="s">
        <v>34</v>
      </c>
      <c r="E32" s="74">
        <v>14810</v>
      </c>
      <c r="F32" s="80">
        <v>73.524244999999993</v>
      </c>
      <c r="G32" s="76">
        <f t="shared" si="0"/>
        <v>4.0000000000000001E-3</v>
      </c>
      <c r="H32" s="76"/>
      <c r="I32" s="91" t="s">
        <v>388</v>
      </c>
      <c r="J32" s="101"/>
      <c r="K32" s="14" t="s">
        <v>32</v>
      </c>
      <c r="L32" s="103">
        <f t="shared" si="1"/>
        <v>5.5999999999999999E-3</v>
      </c>
    </row>
    <row r="33" spans="1:18" s="65" customFormat="1" ht="12.75" customHeight="1" x14ac:dyDescent="0.2">
      <c r="A33" s="77">
        <f>+MAX($A$8:A32)+1</f>
        <v>25</v>
      </c>
      <c r="B33" s="77" t="s">
        <v>257</v>
      </c>
      <c r="C33" s="65" t="s">
        <v>119</v>
      </c>
      <c r="D33" s="77" t="s">
        <v>103</v>
      </c>
      <c r="E33" s="74">
        <v>12630</v>
      </c>
      <c r="F33" s="80">
        <v>71.757345000000001</v>
      </c>
      <c r="G33" s="76">
        <f t="shared" si="0"/>
        <v>3.8999999999999998E-3</v>
      </c>
      <c r="H33" s="76"/>
      <c r="I33" s="91" t="s">
        <v>388</v>
      </c>
      <c r="J33" s="101"/>
      <c r="K33" s="65" t="s">
        <v>45</v>
      </c>
      <c r="L33" s="103">
        <f t="shared" si="1"/>
        <v>4.8999999999999998E-3</v>
      </c>
    </row>
    <row r="34" spans="1:18" s="65" customFormat="1" ht="12.75" customHeight="1" x14ac:dyDescent="0.2">
      <c r="A34" s="77">
        <f>+MAX($A$8:A33)+1</f>
        <v>26</v>
      </c>
      <c r="B34" s="77" t="s">
        <v>208</v>
      </c>
      <c r="C34" s="65" t="s">
        <v>53</v>
      </c>
      <c r="D34" s="77" t="s">
        <v>18</v>
      </c>
      <c r="E34" s="74">
        <v>1684</v>
      </c>
      <c r="F34" s="80">
        <v>70.791992000000008</v>
      </c>
      <c r="G34" s="76">
        <f t="shared" si="0"/>
        <v>3.8E-3</v>
      </c>
      <c r="H34" s="76"/>
      <c r="I34" s="91" t="s">
        <v>388</v>
      </c>
      <c r="J34" s="101"/>
      <c r="K34" s="65" t="s">
        <v>34</v>
      </c>
      <c r="L34" s="103">
        <f t="shared" si="1"/>
        <v>4.0000000000000001E-3</v>
      </c>
    </row>
    <row r="35" spans="1:18" s="65" customFormat="1" ht="12.75" customHeight="1" x14ac:dyDescent="0.2">
      <c r="A35" s="77">
        <f>+MAX($A$8:A34)+1</f>
        <v>27</v>
      </c>
      <c r="B35" s="77" t="s">
        <v>265</v>
      </c>
      <c r="C35" s="65" t="s">
        <v>128</v>
      </c>
      <c r="D35" s="77" t="s">
        <v>22</v>
      </c>
      <c r="E35" s="74">
        <v>6600</v>
      </c>
      <c r="F35" s="80">
        <v>68.706000000000003</v>
      </c>
      <c r="G35" s="76">
        <f t="shared" si="0"/>
        <v>3.7000000000000002E-3</v>
      </c>
      <c r="H35" s="76"/>
      <c r="I35" s="91" t="s">
        <v>388</v>
      </c>
      <c r="J35" s="101"/>
      <c r="K35" s="14" t="s">
        <v>431</v>
      </c>
      <c r="L35" s="103">
        <f t="shared" si="1"/>
        <v>3.5000000000000001E-3</v>
      </c>
    </row>
    <row r="36" spans="1:18" s="65" customFormat="1" ht="12.75" customHeight="1" x14ac:dyDescent="0.2">
      <c r="A36" s="77">
        <f>+MAX($A$8:A35)+1</f>
        <v>28</v>
      </c>
      <c r="B36" s="77" t="s">
        <v>447</v>
      </c>
      <c r="C36" s="65" t="s">
        <v>448</v>
      </c>
      <c r="D36" s="77" t="s">
        <v>431</v>
      </c>
      <c r="E36" s="74">
        <v>12670</v>
      </c>
      <c r="F36" s="80">
        <v>65.725624999999994</v>
      </c>
      <c r="G36" s="76">
        <f t="shared" si="0"/>
        <v>3.5000000000000001E-3</v>
      </c>
      <c r="H36" s="76"/>
      <c r="I36" s="91" t="s">
        <v>388</v>
      </c>
      <c r="J36" s="101"/>
      <c r="K36" s="65" t="s">
        <v>107</v>
      </c>
      <c r="L36" s="103">
        <f t="shared" si="1"/>
        <v>1.6000000000000001E-3</v>
      </c>
    </row>
    <row r="37" spans="1:18" s="65" customFormat="1" ht="12.75" customHeight="1" x14ac:dyDescent="0.2">
      <c r="A37" s="77">
        <f>+MAX($A$8:A36)+1</f>
        <v>29</v>
      </c>
      <c r="B37" s="77" t="s">
        <v>199</v>
      </c>
      <c r="C37" s="65" t="s">
        <v>21</v>
      </c>
      <c r="D37" s="77" t="s">
        <v>20</v>
      </c>
      <c r="E37" s="74">
        <v>15652</v>
      </c>
      <c r="F37" s="80">
        <v>63.257557999999996</v>
      </c>
      <c r="G37" s="76">
        <f t="shared" si="0"/>
        <v>3.3999999999999998E-3</v>
      </c>
      <c r="H37" s="76"/>
      <c r="I37" s="91" t="s">
        <v>388</v>
      </c>
      <c r="J37" s="101"/>
      <c r="K37" s="65" t="s">
        <v>330</v>
      </c>
      <c r="L37" s="103">
        <f t="shared" si="1"/>
        <v>0</v>
      </c>
    </row>
    <row r="38" spans="1:18" s="65" customFormat="1" ht="12.75" customHeight="1" x14ac:dyDescent="0.2">
      <c r="A38" s="77">
        <f>+MAX($A$8:A37)+1</f>
        <v>30</v>
      </c>
      <c r="B38" s="77" t="s">
        <v>455</v>
      </c>
      <c r="C38" s="65" t="s">
        <v>68</v>
      </c>
      <c r="D38" s="77" t="s">
        <v>22</v>
      </c>
      <c r="E38" s="74">
        <v>10498</v>
      </c>
      <c r="F38" s="80">
        <v>56.683951000000008</v>
      </c>
      <c r="G38" s="76">
        <f t="shared" si="0"/>
        <v>3.0999999999999999E-3</v>
      </c>
      <c r="H38" s="76"/>
      <c r="I38" s="91" t="s">
        <v>388</v>
      </c>
      <c r="J38" s="101"/>
      <c r="K38" s="14" t="s">
        <v>64</v>
      </c>
      <c r="L38" s="48">
        <f>+SUMIFS($G$5:$G$999,$B$5:$B$999,"CBLO / Reverse Repo Investments")+SUMIFS($G$5:$G$999,$B$5:$B$999,"Net Receivable/Payable")</f>
        <v>7.2599999999999998E-2</v>
      </c>
    </row>
    <row r="39" spans="1:18" s="65" customFormat="1" ht="12.75" customHeight="1" x14ac:dyDescent="0.2">
      <c r="A39" s="77">
        <f>+MAX($A$8:A38)+1</f>
        <v>31</v>
      </c>
      <c r="B39" s="77" t="s">
        <v>683</v>
      </c>
      <c r="C39" s="65" t="s">
        <v>684</v>
      </c>
      <c r="D39" s="77" t="s">
        <v>26</v>
      </c>
      <c r="E39" s="74">
        <v>772</v>
      </c>
      <c r="F39" s="80">
        <v>46.987780000000001</v>
      </c>
      <c r="G39" s="76">
        <f t="shared" si="0"/>
        <v>2.5000000000000001E-3</v>
      </c>
      <c r="H39" s="76"/>
      <c r="I39" s="91" t="s">
        <v>388</v>
      </c>
      <c r="J39" s="101"/>
      <c r="K39" s="14"/>
      <c r="L39" s="103"/>
    </row>
    <row r="40" spans="1:18" s="65" customFormat="1" ht="12.75" customHeight="1" x14ac:dyDescent="0.2">
      <c r="A40" s="77">
        <f>+MAX($A$8:A39)+1</f>
        <v>32</v>
      </c>
      <c r="B40" s="77" t="s">
        <v>536</v>
      </c>
      <c r="C40" s="65" t="s">
        <v>537</v>
      </c>
      <c r="D40" s="77" t="s">
        <v>18</v>
      </c>
      <c r="E40" s="74">
        <v>3804</v>
      </c>
      <c r="F40" s="80">
        <v>44.502995999999996</v>
      </c>
      <c r="G40" s="76">
        <f t="shared" si="0"/>
        <v>2.3999999999999998E-3</v>
      </c>
      <c r="H40" s="76"/>
      <c r="I40" s="91" t="s">
        <v>388</v>
      </c>
      <c r="J40" s="101"/>
      <c r="K40" s="14"/>
      <c r="L40" s="103"/>
    </row>
    <row r="41" spans="1:18" s="65" customFormat="1" ht="12.75" customHeight="1" x14ac:dyDescent="0.2">
      <c r="A41" s="77">
        <f>+MAX($A$8:A40)+1</f>
        <v>33</v>
      </c>
      <c r="B41" s="77" t="s">
        <v>459</v>
      </c>
      <c r="C41" s="65" t="s">
        <v>460</v>
      </c>
      <c r="D41" s="77" t="s">
        <v>107</v>
      </c>
      <c r="E41" s="74">
        <v>12008</v>
      </c>
      <c r="F41" s="80">
        <v>30.602387999999998</v>
      </c>
      <c r="G41" s="76">
        <f t="shared" si="0"/>
        <v>1.6000000000000001E-3</v>
      </c>
      <c r="H41" s="76"/>
      <c r="I41" s="91" t="s">
        <v>388</v>
      </c>
      <c r="J41" s="101"/>
      <c r="K41" s="14"/>
      <c r="L41" s="103"/>
    </row>
    <row r="42" spans="1:18" ht="12.75" customHeight="1" x14ac:dyDescent="0.2">
      <c r="B42" s="18" t="s">
        <v>86</v>
      </c>
      <c r="C42" s="18"/>
      <c r="D42" s="18"/>
      <c r="E42" s="19"/>
      <c r="F42" s="19">
        <f>SUM(F9:F41)</f>
        <v>3608.4408109999999</v>
      </c>
      <c r="G42" s="20">
        <f>SUM(G9:G41)</f>
        <v>0.19459999999999997</v>
      </c>
      <c r="H42" s="20"/>
      <c r="I42" s="21"/>
    </row>
    <row r="43" spans="1:18" ht="12.75" customHeight="1" x14ac:dyDescent="0.2">
      <c r="F43" s="44"/>
      <c r="G43" s="14"/>
      <c r="H43" s="14"/>
      <c r="I43" s="15"/>
    </row>
    <row r="44" spans="1:18" s="65" customFormat="1" ht="12.75" customHeight="1" x14ac:dyDescent="0.2">
      <c r="A44"/>
      <c r="B44" s="16" t="s">
        <v>760</v>
      </c>
      <c r="C44" s="16"/>
      <c r="D44"/>
      <c r="E44" s="38"/>
      <c r="F44" s="44"/>
      <c r="G44" s="45"/>
      <c r="H44" s="45"/>
      <c r="I44" s="47"/>
      <c r="J44" s="77"/>
      <c r="L44" s="84"/>
      <c r="N44" s="75"/>
    </row>
    <row r="45" spans="1:18" s="65" customFormat="1" ht="12.75" customHeight="1" x14ac:dyDescent="0.2">
      <c r="A45" s="77">
        <f>+MAX($A$8:A44)+1</f>
        <v>34</v>
      </c>
      <c r="B45" s="77" t="s">
        <v>206</v>
      </c>
      <c r="C45" s="65" t="s">
        <v>44</v>
      </c>
      <c r="D45" s="77" t="s">
        <v>24</v>
      </c>
      <c r="E45" s="74">
        <v>237000</v>
      </c>
      <c r="F45" s="80">
        <v>1461.2235000000001</v>
      </c>
      <c r="G45" s="76">
        <f>+ROUND(F45/VLOOKUP("Grand Total",$B$4:$F$310,5,0),4)</f>
        <v>7.8799999999999995E-2</v>
      </c>
      <c r="H45" s="76"/>
      <c r="I45" s="91" t="s">
        <v>388</v>
      </c>
      <c r="J45" s="101"/>
      <c r="L45" s="103"/>
    </row>
    <row r="46" spans="1:18" s="77" customFormat="1" ht="12.75" customHeight="1" x14ac:dyDescent="0.2">
      <c r="A46" s="77">
        <f>+A45+1</f>
        <v>35</v>
      </c>
      <c r="B46" s="77" t="s">
        <v>206</v>
      </c>
      <c r="C46" s="123" t="s">
        <v>584</v>
      </c>
      <c r="D46" s="77" t="s">
        <v>330</v>
      </c>
      <c r="E46" s="74">
        <v>-237000</v>
      </c>
      <c r="F46" s="80">
        <v>-1469.7555</v>
      </c>
      <c r="G46" s="76"/>
      <c r="H46" s="76">
        <f>+ROUND(F46/VLOOKUP("Grand Total",$B$4:$F$310,5,0),4)</f>
        <v>-7.9200000000000007E-2</v>
      </c>
      <c r="I46" s="104">
        <v>43097</v>
      </c>
      <c r="J46" s="101"/>
      <c r="L46" s="103"/>
    </row>
    <row r="47" spans="1:18" s="65" customFormat="1" ht="12.75" customHeight="1" x14ac:dyDescent="0.2">
      <c r="A47" s="77">
        <f t="shared" ref="A47:A86" si="2">+A46+1</f>
        <v>36</v>
      </c>
      <c r="B47" s="77" t="s">
        <v>197</v>
      </c>
      <c r="C47" s="77" t="s">
        <v>31</v>
      </c>
      <c r="D47" s="77" t="s">
        <v>30</v>
      </c>
      <c r="E47" s="74">
        <v>158000</v>
      </c>
      <c r="F47" s="80">
        <v>1456.049</v>
      </c>
      <c r="G47" s="76">
        <f>+ROUND(F47/VLOOKUP("Grand Total",$B$4:$F$310,5,0),4)</f>
        <v>7.85E-2</v>
      </c>
      <c r="H47" s="76"/>
      <c r="I47" s="91" t="s">
        <v>388</v>
      </c>
      <c r="J47" s="101"/>
      <c r="L47" s="103"/>
      <c r="Q47" s="91"/>
      <c r="R47" s="91"/>
    </row>
    <row r="48" spans="1:18" s="77" customFormat="1" ht="12.75" customHeight="1" x14ac:dyDescent="0.2">
      <c r="A48" s="77">
        <f t="shared" si="2"/>
        <v>37</v>
      </c>
      <c r="B48" s="77" t="s">
        <v>197</v>
      </c>
      <c r="C48" s="123" t="s">
        <v>584</v>
      </c>
      <c r="D48" s="77" t="s">
        <v>330</v>
      </c>
      <c r="E48" s="74">
        <v>-158000</v>
      </c>
      <c r="F48" s="80">
        <v>-1465.845</v>
      </c>
      <c r="G48" s="76"/>
      <c r="H48" s="76">
        <f>+ROUND(F48/VLOOKUP("Grand Total",$B$4:$F$310,5,0),4)</f>
        <v>-7.9000000000000001E-2</v>
      </c>
      <c r="I48" s="104">
        <v>43097</v>
      </c>
      <c r="J48" s="101"/>
      <c r="L48" s="103"/>
    </row>
    <row r="49" spans="1:12" s="65" customFormat="1" ht="12.75" customHeight="1" x14ac:dyDescent="0.2">
      <c r="A49" s="77">
        <f t="shared" si="2"/>
        <v>38</v>
      </c>
      <c r="B49" s="77" t="s">
        <v>513</v>
      </c>
      <c r="C49" s="65" t="s">
        <v>514</v>
      </c>
      <c r="D49" s="77" t="s">
        <v>178</v>
      </c>
      <c r="E49" s="74">
        <v>583200</v>
      </c>
      <c r="F49" s="80">
        <v>844.76520000000005</v>
      </c>
      <c r="G49" s="76">
        <f>+ROUND(F49/VLOOKUP("Grand Total",$B$4:$F$310,5,0),4)</f>
        <v>4.5499999999999999E-2</v>
      </c>
      <c r="H49" s="76"/>
      <c r="I49" s="91" t="s">
        <v>388</v>
      </c>
      <c r="J49" s="101"/>
      <c r="L49" s="103"/>
    </row>
    <row r="50" spans="1:12" s="77" customFormat="1" ht="12.75" customHeight="1" x14ac:dyDescent="0.2">
      <c r="A50" s="77">
        <f t="shared" si="2"/>
        <v>39</v>
      </c>
      <c r="B50" s="77" t="s">
        <v>513</v>
      </c>
      <c r="C50" s="123" t="s">
        <v>584</v>
      </c>
      <c r="D50" s="77" t="s">
        <v>330</v>
      </c>
      <c r="E50" s="74">
        <v>-583200</v>
      </c>
      <c r="F50" s="80">
        <v>-848.84760000000006</v>
      </c>
      <c r="G50" s="76"/>
      <c r="H50" s="76">
        <f>+ROUND(F50/VLOOKUP("Grand Total",$B$4:$F$310,5,0),4)</f>
        <v>-4.58E-2</v>
      </c>
      <c r="I50" s="104">
        <v>43097</v>
      </c>
      <c r="J50" s="101"/>
      <c r="L50" s="103"/>
    </row>
    <row r="51" spans="1:12" s="65" customFormat="1" ht="12.75" customHeight="1" x14ac:dyDescent="0.2">
      <c r="A51" s="77">
        <f t="shared" si="2"/>
        <v>40</v>
      </c>
      <c r="B51" s="77" t="s">
        <v>253</v>
      </c>
      <c r="C51" s="65" t="s">
        <v>114</v>
      </c>
      <c r="D51" s="77" t="s">
        <v>14</v>
      </c>
      <c r="E51" s="74">
        <v>128700</v>
      </c>
      <c r="F51" s="80">
        <v>629.66475000000003</v>
      </c>
      <c r="G51" s="76">
        <f>+ROUND(F51/VLOOKUP("Grand Total",$B$4:$F$310,5,0),4)</f>
        <v>3.39E-2</v>
      </c>
      <c r="H51" s="76"/>
      <c r="I51" s="91" t="s">
        <v>388</v>
      </c>
      <c r="J51" s="101"/>
      <c r="L51" s="103"/>
    </row>
    <row r="52" spans="1:12" s="77" customFormat="1" ht="12.75" customHeight="1" x14ac:dyDescent="0.2">
      <c r="A52" s="77">
        <f t="shared" si="2"/>
        <v>41</v>
      </c>
      <c r="B52" s="77" t="s">
        <v>253</v>
      </c>
      <c r="C52" s="123" t="s">
        <v>584</v>
      </c>
      <c r="D52" s="77" t="s">
        <v>330</v>
      </c>
      <c r="E52" s="74">
        <v>-128700</v>
      </c>
      <c r="F52" s="80">
        <v>-634.16925000000003</v>
      </c>
      <c r="G52" s="76"/>
      <c r="H52" s="76">
        <f>+ROUND(F52/VLOOKUP("Grand Total",$B$4:$F$310,5,0),4)</f>
        <v>-3.4200000000000001E-2</v>
      </c>
      <c r="I52" s="104">
        <v>43097</v>
      </c>
      <c r="J52" s="101"/>
      <c r="L52" s="103"/>
    </row>
    <row r="53" spans="1:12" s="65" customFormat="1" ht="12.75" customHeight="1" x14ac:dyDescent="0.2">
      <c r="A53" s="77">
        <f t="shared" si="2"/>
        <v>42</v>
      </c>
      <c r="B53" s="77" t="s">
        <v>305</v>
      </c>
      <c r="C53" s="77" t="s">
        <v>183</v>
      </c>
      <c r="D53" s="77" t="s">
        <v>103</v>
      </c>
      <c r="E53" s="74">
        <v>62000</v>
      </c>
      <c r="F53" s="80">
        <v>539.15200000000004</v>
      </c>
      <c r="G53" s="76">
        <f>+ROUND(F53/VLOOKUP("Grand Total",$B$4:$F$310,5,0),4)</f>
        <v>2.9100000000000001E-2</v>
      </c>
      <c r="H53" s="76"/>
      <c r="I53" s="91" t="s">
        <v>388</v>
      </c>
      <c r="J53" s="101"/>
      <c r="K53" s="90"/>
      <c r="L53" s="103"/>
    </row>
    <row r="54" spans="1:12" s="77" customFormat="1" ht="12.75" customHeight="1" x14ac:dyDescent="0.2">
      <c r="A54" s="77">
        <f t="shared" si="2"/>
        <v>43</v>
      </c>
      <c r="B54" s="77" t="s">
        <v>305</v>
      </c>
      <c r="C54" s="123" t="s">
        <v>584</v>
      </c>
      <c r="D54" s="77" t="s">
        <v>330</v>
      </c>
      <c r="E54" s="74">
        <v>-62000</v>
      </c>
      <c r="F54" s="80">
        <v>-542.06600000000003</v>
      </c>
      <c r="G54" s="76"/>
      <c r="H54" s="76">
        <f>+ROUND(F54/VLOOKUP("Grand Total",$B$4:$F$310,5,0),4)</f>
        <v>-2.92E-2</v>
      </c>
      <c r="I54" s="104">
        <v>43097</v>
      </c>
      <c r="J54" s="101"/>
      <c r="L54" s="103"/>
    </row>
    <row r="55" spans="1:12" s="65" customFormat="1" ht="12.75" customHeight="1" x14ac:dyDescent="0.2">
      <c r="A55" s="77">
        <f t="shared" si="2"/>
        <v>44</v>
      </c>
      <c r="B55" s="77" t="s">
        <v>455</v>
      </c>
      <c r="C55" s="65" t="s">
        <v>68</v>
      </c>
      <c r="D55" s="77" t="s">
        <v>22</v>
      </c>
      <c r="E55" s="74">
        <v>98400</v>
      </c>
      <c r="F55" s="80">
        <v>531.31080000000009</v>
      </c>
      <c r="G55" s="76">
        <f>+ROUND(F55/VLOOKUP("Grand Total",$B$4:$F$310,5,0),4)</f>
        <v>2.86E-2</v>
      </c>
      <c r="H55" s="76"/>
      <c r="I55" s="91" t="s">
        <v>388</v>
      </c>
      <c r="J55" s="101"/>
      <c r="K55" s="90"/>
      <c r="L55" s="103"/>
    </row>
    <row r="56" spans="1:12" s="77" customFormat="1" ht="12.75" customHeight="1" x14ac:dyDescent="0.2">
      <c r="A56" s="77">
        <f t="shared" si="2"/>
        <v>45</v>
      </c>
      <c r="B56" s="77" t="s">
        <v>455</v>
      </c>
      <c r="C56" s="123" t="s">
        <v>584</v>
      </c>
      <c r="D56" s="77" t="s">
        <v>330</v>
      </c>
      <c r="E56" s="74">
        <v>-98400</v>
      </c>
      <c r="F56" s="80">
        <v>-535.00080000000003</v>
      </c>
      <c r="G56" s="76"/>
      <c r="H56" s="76">
        <f>+ROUND(F56/VLOOKUP("Grand Total",$B$4:$F$310,5,0),4)</f>
        <v>-2.8799999999999999E-2</v>
      </c>
      <c r="I56" s="104">
        <v>43097</v>
      </c>
      <c r="J56" s="101"/>
      <c r="L56" s="103"/>
    </row>
    <row r="57" spans="1:12" s="65" customFormat="1" ht="12.75" customHeight="1" x14ac:dyDescent="0.2">
      <c r="A57" s="77">
        <f t="shared" si="2"/>
        <v>46</v>
      </c>
      <c r="B57" s="77" t="s">
        <v>213</v>
      </c>
      <c r="C57" s="65" t="s">
        <v>49</v>
      </c>
      <c r="D57" s="77" t="s">
        <v>20</v>
      </c>
      <c r="E57" s="74">
        <v>6000</v>
      </c>
      <c r="F57" s="80">
        <v>515.94600000000003</v>
      </c>
      <c r="G57" s="76">
        <f>+ROUND(F57/VLOOKUP("Grand Total",$B$4:$F$310,5,0),4)</f>
        <v>2.7799999999999998E-2</v>
      </c>
      <c r="H57" s="76"/>
      <c r="I57" s="91" t="s">
        <v>388</v>
      </c>
      <c r="J57" s="101"/>
      <c r="L57" s="103"/>
    </row>
    <row r="58" spans="1:12" s="77" customFormat="1" ht="12.75" customHeight="1" x14ac:dyDescent="0.2">
      <c r="A58" s="77">
        <f t="shared" si="2"/>
        <v>47</v>
      </c>
      <c r="B58" s="77" t="s">
        <v>213</v>
      </c>
      <c r="C58" s="123" t="s">
        <v>584</v>
      </c>
      <c r="D58" s="77" t="s">
        <v>330</v>
      </c>
      <c r="E58" s="74">
        <v>-6000</v>
      </c>
      <c r="F58" s="80">
        <v>-517.58399999999995</v>
      </c>
      <c r="G58" s="76"/>
      <c r="H58" s="76">
        <f>+ROUND(F58/VLOOKUP("Grand Total",$B$4:$F$310,5,0),4)</f>
        <v>-2.7900000000000001E-2</v>
      </c>
      <c r="I58" s="104">
        <v>43097</v>
      </c>
      <c r="J58" s="101"/>
      <c r="L58" s="103"/>
    </row>
    <row r="59" spans="1:12" s="65" customFormat="1" ht="12.75" customHeight="1" x14ac:dyDescent="0.2">
      <c r="A59" s="77">
        <f t="shared" si="2"/>
        <v>48</v>
      </c>
      <c r="B59" s="77" t="s">
        <v>608</v>
      </c>
      <c r="C59" s="77" t="s">
        <v>609</v>
      </c>
      <c r="D59" s="77" t="s">
        <v>24</v>
      </c>
      <c r="E59" s="74">
        <v>354000</v>
      </c>
      <c r="F59" s="80">
        <v>427.80900000000003</v>
      </c>
      <c r="G59" s="76">
        <f>+ROUND(F59/VLOOKUP("Grand Total",$B$4:$F$310,5,0),4)</f>
        <v>2.3099999999999999E-2</v>
      </c>
      <c r="H59" s="76"/>
      <c r="I59" s="91" t="s">
        <v>388</v>
      </c>
      <c r="J59" s="101"/>
      <c r="L59" s="103"/>
    </row>
    <row r="60" spans="1:12" s="77" customFormat="1" ht="12.75" customHeight="1" x14ac:dyDescent="0.2">
      <c r="A60" s="77">
        <f t="shared" si="2"/>
        <v>49</v>
      </c>
      <c r="B60" s="77" t="s">
        <v>608</v>
      </c>
      <c r="C60" s="123" t="s">
        <v>584</v>
      </c>
      <c r="D60" s="77" t="s">
        <v>330</v>
      </c>
      <c r="E60" s="74">
        <v>-354000</v>
      </c>
      <c r="F60" s="80">
        <v>-431.34899999999999</v>
      </c>
      <c r="G60" s="76"/>
      <c r="H60" s="76">
        <f>+ROUND(F60/VLOOKUP("Grand Total",$B$4:$F$310,5,0),4)</f>
        <v>-2.3300000000000001E-2</v>
      </c>
      <c r="I60" s="104">
        <v>43097</v>
      </c>
      <c r="J60" s="101"/>
      <c r="L60" s="103"/>
    </row>
    <row r="61" spans="1:12" s="65" customFormat="1" ht="12.75" customHeight="1" x14ac:dyDescent="0.2">
      <c r="A61" s="77">
        <f t="shared" si="2"/>
        <v>50</v>
      </c>
      <c r="B61" s="77" t="s">
        <v>204</v>
      </c>
      <c r="C61" s="65" t="s">
        <v>35</v>
      </c>
      <c r="D61" s="77" t="s">
        <v>18</v>
      </c>
      <c r="E61" s="74">
        <v>29700</v>
      </c>
      <c r="F61" s="80">
        <v>389.6343</v>
      </c>
      <c r="G61" s="76">
        <f>+ROUND(F61/VLOOKUP("Grand Total",$B$4:$F$310,5,0),4)</f>
        <v>2.1000000000000001E-2</v>
      </c>
      <c r="H61" s="76"/>
      <c r="I61" s="91" t="s">
        <v>388</v>
      </c>
      <c r="J61" s="101"/>
      <c r="L61" s="103"/>
    </row>
    <row r="62" spans="1:12" s="77" customFormat="1" ht="12.75" customHeight="1" x14ac:dyDescent="0.2">
      <c r="A62" s="77">
        <f t="shared" si="2"/>
        <v>51</v>
      </c>
      <c r="B62" s="77" t="s">
        <v>204</v>
      </c>
      <c r="C62" s="123" t="s">
        <v>584</v>
      </c>
      <c r="D62" s="77" t="s">
        <v>330</v>
      </c>
      <c r="E62" s="74">
        <v>-29700</v>
      </c>
      <c r="F62" s="80">
        <v>-392.05484999999999</v>
      </c>
      <c r="G62" s="76"/>
      <c r="H62" s="76">
        <f>+ROUND(F62/VLOOKUP("Grand Total",$B$4:$F$310,5,0),4)</f>
        <v>-2.1100000000000001E-2</v>
      </c>
      <c r="I62" s="104">
        <v>43097</v>
      </c>
      <c r="J62" s="101"/>
      <c r="L62" s="103"/>
    </row>
    <row r="63" spans="1:12" s="65" customFormat="1" ht="12.75" customHeight="1" x14ac:dyDescent="0.2">
      <c r="A63" s="77">
        <f t="shared" si="2"/>
        <v>52</v>
      </c>
      <c r="B63" s="77" t="s">
        <v>202</v>
      </c>
      <c r="C63" s="65" t="s">
        <v>39</v>
      </c>
      <c r="D63" s="77" t="s">
        <v>20</v>
      </c>
      <c r="E63" s="74">
        <v>9500</v>
      </c>
      <c r="F63" s="80">
        <v>314.02249999999998</v>
      </c>
      <c r="G63" s="76">
        <f>+ROUND(F63/VLOOKUP("Grand Total",$B$4:$F$310,5,0),4)</f>
        <v>1.6899999999999998E-2</v>
      </c>
      <c r="H63" s="76"/>
      <c r="I63" s="91" t="s">
        <v>388</v>
      </c>
      <c r="J63" s="101"/>
      <c r="L63" s="103"/>
    </row>
    <row r="64" spans="1:12" s="77" customFormat="1" ht="12.75" customHeight="1" x14ac:dyDescent="0.2">
      <c r="A64" s="77">
        <f t="shared" si="2"/>
        <v>53</v>
      </c>
      <c r="B64" s="77" t="s">
        <v>202</v>
      </c>
      <c r="C64" s="123" t="s">
        <v>584</v>
      </c>
      <c r="D64" s="77" t="s">
        <v>330</v>
      </c>
      <c r="E64" s="74">
        <v>-9500</v>
      </c>
      <c r="F64" s="80">
        <v>-315.42374999999998</v>
      </c>
      <c r="G64" s="76"/>
      <c r="H64" s="76">
        <f>+ROUND(F64/VLOOKUP("Grand Total",$B$4:$F$310,5,0),4)</f>
        <v>-1.7000000000000001E-2</v>
      </c>
      <c r="I64" s="104">
        <v>43097</v>
      </c>
      <c r="J64" s="101"/>
      <c r="L64" s="103"/>
    </row>
    <row r="65" spans="1:12" s="65" customFormat="1" ht="12.75" customHeight="1" x14ac:dyDescent="0.2">
      <c r="A65" s="77">
        <f t="shared" si="2"/>
        <v>54</v>
      </c>
      <c r="B65" s="77" t="s">
        <v>413</v>
      </c>
      <c r="C65" s="65" t="s">
        <v>131</v>
      </c>
      <c r="D65" s="77" t="s">
        <v>20</v>
      </c>
      <c r="E65" s="74">
        <v>105000</v>
      </c>
      <c r="F65" s="80">
        <v>243.02250000000001</v>
      </c>
      <c r="G65" s="76">
        <f>+ROUND(F65/VLOOKUP("Grand Total",$B$4:$F$310,5,0),4)</f>
        <v>1.3100000000000001E-2</v>
      </c>
      <c r="H65" s="76"/>
      <c r="I65" s="91" t="s">
        <v>388</v>
      </c>
      <c r="J65" s="101"/>
      <c r="L65" s="103"/>
    </row>
    <row r="66" spans="1:12" s="77" customFormat="1" ht="12.75" customHeight="1" x14ac:dyDescent="0.2">
      <c r="A66" s="77">
        <f t="shared" si="2"/>
        <v>55</v>
      </c>
      <c r="B66" s="77" t="s">
        <v>413</v>
      </c>
      <c r="C66" s="123" t="s">
        <v>584</v>
      </c>
      <c r="D66" s="77" t="s">
        <v>330</v>
      </c>
      <c r="E66" s="74">
        <v>-105000</v>
      </c>
      <c r="F66" s="80">
        <v>-244.38749999999999</v>
      </c>
      <c r="G66" s="76"/>
      <c r="H66" s="76">
        <f>+ROUND(F66/VLOOKUP("Grand Total",$B$4:$F$310,5,0),4)</f>
        <v>-1.32E-2</v>
      </c>
      <c r="I66" s="104">
        <v>43097</v>
      </c>
      <c r="J66" s="101"/>
      <c r="L66" s="103"/>
    </row>
    <row r="67" spans="1:12" s="65" customFormat="1" ht="12.75" customHeight="1" x14ac:dyDescent="0.2">
      <c r="A67" s="77">
        <f t="shared" si="2"/>
        <v>56</v>
      </c>
      <c r="B67" s="77" t="s">
        <v>610</v>
      </c>
      <c r="C67" s="77" t="s">
        <v>611</v>
      </c>
      <c r="D67" s="77" t="s">
        <v>30</v>
      </c>
      <c r="E67" s="74">
        <v>43500</v>
      </c>
      <c r="F67" s="80">
        <v>184.875</v>
      </c>
      <c r="G67" s="76">
        <f>+ROUND(F67/VLOOKUP("Grand Total",$B$4:$F$310,5,0),4)</f>
        <v>0.01</v>
      </c>
      <c r="H67" s="76"/>
      <c r="I67" s="91" t="s">
        <v>388</v>
      </c>
      <c r="J67" s="101"/>
      <c r="L67" s="103"/>
    </row>
    <row r="68" spans="1:12" s="77" customFormat="1" ht="12.75" customHeight="1" x14ac:dyDescent="0.2">
      <c r="A68" s="77">
        <f t="shared" si="2"/>
        <v>57</v>
      </c>
      <c r="B68" s="77" t="s">
        <v>610</v>
      </c>
      <c r="C68" s="123" t="s">
        <v>584</v>
      </c>
      <c r="D68" s="77" t="s">
        <v>330</v>
      </c>
      <c r="E68" s="74">
        <v>-43500</v>
      </c>
      <c r="F68" s="80">
        <v>-186.07124999999999</v>
      </c>
      <c r="G68" s="76"/>
      <c r="H68" s="76">
        <f>+ROUND(F68/VLOOKUP("Grand Total",$B$4:$F$310,5,0),4)</f>
        <v>-0.01</v>
      </c>
      <c r="I68" s="104">
        <v>43097</v>
      </c>
      <c r="J68" s="101"/>
      <c r="L68" s="103"/>
    </row>
    <row r="69" spans="1:12" s="65" customFormat="1" ht="12.75" customHeight="1" x14ac:dyDescent="0.2">
      <c r="A69" s="77">
        <f t="shared" si="2"/>
        <v>58</v>
      </c>
      <c r="B69" s="77" t="s">
        <v>515</v>
      </c>
      <c r="C69" s="77" t="s">
        <v>516</v>
      </c>
      <c r="D69" s="77" t="s">
        <v>20</v>
      </c>
      <c r="E69" s="74">
        <v>24200</v>
      </c>
      <c r="F69" s="80">
        <v>173.81649999999999</v>
      </c>
      <c r="G69" s="76">
        <f>+ROUND(F69/VLOOKUP("Grand Total",$B$4:$F$310,5,0),4)</f>
        <v>9.4000000000000004E-3</v>
      </c>
      <c r="H69" s="76"/>
      <c r="I69" s="91" t="s">
        <v>388</v>
      </c>
      <c r="J69" s="101"/>
      <c r="L69" s="103"/>
    </row>
    <row r="70" spans="1:12" s="77" customFormat="1" ht="12.75" customHeight="1" x14ac:dyDescent="0.2">
      <c r="A70" s="77">
        <f t="shared" si="2"/>
        <v>59</v>
      </c>
      <c r="B70" s="77" t="s">
        <v>515</v>
      </c>
      <c r="C70" s="123" t="s">
        <v>584</v>
      </c>
      <c r="D70" s="77" t="s">
        <v>330</v>
      </c>
      <c r="E70" s="74">
        <v>-24200</v>
      </c>
      <c r="F70" s="80">
        <v>-174.5667</v>
      </c>
      <c r="G70" s="76"/>
      <c r="H70" s="76">
        <f>+ROUND(F70/VLOOKUP("Grand Total",$B$4:$F$310,5,0),4)</f>
        <v>-9.4000000000000004E-3</v>
      </c>
      <c r="I70" s="104">
        <v>43097</v>
      </c>
      <c r="J70" s="101"/>
      <c r="L70" s="103"/>
    </row>
    <row r="71" spans="1:12" s="65" customFormat="1" ht="12.75" customHeight="1" x14ac:dyDescent="0.2">
      <c r="A71" s="77">
        <f t="shared" si="2"/>
        <v>60</v>
      </c>
      <c r="B71" s="77" t="s">
        <v>225</v>
      </c>
      <c r="C71" s="65" t="s">
        <v>226</v>
      </c>
      <c r="D71" s="77" t="s">
        <v>37</v>
      </c>
      <c r="E71" s="74">
        <v>25200</v>
      </c>
      <c r="F71" s="80">
        <v>171.28440000000001</v>
      </c>
      <c r="G71" s="76">
        <f>+ROUND(F71/VLOOKUP("Grand Total",$B$4:$F$310,5,0),4)</f>
        <v>9.1999999999999998E-3</v>
      </c>
      <c r="H71" s="76"/>
      <c r="I71" s="91" t="s">
        <v>388</v>
      </c>
      <c r="J71" s="101"/>
      <c r="L71" s="103"/>
    </row>
    <row r="72" spans="1:12" s="77" customFormat="1" ht="12.75" customHeight="1" x14ac:dyDescent="0.2">
      <c r="A72" s="77">
        <f t="shared" si="2"/>
        <v>61</v>
      </c>
      <c r="B72" s="77" t="s">
        <v>225</v>
      </c>
      <c r="C72" s="123" t="s">
        <v>584</v>
      </c>
      <c r="D72" s="77" t="s">
        <v>330</v>
      </c>
      <c r="E72" s="74">
        <v>-25200</v>
      </c>
      <c r="F72" s="80">
        <v>-172.41839999999999</v>
      </c>
      <c r="G72" s="76"/>
      <c r="H72" s="76">
        <f>+ROUND(F72/VLOOKUP("Grand Total",$B$4:$F$310,5,0),4)</f>
        <v>-9.2999999999999992E-3</v>
      </c>
      <c r="I72" s="104">
        <v>43097</v>
      </c>
      <c r="J72" s="101"/>
      <c r="L72" s="103"/>
    </row>
    <row r="73" spans="1:12" s="65" customFormat="1" ht="12.75" customHeight="1" x14ac:dyDescent="0.2">
      <c r="A73" s="77">
        <f t="shared" si="2"/>
        <v>62</v>
      </c>
      <c r="B73" s="77" t="s">
        <v>302</v>
      </c>
      <c r="C73" s="65" t="s">
        <v>182</v>
      </c>
      <c r="D73" s="77" t="s">
        <v>36</v>
      </c>
      <c r="E73" s="74">
        <v>35100</v>
      </c>
      <c r="F73" s="80">
        <v>154.42245</v>
      </c>
      <c r="G73" s="76">
        <f>+ROUND(F73/VLOOKUP("Grand Total",$B$4:$F$310,5,0),4)</f>
        <v>8.3000000000000001E-3</v>
      </c>
      <c r="H73" s="76"/>
      <c r="I73" s="91" t="s">
        <v>388</v>
      </c>
      <c r="J73" s="101"/>
      <c r="L73" s="103"/>
    </row>
    <row r="74" spans="1:12" s="77" customFormat="1" ht="12.75" customHeight="1" x14ac:dyDescent="0.2">
      <c r="A74" s="77">
        <f t="shared" si="2"/>
        <v>63</v>
      </c>
      <c r="B74" s="77" t="s">
        <v>302</v>
      </c>
      <c r="C74" s="123" t="s">
        <v>584</v>
      </c>
      <c r="D74" s="77" t="s">
        <v>330</v>
      </c>
      <c r="E74" s="74">
        <v>-35100</v>
      </c>
      <c r="F74" s="80">
        <v>-155.2473</v>
      </c>
      <c r="G74" s="76"/>
      <c r="H74" s="76">
        <f>+ROUND(F74/VLOOKUP("Grand Total",$B$4:$F$310,5,0),4)</f>
        <v>-8.3999999999999995E-3</v>
      </c>
      <c r="I74" s="104">
        <v>43097</v>
      </c>
      <c r="J74" s="101"/>
      <c r="L74" s="103"/>
    </row>
    <row r="75" spans="1:12" s="65" customFormat="1" ht="12.75" customHeight="1" x14ac:dyDescent="0.2">
      <c r="A75" s="77">
        <f t="shared" si="2"/>
        <v>64</v>
      </c>
      <c r="B75" s="77" t="s">
        <v>222</v>
      </c>
      <c r="C75" s="65" t="s">
        <v>74</v>
      </c>
      <c r="D75" s="77" t="s">
        <v>32</v>
      </c>
      <c r="E75" s="74">
        <v>45000</v>
      </c>
      <c r="F75" s="80">
        <v>103.3875</v>
      </c>
      <c r="G75" s="76">
        <f>+ROUND(F75/VLOOKUP("Grand Total",$B$4:$F$310,5,0),4)</f>
        <v>5.5999999999999999E-3</v>
      </c>
      <c r="H75" s="76"/>
      <c r="I75" s="91" t="s">
        <v>388</v>
      </c>
      <c r="J75" s="101"/>
      <c r="K75" s="90"/>
      <c r="L75" s="103"/>
    </row>
    <row r="76" spans="1:12" s="77" customFormat="1" ht="12.75" customHeight="1" x14ac:dyDescent="0.2">
      <c r="A76" s="77">
        <f t="shared" si="2"/>
        <v>65</v>
      </c>
      <c r="B76" s="77" t="s">
        <v>222</v>
      </c>
      <c r="C76" s="123" t="s">
        <v>584</v>
      </c>
      <c r="D76" s="77" t="s">
        <v>330</v>
      </c>
      <c r="E76" s="74">
        <v>-45000</v>
      </c>
      <c r="F76" s="80">
        <v>-104.0175</v>
      </c>
      <c r="G76" s="76"/>
      <c r="H76" s="76">
        <f>+ROUND(F76/VLOOKUP("Grand Total",$B$4:$F$310,5,0),4)</f>
        <v>-5.5999999999999999E-3</v>
      </c>
      <c r="I76" s="104">
        <v>43097</v>
      </c>
      <c r="J76" s="101"/>
      <c r="L76" s="103"/>
    </row>
    <row r="77" spans="1:12" s="65" customFormat="1" ht="12.75" customHeight="1" x14ac:dyDescent="0.2">
      <c r="A77" s="77">
        <f t="shared" si="2"/>
        <v>66</v>
      </c>
      <c r="B77" s="77" t="s">
        <v>362</v>
      </c>
      <c r="C77" s="65" t="s">
        <v>363</v>
      </c>
      <c r="D77" s="77" t="s">
        <v>24</v>
      </c>
      <c r="E77" s="74">
        <v>8000</v>
      </c>
      <c r="F77" s="80">
        <v>96.468000000000004</v>
      </c>
      <c r="G77" s="76">
        <f>+ROUND(F77/VLOOKUP("Grand Total",$B$4:$F$310,5,0),4)</f>
        <v>5.1999999999999998E-3</v>
      </c>
      <c r="H77" s="76"/>
      <c r="I77" s="91" t="s">
        <v>388</v>
      </c>
      <c r="J77" s="101"/>
      <c r="K77" s="90"/>
      <c r="L77" s="103"/>
    </row>
    <row r="78" spans="1:12" s="77" customFormat="1" ht="12.75" customHeight="1" x14ac:dyDescent="0.2">
      <c r="A78" s="77">
        <f t="shared" si="2"/>
        <v>67</v>
      </c>
      <c r="B78" s="77" t="s">
        <v>362</v>
      </c>
      <c r="C78" s="123" t="s">
        <v>584</v>
      </c>
      <c r="D78" s="77" t="s">
        <v>330</v>
      </c>
      <c r="E78" s="74">
        <v>-8000</v>
      </c>
      <c r="F78" s="80">
        <v>-96.971999999999994</v>
      </c>
      <c r="G78" s="76"/>
      <c r="H78" s="76">
        <f>+ROUND(F78/VLOOKUP("Grand Total",$B$4:$F$310,5,0),4)</f>
        <v>-5.1999999999999998E-3</v>
      </c>
      <c r="I78" s="104">
        <v>43097</v>
      </c>
      <c r="J78" s="101"/>
      <c r="L78" s="103"/>
    </row>
    <row r="79" spans="1:12" s="65" customFormat="1" ht="12.75" customHeight="1" x14ac:dyDescent="0.2">
      <c r="A79" s="77">
        <f t="shared" si="2"/>
        <v>68</v>
      </c>
      <c r="B79" s="77" t="s">
        <v>306</v>
      </c>
      <c r="C79" s="65" t="s">
        <v>185</v>
      </c>
      <c r="D79" s="77" t="s">
        <v>36</v>
      </c>
      <c r="E79" s="74">
        <v>192000</v>
      </c>
      <c r="F79" s="80">
        <v>72.959999999999994</v>
      </c>
      <c r="G79" s="76">
        <f>+ROUND(F79/VLOOKUP("Grand Total",$B$4:$F$310,5,0),4)</f>
        <v>3.8999999999999998E-3</v>
      </c>
      <c r="H79" s="76"/>
      <c r="I79" s="91" t="s">
        <v>388</v>
      </c>
      <c r="J79" s="101"/>
      <c r="K79" s="90"/>
      <c r="L79" s="103"/>
    </row>
    <row r="80" spans="1:12" s="77" customFormat="1" ht="12.75" customHeight="1" x14ac:dyDescent="0.2">
      <c r="A80" s="77">
        <f t="shared" si="2"/>
        <v>69</v>
      </c>
      <c r="B80" s="77" t="s">
        <v>306</v>
      </c>
      <c r="C80" s="123" t="s">
        <v>584</v>
      </c>
      <c r="D80" s="77" t="s">
        <v>330</v>
      </c>
      <c r="E80" s="74">
        <v>-192000</v>
      </c>
      <c r="F80" s="80">
        <v>-73.536000000000001</v>
      </c>
      <c r="G80" s="76"/>
      <c r="H80" s="76">
        <f>+ROUND(F80/VLOOKUP("Grand Total",$B$4:$F$310,5,0),4)</f>
        <v>-4.0000000000000001E-3</v>
      </c>
      <c r="I80" s="104">
        <v>43097</v>
      </c>
      <c r="J80" s="101"/>
      <c r="L80" s="103"/>
    </row>
    <row r="81" spans="1:12" s="65" customFormat="1" ht="12.75" customHeight="1" x14ac:dyDescent="0.2">
      <c r="A81" s="77">
        <f t="shared" si="2"/>
        <v>70</v>
      </c>
      <c r="B81" s="77" t="s">
        <v>570</v>
      </c>
      <c r="C81" s="65" t="s">
        <v>571</v>
      </c>
      <c r="D81" s="77" t="s">
        <v>26</v>
      </c>
      <c r="E81" s="74">
        <v>42000</v>
      </c>
      <c r="F81" s="80">
        <v>66.843000000000004</v>
      </c>
      <c r="G81" s="76">
        <f>+ROUND(F81/VLOOKUP("Grand Total",$B$4:$F$310,5,0),4)</f>
        <v>3.5999999999999999E-3</v>
      </c>
      <c r="H81" s="76"/>
      <c r="I81" s="91" t="s">
        <v>388</v>
      </c>
      <c r="J81" s="101"/>
      <c r="K81" s="90"/>
      <c r="L81" s="103"/>
    </row>
    <row r="82" spans="1:12" s="77" customFormat="1" ht="12.75" customHeight="1" x14ac:dyDescent="0.2">
      <c r="A82" s="77">
        <f t="shared" si="2"/>
        <v>71</v>
      </c>
      <c r="B82" s="77" t="s">
        <v>570</v>
      </c>
      <c r="C82" s="123" t="s">
        <v>584</v>
      </c>
      <c r="D82" s="77" t="s">
        <v>330</v>
      </c>
      <c r="E82" s="74">
        <v>-42000</v>
      </c>
      <c r="F82" s="80">
        <v>-67.346999999999994</v>
      </c>
      <c r="G82" s="76"/>
      <c r="H82" s="76">
        <f>+ROUND(F82/VLOOKUP("Grand Total",$B$4:$F$310,5,0),4)</f>
        <v>-3.5999999999999999E-3</v>
      </c>
      <c r="I82" s="104">
        <v>43097</v>
      </c>
      <c r="J82" s="101"/>
      <c r="L82" s="103"/>
    </row>
    <row r="83" spans="1:12" s="65" customFormat="1" ht="12.75" customHeight="1" x14ac:dyDescent="0.2">
      <c r="A83" s="77">
        <f t="shared" si="2"/>
        <v>72</v>
      </c>
      <c r="B83" s="77" t="s">
        <v>205</v>
      </c>
      <c r="C83" s="65" t="s">
        <v>46</v>
      </c>
      <c r="D83" s="77" t="s">
        <v>26</v>
      </c>
      <c r="E83" s="74">
        <v>14400</v>
      </c>
      <c r="F83" s="80">
        <v>36.871200000000002</v>
      </c>
      <c r="G83" s="76">
        <f>+ROUND(F83/VLOOKUP("Grand Total",$B$4:$F$310,5,0),4)</f>
        <v>2E-3</v>
      </c>
      <c r="H83" s="76"/>
      <c r="I83" s="91" t="s">
        <v>388</v>
      </c>
      <c r="J83" s="101"/>
      <c r="L83" s="103"/>
    </row>
    <row r="84" spans="1:12" s="77" customFormat="1" ht="12.75" customHeight="1" x14ac:dyDescent="0.2">
      <c r="A84" s="77">
        <f t="shared" si="2"/>
        <v>73</v>
      </c>
      <c r="B84" s="77" t="s">
        <v>205</v>
      </c>
      <c r="C84" s="123" t="s">
        <v>584</v>
      </c>
      <c r="D84" s="77" t="s">
        <v>330</v>
      </c>
      <c r="E84" s="74">
        <v>-14400</v>
      </c>
      <c r="F84" s="80">
        <v>-37.123199999999997</v>
      </c>
      <c r="G84" s="76"/>
      <c r="H84" s="76">
        <f>+ROUND(F84/VLOOKUP("Grand Total",$B$4:$F$310,5,0),4)</f>
        <v>-2E-3</v>
      </c>
      <c r="I84" s="104">
        <v>43097</v>
      </c>
      <c r="J84" s="101"/>
      <c r="L84" s="103"/>
    </row>
    <row r="85" spans="1:12" s="65" customFormat="1" ht="12.75" customHeight="1" x14ac:dyDescent="0.2">
      <c r="A85" s="77">
        <f t="shared" si="2"/>
        <v>74</v>
      </c>
      <c r="B85" s="77" t="s">
        <v>301</v>
      </c>
      <c r="C85" s="65" t="s">
        <v>179</v>
      </c>
      <c r="D85" s="77" t="s">
        <v>51</v>
      </c>
      <c r="E85" s="74">
        <v>24000</v>
      </c>
      <c r="F85" s="80">
        <v>30.623999999999999</v>
      </c>
      <c r="G85" s="76">
        <f>+ROUND(F85/VLOOKUP("Grand Total",$B$4:$F$310,5,0),4)</f>
        <v>1.6999999999999999E-3</v>
      </c>
      <c r="H85" s="76"/>
      <c r="I85" s="91" t="s">
        <v>388</v>
      </c>
      <c r="J85" s="101"/>
      <c r="K85" s="90"/>
      <c r="L85" s="103"/>
    </row>
    <row r="86" spans="1:12" s="77" customFormat="1" ht="12.75" customHeight="1" x14ac:dyDescent="0.2">
      <c r="A86" s="77">
        <f t="shared" si="2"/>
        <v>75</v>
      </c>
      <c r="B86" s="77" t="s">
        <v>301</v>
      </c>
      <c r="C86" s="123" t="s">
        <v>584</v>
      </c>
      <c r="D86" s="77" t="s">
        <v>330</v>
      </c>
      <c r="E86" s="74">
        <v>-24000</v>
      </c>
      <c r="F86" s="80">
        <v>-30.78</v>
      </c>
      <c r="G86" s="76"/>
      <c r="H86" s="76">
        <f>+ROUND(F86/VLOOKUP("Grand Total",$B$4:$F$310,5,0),4)</f>
        <v>-1.6999999999999999E-3</v>
      </c>
      <c r="I86" s="104">
        <v>43097</v>
      </c>
      <c r="J86" s="101"/>
      <c r="L86" s="103"/>
    </row>
    <row r="87" spans="1:12" s="46" customFormat="1" ht="12.75" customHeight="1" x14ac:dyDescent="0.2">
      <c r="A87"/>
      <c r="B87" s="18" t="s">
        <v>86</v>
      </c>
      <c r="C87" s="18"/>
      <c r="D87" s="18"/>
      <c r="E87" s="19"/>
      <c r="F87" s="19">
        <f>+F45+F47+F49+F51+F53+F55+F57+F59+F61+F63+F65+F67+F69+F71+F73+F75+F77+F79+F81+F83+F85</f>
        <v>8444.1515999999992</v>
      </c>
      <c r="G87" s="79">
        <f>+G45+G47+G49+G51+G53+G55+G57+G59+G61+G63+G65+G67+G69+G71+G73+G75+G77+G79+G81+G83+G85</f>
        <v>0.45519999999999994</v>
      </c>
      <c r="H87" s="79">
        <f>SUM(H45:H86)</f>
        <v>-0.45789999999999997</v>
      </c>
      <c r="I87" s="21"/>
      <c r="J87" s="56"/>
      <c r="L87" s="48"/>
    </row>
    <row r="88" spans="1:12" ht="12.75" customHeight="1" x14ac:dyDescent="0.2">
      <c r="F88" s="28"/>
      <c r="G88" s="28"/>
      <c r="H88" s="14"/>
      <c r="I88" s="15"/>
      <c r="J88" s="56"/>
    </row>
    <row r="89" spans="1:12" s="46" customFormat="1" ht="12.75" customHeight="1" x14ac:dyDescent="0.2">
      <c r="A89"/>
      <c r="B89" s="16" t="s">
        <v>92</v>
      </c>
      <c r="C89" s="16"/>
      <c r="D89"/>
      <c r="E89" s="28"/>
      <c r="F89" s="13"/>
      <c r="G89" s="14"/>
      <c r="H89" s="14"/>
      <c r="I89" s="15"/>
      <c r="J89" s="56"/>
      <c r="L89" s="48"/>
    </row>
    <row r="90" spans="1:12" s="46" customFormat="1" ht="12.75" customHeight="1" x14ac:dyDescent="0.2">
      <c r="A90"/>
      <c r="B90" s="16" t="s">
        <v>314</v>
      </c>
      <c r="C90" s="16"/>
      <c r="D90"/>
      <c r="E90" s="28"/>
      <c r="F90" s="13"/>
      <c r="G90" s="14"/>
      <c r="H90" s="14"/>
      <c r="I90" s="15"/>
      <c r="J90" s="56"/>
      <c r="K90"/>
      <c r="L90" s="36"/>
    </row>
    <row r="91" spans="1:12" s="46" customFormat="1" ht="12.75" customHeight="1" x14ac:dyDescent="0.2">
      <c r="A91" s="77">
        <f>+MAX($A$8:A90)+1</f>
        <v>76</v>
      </c>
      <c r="B91" t="s">
        <v>297</v>
      </c>
      <c r="C91" t="s">
        <v>694</v>
      </c>
      <c r="D91" t="s">
        <v>659</v>
      </c>
      <c r="E91" s="28">
        <v>100</v>
      </c>
      <c r="F91" s="13">
        <v>492.19349999999997</v>
      </c>
      <c r="G91" s="76">
        <f>+ROUND(F91/VLOOKUP("Grand Total",$B$4:$F$310,5,0),4)</f>
        <v>2.6499999999999999E-2</v>
      </c>
      <c r="H91" s="76"/>
      <c r="I91" s="15">
        <v>43152</v>
      </c>
      <c r="J91" s="56"/>
      <c r="K91"/>
      <c r="L91" s="36"/>
    </row>
    <row r="92" spans="1:12" s="46" customFormat="1" ht="12.75" customHeight="1" x14ac:dyDescent="0.2">
      <c r="A92" s="77">
        <f>+MAX($A$8:A91)+1</f>
        <v>77</v>
      </c>
      <c r="B92" t="s">
        <v>297</v>
      </c>
      <c r="C92" t="s">
        <v>612</v>
      </c>
      <c r="D92" t="s">
        <v>659</v>
      </c>
      <c r="E92" s="28">
        <v>100</v>
      </c>
      <c r="F92" s="13">
        <v>470.44349999999997</v>
      </c>
      <c r="G92" s="76">
        <f>+ROUND(F92/VLOOKUP("Grand Total",$B$4:$F$310,5,0),4)</f>
        <v>2.5399999999999999E-2</v>
      </c>
      <c r="H92" s="76"/>
      <c r="I92" s="15">
        <v>43350</v>
      </c>
      <c r="J92" s="56"/>
      <c r="K92"/>
      <c r="L92" s="36"/>
    </row>
    <row r="93" spans="1:12" ht="12.75" customHeight="1" x14ac:dyDescent="0.2">
      <c r="B93" s="18" t="s">
        <v>86</v>
      </c>
      <c r="C93" s="18"/>
      <c r="D93" s="18"/>
      <c r="E93" s="29"/>
      <c r="F93" s="19">
        <f>SUM(F91:F92)</f>
        <v>962.63699999999994</v>
      </c>
      <c r="G93" s="20">
        <f>SUM(G91:G92)</f>
        <v>5.1900000000000002E-2</v>
      </c>
      <c r="H93" s="20"/>
      <c r="I93" s="21"/>
      <c r="J93" s="56"/>
    </row>
    <row r="94" spans="1:12" ht="12.75" customHeight="1" x14ac:dyDescent="0.2">
      <c r="F94" s="44"/>
      <c r="G94" s="14"/>
      <c r="H94" s="14"/>
      <c r="I94" s="15"/>
      <c r="J94" s="56"/>
    </row>
    <row r="95" spans="1:12" ht="12.75" customHeight="1" x14ac:dyDescent="0.2">
      <c r="B95" s="16" t="s">
        <v>170</v>
      </c>
      <c r="F95" s="13"/>
      <c r="G95" s="14"/>
      <c r="H95" s="14"/>
      <c r="I95" s="15"/>
      <c r="J95" s="56"/>
    </row>
    <row r="96" spans="1:12" ht="12.75" customHeight="1" x14ac:dyDescent="0.2">
      <c r="A96" s="77">
        <f>+MAX($A$8:A95)+1</f>
        <v>78</v>
      </c>
      <c r="B96" t="s">
        <v>695</v>
      </c>
      <c r="C96" t="s">
        <v>696</v>
      </c>
      <c r="D96" t="s">
        <v>420</v>
      </c>
      <c r="E96" s="28">
        <v>83000</v>
      </c>
      <c r="F96" s="13">
        <v>81.601034999999996</v>
      </c>
      <c r="G96" s="76">
        <f>+ROUND(F96/VLOOKUP("Grand Total",$B$4:$F$310,5,0),4)</f>
        <v>4.4000000000000003E-3</v>
      </c>
      <c r="H96" s="76"/>
      <c r="I96" s="15">
        <v>43172</v>
      </c>
      <c r="J96" s="55"/>
    </row>
    <row r="97" spans="1:13" s="46" customFormat="1" ht="12.75" customHeight="1" x14ac:dyDescent="0.2">
      <c r="A97"/>
      <c r="B97" s="18" t="s">
        <v>86</v>
      </c>
      <c r="C97" s="18"/>
      <c r="D97" s="18"/>
      <c r="E97" s="29"/>
      <c r="F97" s="19">
        <f>SUM(F96)</f>
        <v>81.601034999999996</v>
      </c>
      <c r="G97" s="20">
        <f>SUM(G96)</f>
        <v>4.4000000000000003E-3</v>
      </c>
      <c r="H97" s="20"/>
      <c r="I97" s="21"/>
      <c r="J97" s="55"/>
      <c r="K97" s="36"/>
      <c r="L97"/>
      <c r="M97"/>
    </row>
    <row r="98" spans="1:13" s="46" customFormat="1" ht="12.75" customHeight="1" x14ac:dyDescent="0.2">
      <c r="B98" s="67"/>
      <c r="C98" s="67"/>
      <c r="D98" s="67"/>
      <c r="E98" s="68"/>
      <c r="F98" s="69"/>
      <c r="G98" s="70"/>
      <c r="H98" s="70"/>
      <c r="I98" s="71"/>
      <c r="J98" s="55"/>
      <c r="K98" s="48"/>
    </row>
    <row r="99" spans="1:13" s="46" customFormat="1" ht="12.75" customHeight="1" x14ac:dyDescent="0.2">
      <c r="B99" s="31" t="s">
        <v>171</v>
      </c>
      <c r="C99" s="16"/>
      <c r="D99"/>
      <c r="E99" s="28"/>
      <c r="F99" s="13"/>
      <c r="G99" s="14"/>
      <c r="H99" s="14"/>
      <c r="I99" s="71"/>
      <c r="J99" s="55"/>
      <c r="K99" s="48"/>
    </row>
    <row r="100" spans="1:13" s="46" customFormat="1" ht="12.75" customHeight="1" x14ac:dyDescent="0.2">
      <c r="A100" s="77">
        <f>+MAX($A$8:A99)+1</f>
        <v>79</v>
      </c>
      <c r="B100" s="65" t="s">
        <v>496</v>
      </c>
      <c r="C100" s="93" t="s">
        <v>497</v>
      </c>
      <c r="D100" t="s">
        <v>420</v>
      </c>
      <c r="E100" s="28">
        <v>500000</v>
      </c>
      <c r="F100" s="13">
        <v>498.90750000000003</v>
      </c>
      <c r="G100" s="76">
        <f>+ROUND(F100/VLOOKUP("Grand Total",$B$4:$F$310,5,0),4)</f>
        <v>2.69E-2</v>
      </c>
      <c r="H100" s="76"/>
      <c r="I100" s="64">
        <v>44914</v>
      </c>
      <c r="J100" s="55"/>
      <c r="K100" s="48"/>
    </row>
    <row r="101" spans="1:13" s="46" customFormat="1" ht="12.75" customHeight="1" x14ac:dyDescent="0.2">
      <c r="A101" s="77">
        <f>+MAX($A$8:A100)+1</f>
        <v>80</v>
      </c>
      <c r="B101" s="65" t="s">
        <v>698</v>
      </c>
      <c r="C101" s="93" t="s">
        <v>699</v>
      </c>
      <c r="D101" t="s">
        <v>420</v>
      </c>
      <c r="E101" s="28">
        <v>200000</v>
      </c>
      <c r="F101" s="13">
        <v>196.32939999999999</v>
      </c>
      <c r="G101" s="76">
        <f>+ROUND(F101/VLOOKUP("Grand Total",$B$4:$F$310,5,0),4)</f>
        <v>1.06E-2</v>
      </c>
      <c r="H101" s="76"/>
      <c r="I101" s="64">
        <v>46522</v>
      </c>
      <c r="J101" s="55"/>
      <c r="K101" s="48"/>
    </row>
    <row r="102" spans="1:13" s="46" customFormat="1" ht="12.75" customHeight="1" x14ac:dyDescent="0.2">
      <c r="A102" s="77">
        <f>+MAX($A$8:A101)+1</f>
        <v>81</v>
      </c>
      <c r="B102" s="65" t="s">
        <v>517</v>
      </c>
      <c r="C102" s="93" t="s">
        <v>518</v>
      </c>
      <c r="D102" t="s">
        <v>420</v>
      </c>
      <c r="E102" s="28">
        <v>100000</v>
      </c>
      <c r="F102" s="13">
        <v>103.25279999999999</v>
      </c>
      <c r="G102" s="76">
        <f>+ROUND(F102/VLOOKUP("Grand Total",$B$4:$F$310,5,0),4)</f>
        <v>5.5999999999999999E-3</v>
      </c>
      <c r="H102" s="76"/>
      <c r="I102" s="64">
        <v>45275</v>
      </c>
      <c r="J102" s="55"/>
      <c r="K102" s="48"/>
    </row>
    <row r="103" spans="1:13" ht="12.75" customHeight="1" x14ac:dyDescent="0.2">
      <c r="A103" s="46"/>
      <c r="B103" s="18" t="s">
        <v>86</v>
      </c>
      <c r="C103" s="18"/>
      <c r="D103" s="18"/>
      <c r="E103" s="29"/>
      <c r="F103" s="19">
        <f>SUM(F100:F102)</f>
        <v>798.48969999999997</v>
      </c>
      <c r="G103" s="20">
        <f>SUM(G100:G102)</f>
        <v>4.3099999999999999E-2</v>
      </c>
      <c r="H103" s="20"/>
      <c r="I103" s="63"/>
      <c r="J103" s="56"/>
      <c r="K103" s="48"/>
      <c r="L103" s="46"/>
      <c r="M103" s="46"/>
    </row>
    <row r="104" spans="1:13" s="46" customFormat="1" ht="12.75" customHeight="1" x14ac:dyDescent="0.2">
      <c r="B104" s="67"/>
      <c r="C104" s="67"/>
      <c r="D104" s="67"/>
      <c r="E104" s="68"/>
      <c r="F104" s="69"/>
      <c r="G104" s="70"/>
      <c r="H104" s="70"/>
      <c r="I104" s="71"/>
      <c r="J104" s="55"/>
      <c r="K104" s="48"/>
    </row>
    <row r="105" spans="1:13" s="46" customFormat="1" ht="12.75" customHeight="1" x14ac:dyDescent="0.2">
      <c r="B105" s="16" t="s">
        <v>126</v>
      </c>
      <c r="C105" s="67"/>
      <c r="D105" s="67"/>
      <c r="E105" s="68"/>
      <c r="F105" s="70"/>
      <c r="G105" s="70"/>
      <c r="H105" s="70"/>
      <c r="I105" s="71"/>
      <c r="J105" s="56"/>
      <c r="L105" s="48"/>
    </row>
    <row r="106" spans="1:13" s="46" customFormat="1" ht="12.75" customHeight="1" x14ac:dyDescent="0.2">
      <c r="B106" s="31" t="s">
        <v>313</v>
      </c>
      <c r="C106" s="16"/>
      <c r="D106"/>
      <c r="E106" s="28"/>
      <c r="F106" s="13"/>
      <c r="G106" s="14"/>
      <c r="H106" s="14"/>
      <c r="I106" s="71"/>
      <c r="J106" s="55"/>
      <c r="K106" s="48"/>
    </row>
    <row r="107" spans="1:13" s="46" customFormat="1" ht="12.75" customHeight="1" x14ac:dyDescent="0.2">
      <c r="A107" s="77">
        <f>+MAX($A$8:A106)+1</f>
        <v>82</v>
      </c>
      <c r="B107" s="65" t="s">
        <v>519</v>
      </c>
      <c r="C107" s="93" t="s">
        <v>520</v>
      </c>
      <c r="D107" t="s">
        <v>298</v>
      </c>
      <c r="E107" s="28">
        <v>55</v>
      </c>
      <c r="F107" s="13">
        <v>550.76340000000005</v>
      </c>
      <c r="G107" s="76">
        <f t="shared" ref="G107:G115" si="3">+ROUND(F107/VLOOKUP("Grand Total",$B$4:$F$310,5,0),4)</f>
        <v>2.9700000000000001E-2</v>
      </c>
      <c r="H107" s="76"/>
      <c r="I107" s="64">
        <v>43630</v>
      </c>
      <c r="J107" s="55"/>
      <c r="K107" s="48"/>
    </row>
    <row r="108" spans="1:13" s="46" customFormat="1" ht="12.75" customHeight="1" x14ac:dyDescent="0.2">
      <c r="A108" s="77">
        <f>+MAX($A$8:A107)+1</f>
        <v>83</v>
      </c>
      <c r="B108" s="65" t="s">
        <v>572</v>
      </c>
      <c r="C108" s="93" t="s">
        <v>549</v>
      </c>
      <c r="D108" t="s">
        <v>476</v>
      </c>
      <c r="E108" s="28">
        <v>40</v>
      </c>
      <c r="F108" s="13">
        <v>399.49160000000001</v>
      </c>
      <c r="G108" s="76">
        <f t="shared" si="3"/>
        <v>2.1499999999999998E-2</v>
      </c>
      <c r="H108" s="76"/>
      <c r="I108" s="64">
        <v>43671</v>
      </c>
      <c r="J108" s="55"/>
      <c r="K108" s="48"/>
    </row>
    <row r="109" spans="1:13" s="46" customFormat="1" ht="12.75" customHeight="1" x14ac:dyDescent="0.2">
      <c r="A109" s="77">
        <f>+MAX($A$8:A108)+1</f>
        <v>84</v>
      </c>
      <c r="B109" s="65" t="s">
        <v>364</v>
      </c>
      <c r="C109" s="93" t="s">
        <v>365</v>
      </c>
      <c r="D109" t="s">
        <v>573</v>
      </c>
      <c r="E109" s="28">
        <v>33</v>
      </c>
      <c r="F109" s="13">
        <v>332.80928999999998</v>
      </c>
      <c r="G109" s="76">
        <f t="shared" si="3"/>
        <v>1.7899999999999999E-2</v>
      </c>
      <c r="H109" s="76"/>
      <c r="I109" s="64">
        <v>43309</v>
      </c>
      <c r="J109" s="55"/>
      <c r="K109" s="48"/>
    </row>
    <row r="110" spans="1:13" s="46" customFormat="1" ht="12.75" customHeight="1" x14ac:dyDescent="0.2">
      <c r="A110" s="77">
        <f>+MAX($A$8:A109)+1</f>
        <v>85</v>
      </c>
      <c r="B110" s="65" t="s">
        <v>374</v>
      </c>
      <c r="C110" s="93" t="s">
        <v>462</v>
      </c>
      <c r="D110" t="s">
        <v>376</v>
      </c>
      <c r="E110" s="28">
        <v>30000</v>
      </c>
      <c r="F110" s="13">
        <v>304.35629999999998</v>
      </c>
      <c r="G110" s="76">
        <f t="shared" si="3"/>
        <v>1.6400000000000001E-2</v>
      </c>
      <c r="H110" s="76"/>
      <c r="I110" s="64">
        <v>43693</v>
      </c>
      <c r="J110" s="55"/>
      <c r="K110" s="48"/>
    </row>
    <row r="111" spans="1:13" s="46" customFormat="1" ht="12.75" customHeight="1" x14ac:dyDescent="0.2">
      <c r="A111" s="77">
        <f>+MAX($A$8:A110)+1</f>
        <v>86</v>
      </c>
      <c r="B111" s="65" t="s">
        <v>697</v>
      </c>
      <c r="C111" s="93" t="s">
        <v>473</v>
      </c>
      <c r="D111" t="s">
        <v>176</v>
      </c>
      <c r="E111" s="28">
        <v>30</v>
      </c>
      <c r="F111" s="13">
        <v>302.56049999999999</v>
      </c>
      <c r="G111" s="76">
        <f t="shared" si="3"/>
        <v>1.6299999999999999E-2</v>
      </c>
      <c r="H111" s="76"/>
      <c r="I111" s="64">
        <v>43678</v>
      </c>
      <c r="J111" s="55"/>
      <c r="K111" s="48"/>
    </row>
    <row r="112" spans="1:13" s="46" customFormat="1" ht="12.75" customHeight="1" x14ac:dyDescent="0.2">
      <c r="A112" s="77">
        <f>+MAX($A$8:A111)+1</f>
        <v>87</v>
      </c>
      <c r="B112" s="65" t="s">
        <v>374</v>
      </c>
      <c r="C112" s="93" t="s">
        <v>574</v>
      </c>
      <c r="D112" t="s">
        <v>376</v>
      </c>
      <c r="E112" s="28">
        <v>20000</v>
      </c>
      <c r="F112" s="13">
        <v>203.06639999999999</v>
      </c>
      <c r="G112" s="76">
        <f t="shared" si="3"/>
        <v>1.09E-2</v>
      </c>
      <c r="H112" s="76"/>
      <c r="I112" s="64">
        <v>43717</v>
      </c>
      <c r="J112" s="55"/>
      <c r="K112" s="48"/>
    </row>
    <row r="113" spans="1:13" s="46" customFormat="1" ht="12.75" customHeight="1" x14ac:dyDescent="0.2">
      <c r="A113" s="77">
        <f>+MAX($A$8:A112)+1</f>
        <v>88</v>
      </c>
      <c r="B113" s="65" t="s">
        <v>441</v>
      </c>
      <c r="C113" s="93" t="s">
        <v>442</v>
      </c>
      <c r="D113" t="s">
        <v>376</v>
      </c>
      <c r="E113" s="28">
        <v>20</v>
      </c>
      <c r="F113" s="13">
        <v>201.4222</v>
      </c>
      <c r="G113" s="76">
        <f t="shared" si="3"/>
        <v>1.09E-2</v>
      </c>
      <c r="H113" s="76"/>
      <c r="I113" s="64">
        <v>43322</v>
      </c>
      <c r="J113" s="55"/>
      <c r="K113" s="48"/>
    </row>
    <row r="114" spans="1:13" s="46" customFormat="1" ht="12.75" customHeight="1" x14ac:dyDescent="0.2">
      <c r="A114" s="77">
        <f>+MAX($A$8:A113)+1</f>
        <v>89</v>
      </c>
      <c r="B114" s="65" t="s">
        <v>550</v>
      </c>
      <c r="C114" s="93" t="s">
        <v>551</v>
      </c>
      <c r="D114" t="s">
        <v>109</v>
      </c>
      <c r="E114" s="28">
        <v>20</v>
      </c>
      <c r="F114" s="13">
        <v>200.702</v>
      </c>
      <c r="G114" s="76">
        <f t="shared" si="3"/>
        <v>1.0800000000000001E-2</v>
      </c>
      <c r="H114" s="76"/>
      <c r="I114" s="64">
        <v>44091</v>
      </c>
      <c r="J114" s="55"/>
      <c r="K114" s="48"/>
    </row>
    <row r="115" spans="1:13" s="46" customFormat="1" ht="12.75" customHeight="1" x14ac:dyDescent="0.2">
      <c r="A115" s="77">
        <f>+MAX($A$8:A114)+1</f>
        <v>90</v>
      </c>
      <c r="B115" s="65" t="s">
        <v>547</v>
      </c>
      <c r="C115" s="93" t="s">
        <v>548</v>
      </c>
      <c r="D115" t="s">
        <v>109</v>
      </c>
      <c r="E115" s="28">
        <v>8</v>
      </c>
      <c r="F115" s="13">
        <v>102.9804</v>
      </c>
      <c r="G115" s="76">
        <f t="shared" si="3"/>
        <v>5.5999999999999999E-3</v>
      </c>
      <c r="H115" s="76"/>
      <c r="I115" s="64">
        <v>43757</v>
      </c>
      <c r="J115" s="55"/>
      <c r="K115" s="48"/>
    </row>
    <row r="116" spans="1:13" ht="12.75" customHeight="1" x14ac:dyDescent="0.2">
      <c r="A116" s="46"/>
      <c r="B116" s="18" t="s">
        <v>86</v>
      </c>
      <c r="C116" s="18"/>
      <c r="D116" s="18"/>
      <c r="E116" s="29"/>
      <c r="F116" s="19">
        <f>SUM(F107:F115)</f>
        <v>2598.15209</v>
      </c>
      <c r="G116" s="20">
        <f>SUM(G107:G115)</f>
        <v>0.13999999999999999</v>
      </c>
      <c r="H116" s="20"/>
      <c r="I116" s="63"/>
      <c r="J116" s="56"/>
      <c r="K116" s="48"/>
      <c r="L116" s="46"/>
      <c r="M116" s="46"/>
    </row>
    <row r="117" spans="1:13" ht="12.75" customHeight="1" x14ac:dyDescent="0.2">
      <c r="F117" s="44"/>
      <c r="G117" s="14"/>
      <c r="H117" s="14"/>
      <c r="I117" s="15"/>
      <c r="J117" s="56"/>
      <c r="K117" s="36"/>
      <c r="L117"/>
    </row>
    <row r="118" spans="1:13" ht="12.75" customHeight="1" x14ac:dyDescent="0.2">
      <c r="B118" s="16" t="s">
        <v>93</v>
      </c>
      <c r="C118" s="16"/>
      <c r="F118" s="13"/>
      <c r="G118" s="14"/>
      <c r="H118" s="14"/>
      <c r="I118" s="73"/>
      <c r="J118"/>
      <c r="K118" s="36"/>
      <c r="L118"/>
    </row>
    <row r="119" spans="1:13" ht="12.75" customHeight="1" x14ac:dyDescent="0.2">
      <c r="A119" s="77">
        <f>+MAX($A$8:A118)+1</f>
        <v>91</v>
      </c>
      <c r="B119" t="s">
        <v>472</v>
      </c>
      <c r="C119" t="s">
        <v>367</v>
      </c>
      <c r="D119" t="s">
        <v>327</v>
      </c>
      <c r="E119" s="28">
        <v>42992.714500000002</v>
      </c>
      <c r="F119" s="13">
        <v>708.696549</v>
      </c>
      <c r="G119" s="76">
        <f>+ROUND(F119/VLOOKUP("Grand Total",$B$4:$F$310,5,0),4)</f>
        <v>3.8199999999999998E-2</v>
      </c>
      <c r="H119" s="76"/>
      <c r="I119" s="73" t="s">
        <v>388</v>
      </c>
      <c r="J119"/>
      <c r="K119" s="36"/>
      <c r="L119"/>
    </row>
    <row r="120" spans="1:13" ht="12.75" customHeight="1" x14ac:dyDescent="0.2">
      <c r="B120" s="18" t="s">
        <v>86</v>
      </c>
      <c r="C120" s="18"/>
      <c r="D120" s="18"/>
      <c r="E120" s="29"/>
      <c r="F120" s="19">
        <f>SUM(F119:F119)</f>
        <v>708.696549</v>
      </c>
      <c r="G120" s="20">
        <f>SUM(G119)</f>
        <v>3.8199999999999998E-2</v>
      </c>
      <c r="H120" s="20"/>
      <c r="I120" s="21"/>
      <c r="J120"/>
      <c r="K120" s="36"/>
      <c r="L120"/>
    </row>
    <row r="121" spans="1:13" s="46" customFormat="1" ht="12.75" customHeight="1" x14ac:dyDescent="0.2">
      <c r="B121" s="67"/>
      <c r="C121" s="67"/>
      <c r="D121" s="67"/>
      <c r="E121" s="68"/>
      <c r="F121" s="69"/>
      <c r="G121" s="70"/>
      <c r="H121" s="70"/>
      <c r="K121" s="48"/>
    </row>
    <row r="122" spans="1:13" ht="12.75" customHeight="1" x14ac:dyDescent="0.2">
      <c r="A122" s="95" t="s">
        <v>387</v>
      </c>
      <c r="B122" s="16" t="s">
        <v>94</v>
      </c>
      <c r="C122" s="16"/>
      <c r="F122" s="13">
        <v>330.50481500000001</v>
      </c>
      <c r="G122" s="76">
        <f>+ROUND(F122/VLOOKUP("Grand Total",$B$4:$F$310,5,0),4)</f>
        <v>1.78E-2</v>
      </c>
      <c r="H122" s="76"/>
      <c r="I122" s="15">
        <v>43073</v>
      </c>
      <c r="J122" s="55"/>
    </row>
    <row r="123" spans="1:13" ht="12.75" customHeight="1" x14ac:dyDescent="0.2">
      <c r="B123" s="18" t="s">
        <v>86</v>
      </c>
      <c r="C123" s="18"/>
      <c r="D123" s="18"/>
      <c r="E123" s="29"/>
      <c r="F123" s="19">
        <f>SUM(F122)</f>
        <v>330.50481500000001</v>
      </c>
      <c r="G123" s="20">
        <f>SUM(G122)</f>
        <v>1.78E-2</v>
      </c>
      <c r="H123" s="20"/>
      <c r="I123" s="21"/>
      <c r="J123" s="56"/>
    </row>
    <row r="124" spans="1:13" ht="12.75" customHeight="1" x14ac:dyDescent="0.2">
      <c r="F124" s="13"/>
      <c r="G124" s="14"/>
      <c r="H124" s="14"/>
      <c r="I124" s="15"/>
      <c r="J124" s="56"/>
    </row>
    <row r="125" spans="1:13" ht="12.75" customHeight="1" x14ac:dyDescent="0.2">
      <c r="B125" s="16" t="s">
        <v>95</v>
      </c>
      <c r="C125" s="16"/>
      <c r="F125" s="13"/>
      <c r="G125" s="14"/>
      <c r="H125" s="14"/>
      <c r="I125" s="15"/>
      <c r="J125" s="56"/>
    </row>
    <row r="126" spans="1:13" ht="12.75" customHeight="1" x14ac:dyDescent="0.2">
      <c r="B126" s="16" t="s">
        <v>96</v>
      </c>
      <c r="C126" s="16"/>
      <c r="F126" s="44">
        <f>+F128-SUMIF($B$5:B125,"Total",$F$5:F125)</f>
        <v>1015.4700406999982</v>
      </c>
      <c r="G126" s="14">
        <f>+ROUND(F126/VLOOKUP("Grand Total",$B$4:$F$291,5,0),4)+0.01%</f>
        <v>5.4800000000000001E-2</v>
      </c>
      <c r="H126" s="14"/>
      <c r="I126" s="15"/>
      <c r="J126" s="55"/>
    </row>
    <row r="127" spans="1:13" ht="12.75" customHeight="1" x14ac:dyDescent="0.2">
      <c r="B127" s="18" t="s">
        <v>86</v>
      </c>
      <c r="C127" s="18"/>
      <c r="D127" s="18"/>
      <c r="E127" s="29"/>
      <c r="F127" s="19">
        <f>SUM(F126)</f>
        <v>1015.4700406999982</v>
      </c>
      <c r="G127" s="20">
        <f>SUM(G126)</f>
        <v>5.4800000000000001E-2</v>
      </c>
      <c r="H127" s="20"/>
      <c r="I127" s="21"/>
      <c r="J127" s="39"/>
    </row>
    <row r="128" spans="1:13" ht="12.75" customHeight="1" x14ac:dyDescent="0.2">
      <c r="B128" s="22" t="s">
        <v>97</v>
      </c>
      <c r="C128" s="22"/>
      <c r="D128" s="22"/>
      <c r="E128" s="30"/>
      <c r="F128" s="23">
        <v>18548.1436407</v>
      </c>
      <c r="G128" s="24">
        <f>+SUMIF($B$5:B127,"Total",$G$5:G127)</f>
        <v>1</v>
      </c>
      <c r="H128" s="24"/>
      <c r="I128" s="25"/>
      <c r="L128"/>
    </row>
    <row r="129" spans="2:12" ht="12.75" customHeight="1" x14ac:dyDescent="0.2">
      <c r="F129" s="40"/>
      <c r="L129"/>
    </row>
    <row r="130" spans="2:12" ht="12.75" customHeight="1" x14ac:dyDescent="0.2">
      <c r="B130" s="16" t="s">
        <v>192</v>
      </c>
      <c r="C130" s="16"/>
      <c r="F130" s="42"/>
      <c r="L130"/>
    </row>
    <row r="131" spans="2:12" ht="12.75" customHeight="1" x14ac:dyDescent="0.2">
      <c r="B131" s="16" t="s">
        <v>189</v>
      </c>
      <c r="C131" s="16"/>
      <c r="G131" s="14"/>
      <c r="H131" s="14"/>
      <c r="L131"/>
    </row>
    <row r="132" spans="2:12" ht="12.75" customHeight="1" x14ac:dyDescent="0.2">
      <c r="B132" s="16"/>
      <c r="C132" s="16"/>
      <c r="L132"/>
    </row>
    <row r="133" spans="2:12" ht="12.75" customHeight="1" x14ac:dyDescent="0.2">
      <c r="L133"/>
    </row>
    <row r="134" spans="2:12" ht="12.75" customHeight="1" x14ac:dyDescent="0.2">
      <c r="L134"/>
    </row>
    <row r="135" spans="2:12" ht="12.75" customHeight="1" x14ac:dyDescent="0.2">
      <c r="L135"/>
    </row>
    <row r="136" spans="2:12" ht="12.75" customHeight="1" x14ac:dyDescent="0.2">
      <c r="L136"/>
    </row>
    <row r="137" spans="2:12" ht="12.75" customHeight="1" x14ac:dyDescent="0.2">
      <c r="L137"/>
    </row>
    <row r="138" spans="2:12" ht="12.75" customHeight="1" x14ac:dyDescent="0.2">
      <c r="L138"/>
    </row>
    <row r="139" spans="2:12" ht="12.75" customHeight="1" x14ac:dyDescent="0.2">
      <c r="L139"/>
    </row>
    <row r="140" spans="2:12" ht="12.75" customHeight="1" x14ac:dyDescent="0.2">
      <c r="L140"/>
    </row>
    <row r="141" spans="2:12" ht="12.75" customHeight="1" x14ac:dyDescent="0.2">
      <c r="J141"/>
      <c r="L141"/>
    </row>
    <row r="142" spans="2:12" ht="12.75" customHeight="1" x14ac:dyDescent="0.2">
      <c r="E142"/>
      <c r="J142"/>
      <c r="L142"/>
    </row>
    <row r="143" spans="2:12" ht="12.75" customHeight="1" x14ac:dyDescent="0.2">
      <c r="E143"/>
      <c r="J143"/>
      <c r="L143"/>
    </row>
    <row r="144" spans="2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ht="12.75" customHeight="1" x14ac:dyDescent="0.2">
      <c r="E151"/>
      <c r="J151"/>
      <c r="L151"/>
    </row>
    <row r="152" spans="5:12" ht="12.75" customHeight="1" x14ac:dyDescent="0.2">
      <c r="E152"/>
      <c r="J152"/>
      <c r="L152"/>
    </row>
    <row r="153" spans="5:12" ht="12.75" customHeight="1" x14ac:dyDescent="0.2">
      <c r="E153"/>
      <c r="J153"/>
      <c r="L153"/>
    </row>
    <row r="154" spans="5:12" ht="12.75" customHeight="1" x14ac:dyDescent="0.2">
      <c r="E154"/>
      <c r="J154"/>
      <c r="L154"/>
    </row>
    <row r="155" spans="5:12" ht="12.75" customHeight="1" x14ac:dyDescent="0.2">
      <c r="E155"/>
      <c r="J155"/>
      <c r="L155"/>
    </row>
    <row r="156" spans="5:12" ht="12.75" customHeight="1" x14ac:dyDescent="0.2">
      <c r="E156"/>
      <c r="J156"/>
      <c r="L156"/>
    </row>
    <row r="157" spans="5:12" ht="12.75" customHeight="1" x14ac:dyDescent="0.2">
      <c r="E157"/>
      <c r="J157"/>
      <c r="L157"/>
    </row>
    <row r="158" spans="5:12" ht="12.75" customHeight="1" x14ac:dyDescent="0.2">
      <c r="E158"/>
      <c r="J158"/>
      <c r="L158"/>
    </row>
    <row r="159" spans="5:12" ht="12.75" customHeight="1" x14ac:dyDescent="0.2">
      <c r="E159"/>
      <c r="J159"/>
      <c r="L159"/>
    </row>
    <row r="160" spans="5:12" ht="12.75" customHeight="1" x14ac:dyDescent="0.2">
      <c r="E160"/>
      <c r="J160"/>
      <c r="L160"/>
    </row>
    <row r="161" spans="5:12" ht="12.75" customHeight="1" x14ac:dyDescent="0.2">
      <c r="E161"/>
      <c r="J161"/>
      <c r="L161"/>
    </row>
    <row r="162" spans="5:12" ht="12.75" customHeight="1" x14ac:dyDescent="0.2">
      <c r="E162"/>
      <c r="J162"/>
      <c r="L162"/>
    </row>
    <row r="163" spans="5:12" ht="12.75" customHeight="1" x14ac:dyDescent="0.2">
      <c r="E163"/>
      <c r="J163"/>
      <c r="L163"/>
    </row>
    <row r="164" spans="5:12" ht="12.75" customHeight="1" x14ac:dyDescent="0.2">
      <c r="E164"/>
      <c r="J164"/>
      <c r="L164"/>
    </row>
    <row r="165" spans="5:12" ht="12.75" customHeight="1" x14ac:dyDescent="0.2">
      <c r="E165"/>
      <c r="J165"/>
      <c r="L165"/>
    </row>
    <row r="166" spans="5:12" ht="12.75" customHeight="1" x14ac:dyDescent="0.2">
      <c r="E166"/>
      <c r="J166"/>
      <c r="L166"/>
    </row>
    <row r="167" spans="5:12" ht="12.75" customHeight="1" x14ac:dyDescent="0.2">
      <c r="E167"/>
      <c r="J167"/>
      <c r="L167"/>
    </row>
    <row r="168" spans="5:12" ht="12.75" customHeight="1" x14ac:dyDescent="0.2">
      <c r="E168"/>
      <c r="J168"/>
      <c r="L168"/>
    </row>
    <row r="169" spans="5:12" ht="12.75" customHeight="1" x14ac:dyDescent="0.2">
      <c r="E169"/>
      <c r="J169"/>
      <c r="L169"/>
    </row>
    <row r="170" spans="5:12" ht="12.75" customHeight="1" x14ac:dyDescent="0.2">
      <c r="E170"/>
      <c r="J170"/>
      <c r="L170"/>
    </row>
    <row r="171" spans="5:12" ht="12.75" customHeight="1" x14ac:dyDescent="0.2">
      <c r="E171"/>
      <c r="J171"/>
      <c r="L171"/>
    </row>
    <row r="172" spans="5:12" ht="12.75" customHeight="1" x14ac:dyDescent="0.2">
      <c r="E172"/>
      <c r="J172"/>
      <c r="L172"/>
    </row>
    <row r="173" spans="5:12" ht="12.75" customHeight="1" x14ac:dyDescent="0.2">
      <c r="E173"/>
      <c r="J173"/>
      <c r="L173"/>
    </row>
    <row r="174" spans="5:12" ht="12.75" customHeight="1" x14ac:dyDescent="0.2">
      <c r="E174"/>
      <c r="J174"/>
      <c r="L174"/>
    </row>
    <row r="175" spans="5:12" ht="12.75" customHeight="1" x14ac:dyDescent="0.2">
      <c r="E175"/>
      <c r="J175"/>
      <c r="L175"/>
    </row>
    <row r="176" spans="5:12" ht="12.75" customHeight="1" x14ac:dyDescent="0.2">
      <c r="E176"/>
      <c r="J176"/>
      <c r="L176"/>
    </row>
    <row r="177" spans="5:12" ht="12.75" customHeight="1" x14ac:dyDescent="0.2">
      <c r="E177"/>
      <c r="J177"/>
      <c r="L177"/>
    </row>
    <row r="178" spans="5:12" ht="12.75" customHeight="1" x14ac:dyDescent="0.2">
      <c r="E178"/>
      <c r="J178"/>
      <c r="L178"/>
    </row>
    <row r="179" spans="5:12" x14ac:dyDescent="0.2">
      <c r="E179"/>
      <c r="J179"/>
      <c r="L179"/>
    </row>
    <row r="180" spans="5:12" x14ac:dyDescent="0.2">
      <c r="E180"/>
    </row>
  </sheetData>
  <sheetProtection password="EDB4" sheet="1" objects="1" scenarios="1"/>
  <sortState ref="K9:L37">
    <sortCondition descending="1" ref="L9:L37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8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395</v>
      </c>
      <c r="B1" s="124" t="s">
        <v>165</v>
      </c>
      <c r="C1" s="125"/>
      <c r="D1" s="125"/>
      <c r="E1" s="125"/>
      <c r="F1" s="125"/>
      <c r="G1" s="125"/>
      <c r="H1" s="126"/>
    </row>
    <row r="2" spans="1:16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425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195</v>
      </c>
      <c r="C9" t="s">
        <v>13</v>
      </c>
      <c r="D9" t="s">
        <v>10</v>
      </c>
      <c r="E9" s="28">
        <v>96534</v>
      </c>
      <c r="F9" s="13">
        <v>1789.4507580000002</v>
      </c>
      <c r="G9" s="14">
        <f t="shared" ref="G9:G40" si="0">+ROUND(F9/VLOOKUP("Grand Total",$B$4:$F$278,5,0),4)</f>
        <v>4.6800000000000001E-2</v>
      </c>
      <c r="H9" s="15" t="s">
        <v>388</v>
      </c>
      <c r="J9" s="14" t="s">
        <v>10</v>
      </c>
      <c r="K9" s="48">
        <f t="shared" ref="K9:K31" si="1">SUMIFS($G$5:$G$315,$D$5:$D$315,J9)</f>
        <v>0.22079999999999997</v>
      </c>
    </row>
    <row r="10" spans="1:16" ht="12.75" customHeight="1" x14ac:dyDescent="0.2">
      <c r="A10">
        <f>+MAX($A$8:A9)+1</f>
        <v>2</v>
      </c>
      <c r="B10" t="s">
        <v>198</v>
      </c>
      <c r="C10" t="s">
        <v>11</v>
      </c>
      <c r="D10" t="s">
        <v>10</v>
      </c>
      <c r="E10" s="28">
        <v>528443</v>
      </c>
      <c r="F10" s="13">
        <v>1625.2264465000001</v>
      </c>
      <c r="G10" s="14">
        <f t="shared" si="0"/>
        <v>4.2500000000000003E-2</v>
      </c>
      <c r="H10" s="15" t="s">
        <v>388</v>
      </c>
      <c r="J10" s="14" t="s">
        <v>26</v>
      </c>
      <c r="K10" s="48">
        <f t="shared" si="1"/>
        <v>0.10669999999999999</v>
      </c>
    </row>
    <row r="11" spans="1:16" ht="12.75" customHeight="1" x14ac:dyDescent="0.2">
      <c r="A11">
        <f>+MAX($A$8:A10)+1</f>
        <v>3</v>
      </c>
      <c r="B11" t="s">
        <v>197</v>
      </c>
      <c r="C11" t="s">
        <v>31</v>
      </c>
      <c r="D11" t="s">
        <v>30</v>
      </c>
      <c r="E11" s="28">
        <v>138452</v>
      </c>
      <c r="F11" s="13">
        <v>1275.9044059999999</v>
      </c>
      <c r="G11" s="14">
        <f t="shared" si="0"/>
        <v>3.3399999999999999E-2</v>
      </c>
      <c r="H11" s="15" t="s">
        <v>388</v>
      </c>
      <c r="J11" s="14" t="s">
        <v>22</v>
      </c>
      <c r="K11" s="48">
        <f t="shared" si="1"/>
        <v>5.9199999999999996E-2</v>
      </c>
      <c r="M11" s="14"/>
      <c r="N11" s="36"/>
      <c r="O11" s="36"/>
      <c r="P11" s="14"/>
    </row>
    <row r="12" spans="1:16" ht="12.75" customHeight="1" x14ac:dyDescent="0.2">
      <c r="A12">
        <f>+MAX($A$8:A11)+1</f>
        <v>4</v>
      </c>
      <c r="B12" t="s">
        <v>16</v>
      </c>
      <c r="C12" t="s">
        <v>17</v>
      </c>
      <c r="D12" t="s">
        <v>10</v>
      </c>
      <c r="E12" s="28">
        <v>369301</v>
      </c>
      <c r="F12" s="13">
        <v>1183.0557535</v>
      </c>
      <c r="G12" s="14">
        <f t="shared" si="0"/>
        <v>3.09E-2</v>
      </c>
      <c r="H12" s="15" t="s">
        <v>388</v>
      </c>
      <c r="J12" s="14" t="s">
        <v>20</v>
      </c>
      <c r="K12" s="48">
        <f t="shared" si="1"/>
        <v>5.7800000000000004E-2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235</v>
      </c>
      <c r="C13" t="s">
        <v>79</v>
      </c>
      <c r="D13" t="s">
        <v>26</v>
      </c>
      <c r="E13" s="28">
        <v>32366</v>
      </c>
      <c r="F13" s="13">
        <v>1063.109819</v>
      </c>
      <c r="G13" s="14">
        <f t="shared" si="0"/>
        <v>2.7799999999999998E-2</v>
      </c>
      <c r="H13" s="15" t="s">
        <v>388</v>
      </c>
      <c r="J13" s="14" t="s">
        <v>136</v>
      </c>
      <c r="K13" s="48">
        <f t="shared" si="1"/>
        <v>5.3900000000000003E-2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199</v>
      </c>
      <c r="C14" t="s">
        <v>21</v>
      </c>
      <c r="D14" t="s">
        <v>20</v>
      </c>
      <c r="E14" s="28">
        <v>215826</v>
      </c>
      <c r="F14" s="13">
        <v>872.26077900000007</v>
      </c>
      <c r="G14" s="14">
        <f t="shared" si="0"/>
        <v>2.2800000000000001E-2</v>
      </c>
      <c r="H14" s="15" t="s">
        <v>388</v>
      </c>
      <c r="J14" s="14" t="s">
        <v>18</v>
      </c>
      <c r="K14" s="48">
        <f t="shared" si="1"/>
        <v>5.2900000000000003E-2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317</v>
      </c>
      <c r="C15" t="s">
        <v>77</v>
      </c>
      <c r="D15" t="s">
        <v>38</v>
      </c>
      <c r="E15" s="28">
        <v>224228</v>
      </c>
      <c r="F15" s="13">
        <v>838.164264</v>
      </c>
      <c r="G15" s="14">
        <f t="shared" si="0"/>
        <v>2.1899999999999999E-2</v>
      </c>
      <c r="H15" s="15" t="s">
        <v>388</v>
      </c>
      <c r="J15" s="14" t="s">
        <v>14</v>
      </c>
      <c r="K15" s="48">
        <f t="shared" si="1"/>
        <v>5.1699999999999996E-2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229</v>
      </c>
      <c r="C16" t="s">
        <v>71</v>
      </c>
      <c r="D16" t="s">
        <v>28</v>
      </c>
      <c r="E16" s="28">
        <v>68362</v>
      </c>
      <c r="F16" s="13">
        <v>831.6579109999999</v>
      </c>
      <c r="G16" s="14">
        <f t="shared" si="0"/>
        <v>2.1700000000000001E-2</v>
      </c>
      <c r="H16" s="15" t="s">
        <v>388</v>
      </c>
      <c r="J16" s="14" t="s">
        <v>28</v>
      </c>
      <c r="K16" s="48">
        <f t="shared" si="1"/>
        <v>5.1500000000000004E-2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324</v>
      </c>
      <c r="C17" t="s">
        <v>325</v>
      </c>
      <c r="D17" t="s">
        <v>146</v>
      </c>
      <c r="E17" s="28">
        <v>174566</v>
      </c>
      <c r="F17" s="13">
        <v>815.22321999999997</v>
      </c>
      <c r="G17" s="14">
        <f t="shared" si="0"/>
        <v>2.1299999999999999E-2</v>
      </c>
      <c r="H17" s="15" t="s">
        <v>388</v>
      </c>
      <c r="J17" s="14" t="s">
        <v>36</v>
      </c>
      <c r="K17" s="48">
        <f t="shared" si="1"/>
        <v>4.8500000000000001E-2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210</v>
      </c>
      <c r="C18" t="s">
        <v>52</v>
      </c>
      <c r="D18" t="s">
        <v>41</v>
      </c>
      <c r="E18" s="28">
        <v>668703</v>
      </c>
      <c r="F18" s="13">
        <v>801.44054549999998</v>
      </c>
      <c r="G18" s="14">
        <f t="shared" si="0"/>
        <v>2.1000000000000001E-2</v>
      </c>
      <c r="H18" s="15" t="s">
        <v>388</v>
      </c>
      <c r="J18" s="14" t="s">
        <v>24</v>
      </c>
      <c r="K18" s="48">
        <f t="shared" si="1"/>
        <v>4.8399999999999999E-2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411</v>
      </c>
      <c r="C19" t="s">
        <v>410</v>
      </c>
      <c r="D19" t="s">
        <v>26</v>
      </c>
      <c r="E19" s="28">
        <v>230229</v>
      </c>
      <c r="F19" s="13">
        <v>792.67844700000001</v>
      </c>
      <c r="G19" s="14">
        <f t="shared" si="0"/>
        <v>2.07E-2</v>
      </c>
      <c r="H19" s="15" t="s">
        <v>388</v>
      </c>
      <c r="J19" s="14" t="s">
        <v>30</v>
      </c>
      <c r="K19" s="48">
        <f t="shared" si="1"/>
        <v>4.1200000000000001E-2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228</v>
      </c>
      <c r="C20" t="s">
        <v>66</v>
      </c>
      <c r="D20" t="s">
        <v>28</v>
      </c>
      <c r="E20" s="28">
        <v>238268</v>
      </c>
      <c r="F20" s="13">
        <v>767.69949599999995</v>
      </c>
      <c r="G20" s="14">
        <f t="shared" si="0"/>
        <v>2.01E-2</v>
      </c>
      <c r="H20" s="15" t="s">
        <v>388</v>
      </c>
      <c r="J20" s="14" t="s">
        <v>38</v>
      </c>
      <c r="K20" s="48">
        <f t="shared" si="1"/>
        <v>4.0499999999999994E-2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316</v>
      </c>
      <c r="C21" t="s">
        <v>57</v>
      </c>
      <c r="D21" t="s">
        <v>26</v>
      </c>
      <c r="E21" s="28">
        <v>49662</v>
      </c>
      <c r="F21" s="13">
        <v>758.68637400000011</v>
      </c>
      <c r="G21" s="14">
        <f t="shared" si="0"/>
        <v>1.9800000000000002E-2</v>
      </c>
      <c r="H21" s="15" t="s">
        <v>388</v>
      </c>
      <c r="J21" t="s">
        <v>146</v>
      </c>
      <c r="K21" s="48">
        <f t="shared" si="1"/>
        <v>2.1299999999999999E-2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360</v>
      </c>
      <c r="C22" t="s">
        <v>433</v>
      </c>
      <c r="D22" t="s">
        <v>136</v>
      </c>
      <c r="E22" s="28">
        <v>79962</v>
      </c>
      <c r="F22" s="13">
        <v>754.56141300000002</v>
      </c>
      <c r="G22" s="14">
        <f t="shared" si="0"/>
        <v>1.9699999999999999E-2</v>
      </c>
      <c r="H22" s="15" t="s">
        <v>388</v>
      </c>
      <c r="J22" s="14" t="s">
        <v>529</v>
      </c>
      <c r="K22" s="48">
        <f t="shared" si="1"/>
        <v>2.12E-2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207</v>
      </c>
      <c r="C23" t="s">
        <v>48</v>
      </c>
      <c r="D23" t="s">
        <v>26</v>
      </c>
      <c r="E23" s="28">
        <v>15366</v>
      </c>
      <c r="F23" s="13">
        <v>739.9650959999999</v>
      </c>
      <c r="G23" s="14">
        <f t="shared" si="0"/>
        <v>1.9300000000000001E-2</v>
      </c>
      <c r="H23" s="15" t="s">
        <v>388</v>
      </c>
      <c r="J23" s="14" t="s">
        <v>41</v>
      </c>
      <c r="K23" s="48">
        <f t="shared" si="1"/>
        <v>2.1000000000000001E-2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201</v>
      </c>
      <c r="C24" t="s">
        <v>27</v>
      </c>
      <c r="D24" t="s">
        <v>24</v>
      </c>
      <c r="E24" s="28">
        <v>44070</v>
      </c>
      <c r="F24" s="13">
        <v>738.48099000000002</v>
      </c>
      <c r="G24" s="14">
        <f t="shared" si="0"/>
        <v>1.9300000000000001E-2</v>
      </c>
      <c r="H24" s="15" t="s">
        <v>388</v>
      </c>
      <c r="J24" s="14" t="s">
        <v>45</v>
      </c>
      <c r="K24" s="48">
        <f t="shared" si="1"/>
        <v>2.06E-2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597</v>
      </c>
      <c r="C25" t="s">
        <v>598</v>
      </c>
      <c r="D25" t="s">
        <v>136</v>
      </c>
      <c r="E25" s="28">
        <v>207654</v>
      </c>
      <c r="F25" s="13">
        <v>736.44491099999993</v>
      </c>
      <c r="G25" s="14">
        <f t="shared" si="0"/>
        <v>1.9300000000000001E-2</v>
      </c>
      <c r="H25" s="15" t="s">
        <v>388</v>
      </c>
      <c r="J25" s="14" t="s">
        <v>431</v>
      </c>
      <c r="K25" s="48">
        <f t="shared" si="1"/>
        <v>1.6500000000000001E-2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254</v>
      </c>
      <c r="C26" t="s">
        <v>116</v>
      </c>
      <c r="D26" t="s">
        <v>36</v>
      </c>
      <c r="E26" s="28">
        <v>396200</v>
      </c>
      <c r="F26" s="13">
        <v>717.71630000000005</v>
      </c>
      <c r="G26" s="14">
        <f t="shared" si="0"/>
        <v>1.8800000000000001E-2</v>
      </c>
      <c r="H26" s="15" t="s">
        <v>388</v>
      </c>
      <c r="J26" s="14" t="s">
        <v>51</v>
      </c>
      <c r="K26" s="48">
        <f t="shared" si="1"/>
        <v>1.38E-2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383</v>
      </c>
      <c r="C27" t="s">
        <v>384</v>
      </c>
      <c r="D27" t="s">
        <v>38</v>
      </c>
      <c r="E27" s="28">
        <v>740940</v>
      </c>
      <c r="F27" s="13">
        <v>713.15475000000004</v>
      </c>
      <c r="G27" s="14">
        <f t="shared" si="0"/>
        <v>1.8599999999999998E-2</v>
      </c>
      <c r="H27" s="15" t="s">
        <v>388</v>
      </c>
      <c r="J27" s="14" t="s">
        <v>43</v>
      </c>
      <c r="K27" s="48">
        <f t="shared" si="1"/>
        <v>1.0699999999999999E-2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213</v>
      </c>
      <c r="C28" t="s">
        <v>49</v>
      </c>
      <c r="D28" t="s">
        <v>20</v>
      </c>
      <c r="E28" s="28">
        <v>8177</v>
      </c>
      <c r="F28" s="13">
        <v>703.14840700000002</v>
      </c>
      <c r="G28" s="14">
        <f t="shared" si="0"/>
        <v>1.84E-2</v>
      </c>
      <c r="H28" s="15" t="s">
        <v>388</v>
      </c>
      <c r="J28" t="s">
        <v>34</v>
      </c>
      <c r="K28" s="48">
        <f t="shared" si="1"/>
        <v>9.1000000000000004E-3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206</v>
      </c>
      <c r="C29" t="s">
        <v>44</v>
      </c>
      <c r="D29" t="s">
        <v>24</v>
      </c>
      <c r="E29" s="28">
        <v>105318</v>
      </c>
      <c r="F29" s="13">
        <v>649.33812899999998</v>
      </c>
      <c r="G29" s="14">
        <f t="shared" si="0"/>
        <v>1.7000000000000001E-2</v>
      </c>
      <c r="H29" s="15" t="s">
        <v>388</v>
      </c>
      <c r="J29" s="14" t="s">
        <v>32</v>
      </c>
      <c r="K29" s="48">
        <f t="shared" si="1"/>
        <v>6.3E-3</v>
      </c>
      <c r="L29" s="54">
        <f>+SUM($K$9:K27)</f>
        <v>0.95819999999999983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219</v>
      </c>
      <c r="C30" t="s">
        <v>61</v>
      </c>
      <c r="D30" t="s">
        <v>22</v>
      </c>
      <c r="E30" s="28">
        <v>93656</v>
      </c>
      <c r="F30" s="13">
        <v>648.89559600000007</v>
      </c>
      <c r="G30" s="14">
        <f t="shared" si="0"/>
        <v>1.7000000000000001E-2</v>
      </c>
      <c r="H30" s="15" t="s">
        <v>388</v>
      </c>
      <c r="J30" s="14" t="s">
        <v>458</v>
      </c>
      <c r="K30" s="48">
        <f t="shared" si="1"/>
        <v>4.7000000000000002E-3</v>
      </c>
      <c r="L30" s="54"/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252</v>
      </c>
      <c r="C31" t="s">
        <v>113</v>
      </c>
      <c r="D31" t="s">
        <v>20</v>
      </c>
      <c r="E31" s="28">
        <v>17448</v>
      </c>
      <c r="F31" s="13">
        <v>633.99925200000007</v>
      </c>
      <c r="G31" s="14">
        <f t="shared" si="0"/>
        <v>1.66E-2</v>
      </c>
      <c r="H31" s="15" t="s">
        <v>388</v>
      </c>
      <c r="J31" s="14" t="s">
        <v>103</v>
      </c>
      <c r="K31" s="48">
        <f t="shared" si="1"/>
        <v>0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429</v>
      </c>
      <c r="C32" t="s">
        <v>430</v>
      </c>
      <c r="D32" t="s">
        <v>431</v>
      </c>
      <c r="E32" s="28">
        <v>442400</v>
      </c>
      <c r="F32" s="13">
        <v>631.74720000000002</v>
      </c>
      <c r="G32" s="14">
        <f t="shared" si="0"/>
        <v>1.6500000000000001E-2</v>
      </c>
      <c r="H32" s="15" t="s">
        <v>388</v>
      </c>
      <c r="J32" s="14" t="s">
        <v>64</v>
      </c>
      <c r="K32" s="48">
        <f>+SUMIFS($G$5:$G$999,$B$5:$B$999,"CBLO / Reverse Repo Investments")+SUMIFS($G$5:$G$999,$B$5:$B$999,"Net Receivable/Payable")</f>
        <v>2.1700000000000001E-2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205</v>
      </c>
      <c r="C33" t="s">
        <v>46</v>
      </c>
      <c r="D33" t="s">
        <v>26</v>
      </c>
      <c r="E33" s="28">
        <v>244866</v>
      </c>
      <c r="F33" s="13">
        <v>626.97939299999996</v>
      </c>
      <c r="G33" s="14">
        <f t="shared" si="0"/>
        <v>1.6400000000000001E-2</v>
      </c>
      <c r="H33" s="15" t="s">
        <v>388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216</v>
      </c>
      <c r="C34" t="s">
        <v>99</v>
      </c>
      <c r="D34" t="s">
        <v>10</v>
      </c>
      <c r="E34" s="28">
        <v>57915</v>
      </c>
      <c r="F34" s="13">
        <v>579.32374500000003</v>
      </c>
      <c r="G34" s="14">
        <f t="shared" si="0"/>
        <v>1.5100000000000001E-2</v>
      </c>
      <c r="H34" s="15" t="s">
        <v>388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220</v>
      </c>
      <c r="C35" t="s">
        <v>19</v>
      </c>
      <c r="D35" t="s">
        <v>14</v>
      </c>
      <c r="E35" s="28">
        <v>21720</v>
      </c>
      <c r="F35" s="13">
        <v>572.75639999999999</v>
      </c>
      <c r="G35" s="14">
        <f t="shared" si="0"/>
        <v>1.4999999999999999E-2</v>
      </c>
      <c r="H35" s="15" t="s">
        <v>388</v>
      </c>
    </row>
    <row r="36" spans="1:16" ht="12.75" customHeight="1" x14ac:dyDescent="0.2">
      <c r="A36">
        <f>+MAX($A$8:A35)+1</f>
        <v>28</v>
      </c>
      <c r="B36" t="s">
        <v>651</v>
      </c>
      <c r="C36" t="s">
        <v>652</v>
      </c>
      <c r="D36" t="s">
        <v>136</v>
      </c>
      <c r="E36" s="28">
        <v>128849</v>
      </c>
      <c r="F36" s="13">
        <v>570.09240049999994</v>
      </c>
      <c r="G36" s="14">
        <f t="shared" si="0"/>
        <v>1.49E-2</v>
      </c>
      <c r="H36" s="15" t="s">
        <v>388</v>
      </c>
    </row>
    <row r="37" spans="1:16" ht="12.75" customHeight="1" x14ac:dyDescent="0.2">
      <c r="A37">
        <f>+MAX($A$8:A36)+1</f>
        <v>29</v>
      </c>
      <c r="B37" t="s">
        <v>224</v>
      </c>
      <c r="C37" t="s">
        <v>63</v>
      </c>
      <c r="D37" t="s">
        <v>36</v>
      </c>
      <c r="E37" s="28">
        <v>122794</v>
      </c>
      <c r="F37" s="13">
        <v>544.95977200000004</v>
      </c>
      <c r="G37" s="14">
        <f t="shared" si="0"/>
        <v>1.4200000000000001E-2</v>
      </c>
      <c r="H37" s="15" t="s">
        <v>388</v>
      </c>
    </row>
    <row r="38" spans="1:16" ht="12.75" customHeight="1" x14ac:dyDescent="0.2">
      <c r="A38">
        <f>+MAX($A$8:A37)+1</f>
        <v>30</v>
      </c>
      <c r="B38" t="s">
        <v>232</v>
      </c>
      <c r="C38" t="s">
        <v>80</v>
      </c>
      <c r="D38" t="s">
        <v>51</v>
      </c>
      <c r="E38" s="28">
        <v>191412</v>
      </c>
      <c r="F38" s="13">
        <v>527.91429600000004</v>
      </c>
      <c r="G38" s="14">
        <f t="shared" si="0"/>
        <v>1.38E-2</v>
      </c>
      <c r="H38" s="15" t="s">
        <v>388</v>
      </c>
    </row>
    <row r="39" spans="1:16" ht="12.75" customHeight="1" x14ac:dyDescent="0.2">
      <c r="A39">
        <f>+MAX($A$8:A38)+1</f>
        <v>31</v>
      </c>
      <c r="B39" t="s">
        <v>40</v>
      </c>
      <c r="C39" t="s">
        <v>42</v>
      </c>
      <c r="D39" t="s">
        <v>10</v>
      </c>
      <c r="E39" s="28">
        <v>303565</v>
      </c>
      <c r="F39" s="13">
        <v>513.32841499999995</v>
      </c>
      <c r="G39" s="14">
        <f t="shared" si="0"/>
        <v>1.34E-2</v>
      </c>
      <c r="H39" s="15" t="s">
        <v>388</v>
      </c>
    </row>
    <row r="40" spans="1:16" ht="12.75" customHeight="1" x14ac:dyDescent="0.2">
      <c r="A40">
        <f>+MAX($A$8:A39)+1</f>
        <v>32</v>
      </c>
      <c r="B40" t="s">
        <v>304</v>
      </c>
      <c r="C40" t="s">
        <v>424</v>
      </c>
      <c r="D40" t="s">
        <v>10</v>
      </c>
      <c r="E40" s="28">
        <v>439203</v>
      </c>
      <c r="F40" s="13">
        <v>500.25221700000003</v>
      </c>
      <c r="G40" s="14">
        <f t="shared" si="0"/>
        <v>1.3100000000000001E-2</v>
      </c>
      <c r="H40" s="15" t="s">
        <v>388</v>
      </c>
    </row>
    <row r="41" spans="1:16" ht="12.75" customHeight="1" x14ac:dyDescent="0.2">
      <c r="A41">
        <f>+MAX($A$8:A40)+1</f>
        <v>33</v>
      </c>
      <c r="B41" t="s">
        <v>196</v>
      </c>
      <c r="C41" t="s">
        <v>15</v>
      </c>
      <c r="D41" t="s">
        <v>14</v>
      </c>
      <c r="E41" s="28">
        <v>51097</v>
      </c>
      <c r="F41" s="13">
        <v>498.75781700000005</v>
      </c>
      <c r="G41" s="14">
        <f t="shared" ref="G41:G72" si="2">+ROUND(F41/VLOOKUP("Grand Total",$B$4:$F$278,5,0),4)</f>
        <v>1.2999999999999999E-2</v>
      </c>
      <c r="H41" s="15" t="s">
        <v>388</v>
      </c>
    </row>
    <row r="42" spans="1:16" ht="12.75" customHeight="1" x14ac:dyDescent="0.2">
      <c r="A42">
        <f>+MAX($A$8:A41)+1</f>
        <v>34</v>
      </c>
      <c r="B42" t="s">
        <v>200</v>
      </c>
      <c r="C42" t="s">
        <v>25</v>
      </c>
      <c r="D42" t="s">
        <v>14</v>
      </c>
      <c r="E42" s="28">
        <v>58069</v>
      </c>
      <c r="F42" s="13">
        <v>492.42511999999999</v>
      </c>
      <c r="G42" s="14">
        <f t="shared" si="2"/>
        <v>1.29E-2</v>
      </c>
      <c r="H42" s="15" t="s">
        <v>388</v>
      </c>
    </row>
    <row r="43" spans="1:16" ht="12.75" customHeight="1" x14ac:dyDescent="0.2">
      <c r="A43">
        <f>+MAX($A$8:A42)+1</f>
        <v>35</v>
      </c>
      <c r="B43" t="s">
        <v>455</v>
      </c>
      <c r="C43" t="s">
        <v>68</v>
      </c>
      <c r="D43" t="s">
        <v>22</v>
      </c>
      <c r="E43" s="28">
        <v>90939</v>
      </c>
      <c r="F43" s="13">
        <v>491.02513049999999</v>
      </c>
      <c r="G43" s="14">
        <f t="shared" si="2"/>
        <v>1.2800000000000001E-2</v>
      </c>
      <c r="H43" s="15" t="s">
        <v>388</v>
      </c>
    </row>
    <row r="44" spans="1:16" ht="12.75" customHeight="1" x14ac:dyDescent="0.2">
      <c r="A44">
        <f>+MAX($A$8:A43)+1</f>
        <v>36</v>
      </c>
      <c r="B44" t="s">
        <v>347</v>
      </c>
      <c r="C44" t="s">
        <v>348</v>
      </c>
      <c r="D44" t="s">
        <v>18</v>
      </c>
      <c r="E44" s="28">
        <v>41973</v>
      </c>
      <c r="F44" s="13">
        <v>471.1679115</v>
      </c>
      <c r="G44" s="14">
        <f t="shared" si="2"/>
        <v>1.23E-2</v>
      </c>
      <c r="H44" s="15" t="s">
        <v>388</v>
      </c>
    </row>
    <row r="45" spans="1:16" ht="12.75" customHeight="1" x14ac:dyDescent="0.2">
      <c r="A45">
        <f>+MAX($A$8:A44)+1</f>
        <v>37</v>
      </c>
      <c r="B45" t="s">
        <v>532</v>
      </c>
      <c r="C45" t="s">
        <v>533</v>
      </c>
      <c r="D45" t="s">
        <v>24</v>
      </c>
      <c r="E45" s="28">
        <v>34774</v>
      </c>
      <c r="F45" s="13">
        <v>461.64223700000002</v>
      </c>
      <c r="G45" s="14">
        <f t="shared" si="2"/>
        <v>1.21E-2</v>
      </c>
      <c r="H45" s="15" t="s">
        <v>388</v>
      </c>
    </row>
    <row r="46" spans="1:16" ht="12.75" customHeight="1" x14ac:dyDescent="0.2">
      <c r="A46">
        <f>+MAX($A$8:A45)+1</f>
        <v>38</v>
      </c>
      <c r="B46" t="s">
        <v>215</v>
      </c>
      <c r="C46" t="s">
        <v>75</v>
      </c>
      <c r="D46" t="s">
        <v>529</v>
      </c>
      <c r="E46" s="28">
        <v>364687</v>
      </c>
      <c r="F46" s="13">
        <v>450.75313200000005</v>
      </c>
      <c r="G46" s="14">
        <f t="shared" si="2"/>
        <v>1.18E-2</v>
      </c>
      <c r="H46" s="15" t="s">
        <v>388</v>
      </c>
    </row>
    <row r="47" spans="1:16" ht="12.75" customHeight="1" x14ac:dyDescent="0.2">
      <c r="A47">
        <f>+MAX($A$8:A46)+1</f>
        <v>39</v>
      </c>
      <c r="B47" t="s">
        <v>596</v>
      </c>
      <c r="C47" t="s">
        <v>501</v>
      </c>
      <c r="D47" t="s">
        <v>22</v>
      </c>
      <c r="E47" s="28">
        <v>142801</v>
      </c>
      <c r="F47" s="13">
        <v>442.61169950000004</v>
      </c>
      <c r="G47" s="14">
        <f t="shared" si="2"/>
        <v>1.1599999999999999E-2</v>
      </c>
      <c r="H47" s="15" t="s">
        <v>388</v>
      </c>
    </row>
    <row r="48" spans="1:16" ht="12.75" customHeight="1" x14ac:dyDescent="0.2">
      <c r="A48">
        <f>+MAX($A$8:A47)+1</f>
        <v>40</v>
      </c>
      <c r="B48" t="s">
        <v>234</v>
      </c>
      <c r="C48" t="s">
        <v>82</v>
      </c>
      <c r="D48" t="s">
        <v>45</v>
      </c>
      <c r="E48" s="28">
        <v>139426</v>
      </c>
      <c r="F48" s="13">
        <v>417.44144399999999</v>
      </c>
      <c r="G48" s="14">
        <f t="shared" si="2"/>
        <v>1.09E-2</v>
      </c>
      <c r="H48" s="15" t="s">
        <v>388</v>
      </c>
    </row>
    <row r="49" spans="1:8" ht="12.75" customHeight="1" x14ac:dyDescent="0.2">
      <c r="A49">
        <f>+MAX($A$8:A48)+1</f>
        <v>41</v>
      </c>
      <c r="B49" t="s">
        <v>601</v>
      </c>
      <c r="C49" t="s">
        <v>602</v>
      </c>
      <c r="D49" t="s">
        <v>10</v>
      </c>
      <c r="E49" s="28">
        <v>588497</v>
      </c>
      <c r="F49" s="13">
        <v>416.06737899999996</v>
      </c>
      <c r="G49" s="14">
        <f t="shared" si="2"/>
        <v>1.09E-2</v>
      </c>
      <c r="H49" s="15" t="s">
        <v>388</v>
      </c>
    </row>
    <row r="50" spans="1:8" ht="12.75" customHeight="1" x14ac:dyDescent="0.2">
      <c r="A50">
        <f>+MAX($A$8:A49)+1</f>
        <v>42</v>
      </c>
      <c r="B50" t="s">
        <v>352</v>
      </c>
      <c r="C50" t="s">
        <v>353</v>
      </c>
      <c r="D50" t="s">
        <v>14</v>
      </c>
      <c r="E50" s="28">
        <v>122873</v>
      </c>
      <c r="F50" s="13">
        <v>414.204883</v>
      </c>
      <c r="G50" s="14">
        <f t="shared" si="2"/>
        <v>1.0800000000000001E-2</v>
      </c>
      <c r="H50" s="15" t="s">
        <v>388</v>
      </c>
    </row>
    <row r="51" spans="1:8" ht="12.75" customHeight="1" x14ac:dyDescent="0.2">
      <c r="A51">
        <f>+MAX($A$8:A50)+1</f>
        <v>43</v>
      </c>
      <c r="B51" t="s">
        <v>208</v>
      </c>
      <c r="C51" t="s">
        <v>53</v>
      </c>
      <c r="D51" t="s">
        <v>18</v>
      </c>
      <c r="E51" s="28">
        <v>9782</v>
      </c>
      <c r="F51" s="13">
        <v>411.21571600000004</v>
      </c>
      <c r="G51" s="14">
        <f t="shared" si="2"/>
        <v>1.0699999999999999E-2</v>
      </c>
      <c r="H51" s="15" t="s">
        <v>388</v>
      </c>
    </row>
    <row r="52" spans="1:8" ht="12.75" customHeight="1" x14ac:dyDescent="0.2">
      <c r="A52">
        <f>+MAX($A$8:A51)+1</f>
        <v>44</v>
      </c>
      <c r="B52" t="s">
        <v>530</v>
      </c>
      <c r="C52" t="s">
        <v>531</v>
      </c>
      <c r="D52" t="s">
        <v>43</v>
      </c>
      <c r="E52" s="28">
        <v>42585</v>
      </c>
      <c r="F52" s="13">
        <v>411.03041999999999</v>
      </c>
      <c r="G52" s="14">
        <f t="shared" si="2"/>
        <v>1.0699999999999999E-2</v>
      </c>
      <c r="H52" s="15" t="s">
        <v>388</v>
      </c>
    </row>
    <row r="53" spans="1:8" ht="12.75" customHeight="1" x14ac:dyDescent="0.2">
      <c r="A53">
        <f>+MAX($A$8:A52)+1</f>
        <v>45</v>
      </c>
      <c r="B53" s="65" t="s">
        <v>168</v>
      </c>
      <c r="C53" s="65" t="s">
        <v>184</v>
      </c>
      <c r="D53" t="s">
        <v>10</v>
      </c>
      <c r="E53" s="28">
        <v>109524</v>
      </c>
      <c r="F53" s="13">
        <v>408.36023399999999</v>
      </c>
      <c r="G53" s="14">
        <f t="shared" si="2"/>
        <v>1.0699999999999999E-2</v>
      </c>
      <c r="H53" s="15" t="s">
        <v>388</v>
      </c>
    </row>
    <row r="54" spans="1:8" ht="12.75" customHeight="1" x14ac:dyDescent="0.2">
      <c r="A54">
        <f>+MAX($A$8:A53)+1</f>
        <v>46</v>
      </c>
      <c r="B54" t="s">
        <v>318</v>
      </c>
      <c r="C54" t="s">
        <v>67</v>
      </c>
      <c r="D54" t="s">
        <v>18</v>
      </c>
      <c r="E54" s="28">
        <v>227899</v>
      </c>
      <c r="F54" s="13">
        <v>396.20241149999998</v>
      </c>
      <c r="G54" s="14">
        <f t="shared" si="2"/>
        <v>1.04E-2</v>
      </c>
      <c r="H54" s="15" t="s">
        <v>388</v>
      </c>
    </row>
    <row r="55" spans="1:8" ht="12.75" customHeight="1" x14ac:dyDescent="0.2">
      <c r="A55">
        <f>+MAX($A$8:A54)+1</f>
        <v>47</v>
      </c>
      <c r="B55" t="s">
        <v>209</v>
      </c>
      <c r="C55" t="s">
        <v>50</v>
      </c>
      <c r="D55" t="s">
        <v>22</v>
      </c>
      <c r="E55" s="28">
        <v>7446</v>
      </c>
      <c r="F55" s="13">
        <v>392.72065500000002</v>
      </c>
      <c r="G55" s="14">
        <f t="shared" si="2"/>
        <v>1.03E-2</v>
      </c>
      <c r="H55" s="15" t="s">
        <v>388</v>
      </c>
    </row>
    <row r="56" spans="1:8" ht="12.75" customHeight="1" x14ac:dyDescent="0.2">
      <c r="A56">
        <f>+MAX($A$8:A55)+1</f>
        <v>48</v>
      </c>
      <c r="B56" t="s">
        <v>328</v>
      </c>
      <c r="C56" t="s">
        <v>329</v>
      </c>
      <c r="D56" t="s">
        <v>10</v>
      </c>
      <c r="E56" s="28">
        <v>226331</v>
      </c>
      <c r="F56" s="13">
        <v>378.99125950000001</v>
      </c>
      <c r="G56" s="14">
        <f t="shared" si="2"/>
        <v>9.9000000000000008E-3</v>
      </c>
      <c r="H56" s="15" t="s">
        <v>388</v>
      </c>
    </row>
    <row r="57" spans="1:8" ht="12.75" customHeight="1" x14ac:dyDescent="0.2">
      <c r="A57">
        <f>+MAX($A$8:A56)+1</f>
        <v>49</v>
      </c>
      <c r="B57" t="s">
        <v>681</v>
      </c>
      <c r="C57" t="s">
        <v>682</v>
      </c>
      <c r="D57" t="s">
        <v>36</v>
      </c>
      <c r="E57" s="28">
        <v>400000</v>
      </c>
      <c r="F57" s="13">
        <v>378.8</v>
      </c>
      <c r="G57" s="14">
        <f t="shared" si="2"/>
        <v>9.9000000000000008E-3</v>
      </c>
      <c r="H57" s="15" t="s">
        <v>388</v>
      </c>
    </row>
    <row r="58" spans="1:8" ht="12.75" customHeight="1" x14ac:dyDescent="0.2">
      <c r="A58">
        <f>+MAX($A$8:A57)+1</f>
        <v>50</v>
      </c>
      <c r="B58" t="s">
        <v>204</v>
      </c>
      <c r="C58" t="s">
        <v>35</v>
      </c>
      <c r="D58" t="s">
        <v>18</v>
      </c>
      <c r="E58" s="28">
        <v>28649</v>
      </c>
      <c r="F58" s="13">
        <v>375.84623099999999</v>
      </c>
      <c r="G58" s="14">
        <f t="shared" si="2"/>
        <v>9.7999999999999997E-3</v>
      </c>
      <c r="H58" s="15" t="s">
        <v>388</v>
      </c>
    </row>
    <row r="59" spans="1:8" ht="12.75" customHeight="1" x14ac:dyDescent="0.2">
      <c r="A59">
        <f>+MAX($A$8:A58)+1</f>
        <v>51</v>
      </c>
      <c r="B59" t="s">
        <v>599</v>
      </c>
      <c r="C59" t="s">
        <v>600</v>
      </c>
      <c r="D59" t="s">
        <v>45</v>
      </c>
      <c r="E59" s="28">
        <v>454547</v>
      </c>
      <c r="F59" s="13">
        <v>372.04671950000005</v>
      </c>
      <c r="G59" s="14">
        <f t="shared" si="2"/>
        <v>9.7000000000000003E-3</v>
      </c>
      <c r="H59" s="15" t="s">
        <v>388</v>
      </c>
    </row>
    <row r="60" spans="1:8" ht="12.75" customHeight="1" x14ac:dyDescent="0.2">
      <c r="A60">
        <f>+MAX($A$8:A59)+1</f>
        <v>52</v>
      </c>
      <c r="B60" t="s">
        <v>211</v>
      </c>
      <c r="C60" t="s">
        <v>33</v>
      </c>
      <c r="D60" t="s">
        <v>18</v>
      </c>
      <c r="E60" s="28">
        <v>37195</v>
      </c>
      <c r="F60" s="13">
        <v>371.7826225</v>
      </c>
      <c r="G60" s="14">
        <f t="shared" si="2"/>
        <v>9.7000000000000003E-3</v>
      </c>
      <c r="H60" s="15" t="s">
        <v>388</v>
      </c>
    </row>
    <row r="61" spans="1:8" ht="12.75" customHeight="1" x14ac:dyDescent="0.2">
      <c r="A61">
        <f>+MAX($A$8:A60)+1</f>
        <v>53</v>
      </c>
      <c r="B61" t="s">
        <v>326</v>
      </c>
      <c r="C61" t="s">
        <v>73</v>
      </c>
      <c r="D61" t="s">
        <v>28</v>
      </c>
      <c r="E61" s="28">
        <v>961315</v>
      </c>
      <c r="F61" s="13">
        <v>370.10627499999998</v>
      </c>
      <c r="G61" s="14">
        <f t="shared" si="2"/>
        <v>9.7000000000000003E-3</v>
      </c>
      <c r="H61" s="15" t="s">
        <v>388</v>
      </c>
    </row>
    <row r="62" spans="1:8" ht="12.75" customHeight="1" x14ac:dyDescent="0.2">
      <c r="A62">
        <f>+MAX($A$8:A61)+1</f>
        <v>54</v>
      </c>
      <c r="B62" t="s">
        <v>255</v>
      </c>
      <c r="C62" t="s">
        <v>595</v>
      </c>
      <c r="D62" t="s">
        <v>10</v>
      </c>
      <c r="E62" s="28">
        <v>117820</v>
      </c>
      <c r="F62" s="13">
        <v>361.58958000000001</v>
      </c>
      <c r="G62" s="14">
        <f t="shared" si="2"/>
        <v>9.4999999999999998E-3</v>
      </c>
      <c r="H62" s="15" t="s">
        <v>388</v>
      </c>
    </row>
    <row r="63" spans="1:8" ht="12.75" customHeight="1" x14ac:dyDescent="0.2">
      <c r="A63">
        <f>+MAX($A$8:A62)+1</f>
        <v>55</v>
      </c>
      <c r="B63" t="s">
        <v>203</v>
      </c>
      <c r="C63" t="s">
        <v>23</v>
      </c>
      <c r="D63" t="s">
        <v>529</v>
      </c>
      <c r="E63" s="28">
        <v>104515</v>
      </c>
      <c r="F63" s="13">
        <v>361.41287</v>
      </c>
      <c r="G63" s="14">
        <f t="shared" si="2"/>
        <v>9.4000000000000004E-3</v>
      </c>
      <c r="H63" s="15" t="s">
        <v>388</v>
      </c>
    </row>
    <row r="64" spans="1:8" ht="12.75" customHeight="1" x14ac:dyDescent="0.2">
      <c r="A64">
        <f>+MAX($A$8:A63)+1</f>
        <v>56</v>
      </c>
      <c r="B64" t="s">
        <v>221</v>
      </c>
      <c r="C64" t="s">
        <v>29</v>
      </c>
      <c r="D64" t="s">
        <v>10</v>
      </c>
      <c r="E64" s="28">
        <v>67240</v>
      </c>
      <c r="F64" s="13">
        <v>360.00295999999997</v>
      </c>
      <c r="G64" s="14">
        <f t="shared" si="2"/>
        <v>9.4000000000000004E-3</v>
      </c>
      <c r="H64" s="15" t="s">
        <v>388</v>
      </c>
    </row>
    <row r="65" spans="1:9" ht="12.75" customHeight="1" x14ac:dyDescent="0.2">
      <c r="A65">
        <f>+MAX($A$8:A64)+1</f>
        <v>57</v>
      </c>
      <c r="B65" t="s">
        <v>218</v>
      </c>
      <c r="C65" t="s">
        <v>65</v>
      </c>
      <c r="D65" t="s">
        <v>34</v>
      </c>
      <c r="E65" s="28">
        <v>70471</v>
      </c>
      <c r="F65" s="13">
        <v>349.85327950000004</v>
      </c>
      <c r="G65" s="14">
        <f t="shared" si="2"/>
        <v>9.1000000000000004E-3</v>
      </c>
      <c r="H65" s="15" t="s">
        <v>388</v>
      </c>
    </row>
    <row r="66" spans="1:9" ht="12.75" customHeight="1" x14ac:dyDescent="0.2">
      <c r="A66">
        <f>+MAX($A$8:A65)+1</f>
        <v>58</v>
      </c>
      <c r="B66" t="s">
        <v>227</v>
      </c>
      <c r="C66" t="s">
        <v>70</v>
      </c>
      <c r="D66" t="s">
        <v>10</v>
      </c>
      <c r="E66" s="28">
        <v>298135</v>
      </c>
      <c r="F66" s="13">
        <v>329.88637749999998</v>
      </c>
      <c r="G66" s="14">
        <f t="shared" si="2"/>
        <v>8.6E-3</v>
      </c>
      <c r="H66" s="15" t="s">
        <v>388</v>
      </c>
    </row>
    <row r="67" spans="1:9" ht="12.75" customHeight="1" x14ac:dyDescent="0.2">
      <c r="A67">
        <f>+MAX($A$8:A66)+1</f>
        <v>59</v>
      </c>
      <c r="B67" t="s">
        <v>269</v>
      </c>
      <c r="C67" t="s">
        <v>134</v>
      </c>
      <c r="D67" t="s">
        <v>30</v>
      </c>
      <c r="E67" s="28">
        <v>74199</v>
      </c>
      <c r="F67" s="13">
        <v>296.57340299999998</v>
      </c>
      <c r="G67" s="14">
        <f t="shared" si="2"/>
        <v>7.7999999999999996E-3</v>
      </c>
      <c r="H67" s="15" t="s">
        <v>388</v>
      </c>
    </row>
    <row r="68" spans="1:9" ht="12.75" customHeight="1" x14ac:dyDescent="0.2">
      <c r="A68">
        <f>+MAX($A$8:A67)+1</f>
        <v>60</v>
      </c>
      <c r="B68" t="s">
        <v>217</v>
      </c>
      <c r="C68" t="s">
        <v>59</v>
      </c>
      <c r="D68" t="s">
        <v>22</v>
      </c>
      <c r="E68" s="28">
        <v>30445</v>
      </c>
      <c r="F68" s="13">
        <v>286.36567000000002</v>
      </c>
      <c r="G68" s="14">
        <f t="shared" si="2"/>
        <v>7.4999999999999997E-3</v>
      </c>
      <c r="H68" s="15" t="s">
        <v>388</v>
      </c>
    </row>
    <row r="69" spans="1:9" ht="12.75" customHeight="1" x14ac:dyDescent="0.2">
      <c r="A69">
        <f>+MAX($A$8:A68)+1</f>
        <v>61</v>
      </c>
      <c r="B69" t="s">
        <v>222</v>
      </c>
      <c r="C69" t="s">
        <v>74</v>
      </c>
      <c r="D69" t="s">
        <v>32</v>
      </c>
      <c r="E69" s="28">
        <v>105000</v>
      </c>
      <c r="F69" s="13">
        <v>241.23750000000001</v>
      </c>
      <c r="G69" s="14">
        <f t="shared" si="2"/>
        <v>6.3E-3</v>
      </c>
      <c r="H69" s="15" t="s">
        <v>388</v>
      </c>
    </row>
    <row r="70" spans="1:9" ht="12.75" customHeight="1" x14ac:dyDescent="0.2">
      <c r="A70">
        <f>+MAX($A$8:A69)+1</f>
        <v>62</v>
      </c>
      <c r="B70" t="s">
        <v>223</v>
      </c>
      <c r="C70" t="s">
        <v>76</v>
      </c>
      <c r="D70" t="s">
        <v>36</v>
      </c>
      <c r="E70" s="28">
        <v>2533170</v>
      </c>
      <c r="F70" s="13">
        <v>215.31944999999999</v>
      </c>
      <c r="G70" s="14">
        <f t="shared" si="2"/>
        <v>5.5999999999999999E-3</v>
      </c>
      <c r="H70" s="15" t="s">
        <v>388</v>
      </c>
    </row>
    <row r="71" spans="1:9" ht="12.75" customHeight="1" x14ac:dyDescent="0.2">
      <c r="A71">
        <f>+MAX($A$8:A70)+1</f>
        <v>63</v>
      </c>
      <c r="B71" t="s">
        <v>456</v>
      </c>
      <c r="C71" t="s">
        <v>457</v>
      </c>
      <c r="D71" t="s">
        <v>458</v>
      </c>
      <c r="E71" s="28">
        <v>56242</v>
      </c>
      <c r="F71" s="13">
        <v>181.21172399999998</v>
      </c>
      <c r="G71" s="14">
        <f t="shared" si="2"/>
        <v>4.7000000000000002E-3</v>
      </c>
      <c r="H71" s="15" t="s">
        <v>388</v>
      </c>
    </row>
    <row r="72" spans="1:9" ht="12.75" customHeight="1" x14ac:dyDescent="0.2">
      <c r="A72">
        <f>+MAX($A$8:A71)+1</f>
        <v>64</v>
      </c>
      <c r="B72" s="65" t="s">
        <v>683</v>
      </c>
      <c r="C72" t="s">
        <v>684</v>
      </c>
      <c r="D72" t="s">
        <v>26</v>
      </c>
      <c r="E72" s="28">
        <v>1673</v>
      </c>
      <c r="F72" s="13">
        <v>101.827145</v>
      </c>
      <c r="G72" s="14">
        <f t="shared" si="2"/>
        <v>2.7000000000000001E-3</v>
      </c>
      <c r="H72" s="15" t="s">
        <v>388</v>
      </c>
    </row>
    <row r="73" spans="1:9" ht="12.75" customHeight="1" x14ac:dyDescent="0.2">
      <c r="A73">
        <f>+MAX($A$8:A72)+1</f>
        <v>65</v>
      </c>
      <c r="B73" t="s">
        <v>485</v>
      </c>
      <c r="C73" s="122" t="s">
        <v>584</v>
      </c>
      <c r="D73" t="s">
        <v>38</v>
      </c>
      <c r="E73" s="28">
        <v>2250</v>
      </c>
      <c r="F73" s="13">
        <v>0</v>
      </c>
      <c r="G73" s="108" t="s">
        <v>585</v>
      </c>
      <c r="H73" s="15" t="s">
        <v>388</v>
      </c>
    </row>
    <row r="74" spans="1:9" ht="12.75" customHeight="1" x14ac:dyDescent="0.2">
      <c r="A74">
        <f>+MAX($A$8:A73)+1</f>
        <v>66</v>
      </c>
      <c r="B74" t="s">
        <v>653</v>
      </c>
      <c r="C74" t="s">
        <v>85</v>
      </c>
      <c r="D74" t="s">
        <v>103</v>
      </c>
      <c r="E74" s="28">
        <v>374002</v>
      </c>
      <c r="F74" s="13">
        <v>0</v>
      </c>
      <c r="G74" s="108" t="s">
        <v>585</v>
      </c>
      <c r="H74" s="15" t="s">
        <v>388</v>
      </c>
    </row>
    <row r="75" spans="1:9" ht="12.75" customHeight="1" x14ac:dyDescent="0.2">
      <c r="B75" s="18" t="s">
        <v>86</v>
      </c>
      <c r="C75" s="18"/>
      <c r="D75" s="18"/>
      <c r="E75" s="29"/>
      <c r="F75" s="19">
        <f>SUM(F9:F74)</f>
        <v>37426.096158500019</v>
      </c>
      <c r="G75" s="20">
        <f>SUM(G9:G74)</f>
        <v>0.97830000000000039</v>
      </c>
      <c r="H75" s="21"/>
      <c r="I75" s="49"/>
    </row>
    <row r="76" spans="1:9" ht="12.75" customHeight="1" x14ac:dyDescent="0.2">
      <c r="F76" s="13"/>
      <c r="G76" s="14"/>
      <c r="H76" s="15"/>
    </row>
    <row r="77" spans="1:9" ht="12.75" customHeight="1" x14ac:dyDescent="0.2">
      <c r="A77" s="95" t="s">
        <v>387</v>
      </c>
      <c r="B77" s="16" t="s">
        <v>94</v>
      </c>
      <c r="C77" s="16"/>
      <c r="F77" s="13">
        <v>964.47134110000002</v>
      </c>
      <c r="G77" s="14">
        <f>+ROUND(F77/VLOOKUP("Grand Total",$B$4:$F$278,5,0),4)</f>
        <v>2.52E-2</v>
      </c>
      <c r="H77" s="15">
        <v>43073</v>
      </c>
    </row>
    <row r="78" spans="1:9" ht="12.75" customHeight="1" x14ac:dyDescent="0.2">
      <c r="B78" s="18" t="s">
        <v>86</v>
      </c>
      <c r="C78" s="18"/>
      <c r="D78" s="18"/>
      <c r="E78" s="29"/>
      <c r="F78" s="19">
        <f>SUM(F77)</f>
        <v>964.47134110000002</v>
      </c>
      <c r="G78" s="20">
        <f>SUM(G77)</f>
        <v>2.52E-2</v>
      </c>
      <c r="H78" s="21"/>
      <c r="I78" s="35"/>
    </row>
    <row r="79" spans="1:9" ht="12.75" customHeight="1" x14ac:dyDescent="0.2">
      <c r="F79" s="13"/>
      <c r="G79" s="14"/>
      <c r="H79" s="15"/>
    </row>
    <row r="80" spans="1:9" ht="12.75" customHeight="1" x14ac:dyDescent="0.2">
      <c r="B80" s="16" t="s">
        <v>95</v>
      </c>
      <c r="C80" s="16"/>
      <c r="F80" s="13"/>
      <c r="G80" s="14"/>
      <c r="H80" s="15"/>
    </row>
    <row r="81" spans="2:9" ht="12.75" customHeight="1" x14ac:dyDescent="0.2">
      <c r="B81" s="16" t="s">
        <v>96</v>
      </c>
      <c r="C81" s="16"/>
      <c r="F81" s="13">
        <v>-136.23982049999177</v>
      </c>
      <c r="G81" s="14">
        <f>+ROUND(F81/VLOOKUP("Grand Total",$B$4:$F$278,5,0),4)+0.01%</f>
        <v>-3.5000000000000001E-3</v>
      </c>
      <c r="H81" s="15"/>
    </row>
    <row r="82" spans="2:9" ht="12.75" customHeight="1" x14ac:dyDescent="0.2">
      <c r="B82" s="18" t="s">
        <v>86</v>
      </c>
      <c r="C82" s="18"/>
      <c r="D82" s="18"/>
      <c r="E82" s="29"/>
      <c r="F82" s="19">
        <f>SUM(F81)</f>
        <v>-136.23982049999177</v>
      </c>
      <c r="G82" s="20">
        <f>SUM(G81)</f>
        <v>-3.5000000000000001E-3</v>
      </c>
      <c r="H82" s="21"/>
      <c r="I82" s="35"/>
    </row>
    <row r="83" spans="2:9" ht="12.75" customHeight="1" x14ac:dyDescent="0.2">
      <c r="B83" s="22" t="s">
        <v>97</v>
      </c>
      <c r="C83" s="22"/>
      <c r="D83" s="22"/>
      <c r="E83" s="30"/>
      <c r="F83" s="23">
        <f>+SUMIF($B$5:B82,"Total",$F$5:F82)</f>
        <v>38254.327679100024</v>
      </c>
      <c r="G83" s="24">
        <f>+SUMIF($B$5:B82,"Total",$G$5:G82)</f>
        <v>1.0000000000000002</v>
      </c>
      <c r="H83" s="25"/>
      <c r="I83" s="35"/>
    </row>
    <row r="84" spans="2:9" ht="12.75" customHeight="1" x14ac:dyDescent="0.2"/>
    <row r="85" spans="2:9" ht="12.75" customHeight="1" x14ac:dyDescent="0.2">
      <c r="B85" s="16" t="s">
        <v>190</v>
      </c>
      <c r="C85" s="16"/>
    </row>
    <row r="86" spans="2:9" ht="12.75" customHeight="1" x14ac:dyDescent="0.2">
      <c r="B86" s="16" t="s">
        <v>193</v>
      </c>
      <c r="C86" s="16"/>
      <c r="F86" s="43"/>
      <c r="G86" s="43"/>
    </row>
    <row r="87" spans="2:9" ht="12.75" customHeight="1" x14ac:dyDescent="0.2">
      <c r="B87" s="16" t="s">
        <v>189</v>
      </c>
      <c r="C87" s="16"/>
    </row>
    <row r="88" spans="2:9" ht="12.75" customHeight="1" x14ac:dyDescent="0.2">
      <c r="B88" s="53" t="s">
        <v>315</v>
      </c>
    </row>
    <row r="89" spans="2:9" ht="12.75" customHeight="1" x14ac:dyDescent="0.2"/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</sheetData>
  <sheetProtection password="EDB4" sheet="1" objects="1" scenarios="1"/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3" ht="18.75" x14ac:dyDescent="0.2">
      <c r="A1" s="94" t="s">
        <v>396</v>
      </c>
      <c r="B1" s="124" t="s">
        <v>166</v>
      </c>
      <c r="C1" s="125"/>
      <c r="D1" s="125"/>
      <c r="E1" s="125"/>
      <c r="F1" s="125"/>
      <c r="G1" s="125"/>
      <c r="H1" s="126"/>
    </row>
    <row r="2" spans="1:13" x14ac:dyDescent="0.2">
      <c r="A2" s="96" t="s">
        <v>1</v>
      </c>
      <c r="B2" s="3" t="s">
        <v>680</v>
      </c>
      <c r="C2" s="3"/>
      <c r="D2" s="4"/>
      <c r="E2" s="27"/>
      <c r="F2" s="5"/>
      <c r="G2" s="6"/>
      <c r="H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3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186</v>
      </c>
      <c r="F4" s="11" t="s">
        <v>5</v>
      </c>
      <c r="G4" s="12" t="s">
        <v>6</v>
      </c>
      <c r="H4" s="32" t="s">
        <v>7</v>
      </c>
      <c r="I4" s="34"/>
    </row>
    <row r="5" spans="1:13" ht="12.75" customHeight="1" x14ac:dyDescent="0.2">
      <c r="F5" s="13"/>
      <c r="G5" s="14"/>
      <c r="H5" s="15"/>
    </row>
    <row r="6" spans="1:13" ht="12.75" customHeight="1" x14ac:dyDescent="0.2">
      <c r="F6" s="13"/>
      <c r="G6" s="14"/>
      <c r="H6" s="15"/>
    </row>
    <row r="7" spans="1:13" ht="12.75" customHeight="1" x14ac:dyDescent="0.2">
      <c r="B7" s="31" t="s">
        <v>187</v>
      </c>
      <c r="F7" s="13"/>
      <c r="G7" s="14"/>
      <c r="H7" s="15"/>
    </row>
    <row r="8" spans="1:13" ht="12.75" customHeight="1" x14ac:dyDescent="0.2">
      <c r="B8" s="31" t="s">
        <v>188</v>
      </c>
      <c r="C8" s="16"/>
      <c r="F8" s="13"/>
      <c r="G8" s="14"/>
      <c r="H8" s="15"/>
      <c r="J8" s="17" t="s">
        <v>4</v>
      </c>
      <c r="K8" s="37" t="s">
        <v>12</v>
      </c>
    </row>
    <row r="9" spans="1:13" ht="12.75" customHeight="1" x14ac:dyDescent="0.2">
      <c r="A9">
        <f>+MAX($A$8:A8)+1</f>
        <v>1</v>
      </c>
      <c r="B9" t="s">
        <v>167</v>
      </c>
      <c r="C9" s="122" t="s">
        <v>584</v>
      </c>
      <c r="D9" t="s">
        <v>327</v>
      </c>
      <c r="E9" s="28">
        <v>40455.476999999999</v>
      </c>
      <c r="F9" s="13">
        <v>1642.7271293000001</v>
      </c>
      <c r="G9" s="14">
        <f>+ROUND(F9/VLOOKUP("Grand Total",$B$4:$F$288,5,0),4)</f>
        <v>0.99</v>
      </c>
      <c r="H9" s="15" t="s">
        <v>388</v>
      </c>
      <c r="J9" s="14" t="s">
        <v>327</v>
      </c>
      <c r="K9" s="48">
        <f>SUMIFS($G$5:$G$321,$D$5:$D$321,J9)</f>
        <v>0.99</v>
      </c>
    </row>
    <row r="10" spans="1:13" ht="12.75" customHeight="1" x14ac:dyDescent="0.2">
      <c r="B10" s="18" t="s">
        <v>86</v>
      </c>
      <c r="C10" s="18"/>
      <c r="D10" s="18"/>
      <c r="E10" s="29"/>
      <c r="F10" s="19">
        <f>SUM(F9)</f>
        <v>1642.7271293000001</v>
      </c>
      <c r="G10" s="20">
        <f>SUM(G9)</f>
        <v>0.99</v>
      </c>
      <c r="H10" s="21"/>
      <c r="I10" s="35"/>
      <c r="J10" s="14" t="s">
        <v>64</v>
      </c>
      <c r="K10" s="48">
        <f>+SUMIFS($G$5:$G$999,$B$5:$B$999,"CBLO / Reverse Repo Investments")+SUMIFS($G$5:$G$999,$B$5:$B$999,"Net Receivable/Payable")</f>
        <v>1.0000000000000002E-2</v>
      </c>
    </row>
    <row r="11" spans="1:13" ht="12.75" customHeight="1" x14ac:dyDescent="0.2">
      <c r="F11" s="13"/>
      <c r="G11" s="14"/>
      <c r="H11" s="15"/>
      <c r="J11" s="14"/>
    </row>
    <row r="12" spans="1:13" ht="12.75" customHeight="1" x14ac:dyDescent="0.2">
      <c r="A12" s="95" t="s">
        <v>387</v>
      </c>
      <c r="B12" s="16" t="s">
        <v>94</v>
      </c>
      <c r="C12" s="16"/>
      <c r="F12" s="13">
        <v>49.296315199999995</v>
      </c>
      <c r="G12" s="14">
        <f>+ROUND(F12/VLOOKUP("Grand Total",$B$4:$F$288,5,0),4)</f>
        <v>2.9700000000000001E-2</v>
      </c>
      <c r="H12" s="15">
        <v>43073</v>
      </c>
      <c r="J12" s="14"/>
      <c r="L12" s="54"/>
      <c r="M12" s="62"/>
    </row>
    <row r="13" spans="1:13" ht="12.75" customHeight="1" x14ac:dyDescent="0.2">
      <c r="B13" s="18" t="s">
        <v>86</v>
      </c>
      <c r="C13" s="18"/>
      <c r="D13" s="18"/>
      <c r="E13" s="29"/>
      <c r="F13" s="19">
        <f>SUM(F12)</f>
        <v>49.296315199999995</v>
      </c>
      <c r="G13" s="20">
        <f>SUM(G12)</f>
        <v>2.9700000000000001E-2</v>
      </c>
      <c r="H13" s="21"/>
      <c r="I13" s="35"/>
    </row>
    <row r="14" spans="1:13" ht="12.75" customHeight="1" x14ac:dyDescent="0.2">
      <c r="F14" s="13"/>
      <c r="G14" s="14"/>
      <c r="H14" s="15"/>
    </row>
    <row r="15" spans="1:13" ht="12.75" customHeight="1" x14ac:dyDescent="0.2">
      <c r="B15" s="16" t="s">
        <v>95</v>
      </c>
      <c r="C15" s="16"/>
      <c r="F15" s="13"/>
      <c r="G15" s="14"/>
      <c r="H15" s="15"/>
    </row>
    <row r="16" spans="1:13" ht="12.75" customHeight="1" x14ac:dyDescent="0.2">
      <c r="B16" s="16" t="s">
        <v>96</v>
      </c>
      <c r="C16" s="16"/>
      <c r="F16" s="43">
        <v>-32.684040900000355</v>
      </c>
      <c r="G16" s="14">
        <f>+ROUND(F16/VLOOKUP("Grand Total",$B$4:$F$288,5,0),4)</f>
        <v>-1.9699999999999999E-2</v>
      </c>
      <c r="H16" s="15"/>
    </row>
    <row r="17" spans="2:9" ht="12.75" customHeight="1" x14ac:dyDescent="0.2">
      <c r="B17" s="18" t="s">
        <v>86</v>
      </c>
      <c r="C17" s="18"/>
      <c r="D17" s="18"/>
      <c r="E17" s="29"/>
      <c r="F17" s="50">
        <f>SUM(F16)</f>
        <v>-32.684040900000355</v>
      </c>
      <c r="G17" s="20">
        <f>SUM(G16)</f>
        <v>-1.9699999999999999E-2</v>
      </c>
      <c r="H17" s="21"/>
      <c r="I17" s="35"/>
    </row>
    <row r="18" spans="2:9" ht="12.75" customHeight="1" x14ac:dyDescent="0.2">
      <c r="B18" s="22" t="s">
        <v>97</v>
      </c>
      <c r="C18" s="22"/>
      <c r="D18" s="22"/>
      <c r="E18" s="30"/>
      <c r="F18" s="23">
        <f>+SUMIF($B$5:B17,"Total",$F$5:F17)</f>
        <v>1659.3394035999997</v>
      </c>
      <c r="G18" s="24">
        <f>+SUMIF($B$5:B17,"Total",$G$5:G17)</f>
        <v>1</v>
      </c>
      <c r="H18" s="25"/>
      <c r="I18" s="35"/>
    </row>
    <row r="19" spans="2:9" ht="12.75" customHeight="1" x14ac:dyDescent="0.2"/>
    <row r="20" spans="2:9" ht="12.75" customHeight="1" x14ac:dyDescent="0.2">
      <c r="B20" s="16"/>
      <c r="C20" s="16"/>
      <c r="G20" s="88"/>
    </row>
    <row r="21" spans="2:9" ht="12.75" customHeight="1" x14ac:dyDescent="0.2">
      <c r="B21" s="16"/>
      <c r="C21" s="16"/>
    </row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EDB4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DYNAMIC BOND</vt:lpstr>
      <vt:lpstr>SHORT TERM</vt:lpstr>
      <vt:lpstr>Equity Savings</vt:lpstr>
      <vt:lpstr>DEBT SAVINGS</vt:lpstr>
      <vt:lpstr>BALANCED</vt:lpstr>
      <vt:lpstr>CASH MANAGEMENT</vt:lpstr>
      <vt:lpstr>MONEY MANAGER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2017-12-07T07:25:26Z</dcterms:modified>
</cp:coreProperties>
</file>