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7-2018\Feb 2018\"/>
    </mc:Choice>
  </mc:AlternateContent>
  <bookViews>
    <workbookView xWindow="0" yWindow="495" windowWidth="15480" windowHeight="1116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FMP -SR B5" sheetId="22" state="hidden" r:id="rId19"/>
    <sheet name="ASSET ALLOCATION FOF-MP" sheetId="31" r:id="rId20"/>
    <sheet name="ASSET ALLOCATION FOF-CP" sheetId="34" r:id="rId21"/>
    <sheet name="ASSET ALLOCATION FOF-AP" sheetId="35" r:id="rId22"/>
    <sheet name="ARBITRAGE FUND" sheetId="36" r:id="rId23"/>
  </sheets>
  <definedNames>
    <definedName name="_xlnm._FilterDatabase" localSheetId="22" hidden="1">'ARBITRAGE FUND'!#REF!</definedName>
    <definedName name="_xlnm._FilterDatabase" localSheetId="13" hidden="1">'Equity Savings'!$A$38:$Q$93</definedName>
    <definedName name="_xlnm._FilterDatabase" localSheetId="0" hidden="1">GROWTH!$D$4:$D$146</definedName>
    <definedName name="_xlnm._FilterDatabase" localSheetId="6" hidden="1">'SMART EQUITY'!$B$32:$H$73</definedName>
  </definedNames>
  <calcPr calcId="152511"/>
</workbook>
</file>

<file path=xl/calcChain.xml><?xml version="1.0" encoding="utf-8"?>
<calcChain xmlns="http://schemas.openxmlformats.org/spreadsheetml/2006/main">
  <c r="A35" i="8" l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34" i="8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10" i="36"/>
  <c r="A41" i="17"/>
  <c r="A40" i="17"/>
  <c r="A42" i="17" l="1"/>
  <c r="L21" i="36"/>
  <c r="F33" i="36"/>
  <c r="H32" i="36"/>
  <c r="H30" i="36"/>
  <c r="H28" i="36"/>
  <c r="H26" i="36"/>
  <c r="H24" i="36"/>
  <c r="H22" i="36"/>
  <c r="H20" i="36"/>
  <c r="H18" i="36"/>
  <c r="H14" i="36"/>
  <c r="H16" i="36"/>
  <c r="H12" i="36"/>
  <c r="H10" i="36"/>
  <c r="L38" i="17"/>
  <c r="F93" i="17"/>
  <c r="G63" i="17"/>
  <c r="G51" i="17"/>
  <c r="G83" i="17"/>
  <c r="G77" i="17"/>
  <c r="G85" i="17"/>
  <c r="G49" i="17"/>
  <c r="G75" i="17"/>
  <c r="G91" i="17"/>
  <c r="G89" i="17"/>
  <c r="G87" i="17"/>
  <c r="G61" i="17"/>
  <c r="G53" i="17"/>
  <c r="L29" i="17" s="1"/>
  <c r="G81" i="17"/>
  <c r="G57" i="17"/>
  <c r="L30" i="17" s="1"/>
  <c r="G59" i="17"/>
  <c r="L32" i="17" s="1"/>
  <c r="G71" i="17"/>
  <c r="L35" i="17" s="1"/>
  <c r="G67" i="17"/>
  <c r="G73" i="17"/>
  <c r="G79" i="17"/>
  <c r="G39" i="17"/>
  <c r="G41" i="17"/>
  <c r="G47" i="17"/>
  <c r="L20" i="17" s="1"/>
  <c r="G45" i="17"/>
  <c r="L15" i="17" s="1"/>
  <c r="G69" i="17"/>
  <c r="L33" i="17" s="1"/>
  <c r="G65" i="17"/>
  <c r="G55" i="17"/>
  <c r="G43" i="17"/>
  <c r="L34" i="8"/>
  <c r="F73" i="8"/>
  <c r="G45" i="8"/>
  <c r="G35" i="8"/>
  <c r="G69" i="8"/>
  <c r="G63" i="8"/>
  <c r="G61" i="8"/>
  <c r="G47" i="8"/>
  <c r="G65" i="8"/>
  <c r="G57" i="8"/>
  <c r="G43" i="8"/>
  <c r="G71" i="8"/>
  <c r="L33" i="8" s="1"/>
  <c r="G49" i="8"/>
  <c r="G39" i="8"/>
  <c r="L16" i="8" s="1"/>
  <c r="G53" i="8"/>
  <c r="L28" i="8" s="1"/>
  <c r="G55" i="8"/>
  <c r="G33" i="8"/>
  <c r="G59" i="8"/>
  <c r="G41" i="8"/>
  <c r="L20" i="8" s="1"/>
  <c r="G67" i="8"/>
  <c r="G51" i="8"/>
  <c r="G37" i="8"/>
  <c r="H92" i="17"/>
  <c r="H90" i="17"/>
  <c r="H88" i="17"/>
  <c r="H86" i="17"/>
  <c r="H84" i="17"/>
  <c r="H82" i="17"/>
  <c r="H80" i="17"/>
  <c r="H78" i="17"/>
  <c r="H76" i="17"/>
  <c r="H74" i="17"/>
  <c r="H72" i="17"/>
  <c r="H70" i="17"/>
  <c r="H68" i="17"/>
  <c r="H66" i="17"/>
  <c r="H64" i="17"/>
  <c r="H62" i="17"/>
  <c r="H60" i="17"/>
  <c r="H58" i="17"/>
  <c r="H56" i="17"/>
  <c r="H54" i="17"/>
  <c r="H52" i="17"/>
  <c r="H50" i="17"/>
  <c r="H48" i="17"/>
  <c r="H46" i="17"/>
  <c r="H44" i="17"/>
  <c r="H42" i="17"/>
  <c r="H40" i="17"/>
  <c r="H72" i="8"/>
  <c r="H70" i="8"/>
  <c r="H68" i="8"/>
  <c r="H66" i="8"/>
  <c r="H64" i="8"/>
  <c r="H62" i="8"/>
  <c r="H60" i="8"/>
  <c r="H58" i="8"/>
  <c r="H56" i="8"/>
  <c r="H54" i="8"/>
  <c r="H52" i="8"/>
  <c r="H50" i="8"/>
  <c r="H48" i="8"/>
  <c r="H46" i="8"/>
  <c r="H44" i="8"/>
  <c r="H42" i="8"/>
  <c r="H40" i="8"/>
  <c r="H38" i="8"/>
  <c r="H36" i="8"/>
  <c r="H34" i="8"/>
  <c r="A44" i="17" l="1"/>
  <c r="A43" i="17"/>
  <c r="H33" i="36"/>
  <c r="L18" i="17"/>
  <c r="G93" i="17"/>
  <c r="G73" i="8"/>
  <c r="H73" i="8"/>
  <c r="H93" i="17"/>
  <c r="A45" i="17" l="1"/>
  <c r="K52" i="19"/>
  <c r="K31" i="9"/>
  <c r="K39" i="2"/>
  <c r="F15" i="18"/>
  <c r="F86" i="2"/>
  <c r="A46" i="17" l="1"/>
  <c r="A47" i="17"/>
  <c r="A48" i="17"/>
  <c r="F36" i="17"/>
  <c r="F30" i="8"/>
  <c r="A49" i="17" l="1"/>
  <c r="A50" i="17" s="1"/>
  <c r="K30" i="7"/>
  <c r="A52" i="17" l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51" i="17"/>
  <c r="F130" i="19"/>
  <c r="F76" i="19"/>
  <c r="F19" i="18"/>
  <c r="F20" i="16"/>
  <c r="F26" i="14"/>
  <c r="F97" i="8"/>
  <c r="F82" i="8"/>
  <c r="F40" i="36" l="1"/>
  <c r="F134" i="19" l="1"/>
  <c r="F104" i="6"/>
  <c r="F63" i="4"/>
  <c r="F111" i="17" l="1"/>
  <c r="K38" i="2" l="1"/>
  <c r="F72" i="9"/>
  <c r="F61" i="7"/>
  <c r="A9" i="36"/>
  <c r="F16" i="16"/>
  <c r="A9" i="14" l="1"/>
  <c r="F28" i="21"/>
  <c r="F12" i="20"/>
  <c r="F86" i="19"/>
  <c r="F101" i="17"/>
  <c r="F10" i="14"/>
  <c r="F25" i="11"/>
  <c r="F66" i="4"/>
  <c r="F70" i="4"/>
  <c r="A13" i="14" l="1"/>
  <c r="A14" i="14" s="1"/>
  <c r="A15" i="14" l="1"/>
  <c r="A16" i="14" l="1"/>
  <c r="F43" i="20"/>
  <c r="A9" i="20"/>
  <c r="F114" i="19"/>
  <c r="F42" i="12"/>
  <c r="F19" i="12"/>
  <c r="F46" i="11"/>
  <c r="A10" i="20" l="1"/>
  <c r="A11" i="20" s="1"/>
  <c r="A17" i="14"/>
  <c r="A18" i="14" s="1"/>
  <c r="F39" i="16"/>
  <c r="A19" i="14" l="1"/>
  <c r="A20" i="14" s="1"/>
  <c r="A21" i="14" s="1"/>
  <c r="A25" i="14" l="1"/>
  <c r="A30" i="14" s="1"/>
  <c r="A31" i="14" l="1"/>
  <c r="A32" i="14"/>
  <c r="A33" i="14" s="1"/>
  <c r="A34" i="14"/>
  <c r="A35" i="14" s="1"/>
  <c r="A36" i="14" s="1"/>
  <c r="A37" i="14" s="1"/>
  <c r="A38" i="14" s="1"/>
  <c r="A39" i="14" s="1"/>
  <c r="F137" i="19"/>
  <c r="F126" i="19"/>
  <c r="F110" i="19"/>
  <c r="F71" i="19"/>
  <c r="F46" i="20"/>
  <c r="F38" i="20"/>
  <c r="F10" i="18" l="1"/>
  <c r="A9" i="18"/>
  <c r="F47" i="36" l="1"/>
  <c r="F44" i="36"/>
  <c r="F50" i="36" s="1"/>
  <c r="F101" i="8" l="1"/>
  <c r="F72" i="2" l="1"/>
  <c r="F81" i="5" l="1"/>
  <c r="F78" i="5"/>
  <c r="F74" i="5"/>
  <c r="F66" i="5"/>
  <c r="F12" i="35" l="1"/>
  <c r="F11" i="34"/>
  <c r="F12" i="31"/>
  <c r="F31" i="21"/>
  <c r="F24" i="21"/>
  <c r="F34" i="18"/>
  <c r="F31" i="18"/>
  <c r="F115" i="17"/>
  <c r="F42" i="16"/>
  <c r="F10" i="16"/>
  <c r="F43" i="14"/>
  <c r="F40" i="14"/>
  <c r="F22" i="14"/>
  <c r="F45" i="12"/>
  <c r="F38" i="12"/>
  <c r="F15" i="12"/>
  <c r="F49" i="11"/>
  <c r="F42" i="11"/>
  <c r="F21" i="11"/>
  <c r="F10" i="11"/>
  <c r="F13" i="10"/>
  <c r="F10" i="10"/>
  <c r="F75" i="9"/>
  <c r="F104" i="8"/>
  <c r="F107" i="8" s="1"/>
  <c r="G107" i="8" s="1"/>
  <c r="F86" i="8"/>
  <c r="F69" i="7"/>
  <c r="F66" i="7"/>
  <c r="F112" i="6"/>
  <c r="F109" i="6"/>
  <c r="F99" i="6"/>
  <c r="F59" i="4"/>
  <c r="F71" i="4" s="1"/>
  <c r="G69" i="4" s="1"/>
  <c r="F62" i="3"/>
  <c r="F59" i="3"/>
  <c r="F89" i="2"/>
  <c r="F82" i="2"/>
  <c r="G70" i="4" l="1"/>
  <c r="G65" i="4"/>
  <c r="K32" i="4" s="1"/>
  <c r="G62" i="4"/>
  <c r="G63" i="4" l="1"/>
  <c r="G66" i="4"/>
  <c r="F14" i="34"/>
  <c r="F22" i="31"/>
  <c r="F18" i="31"/>
  <c r="F35" i="21"/>
  <c r="F141" i="19"/>
  <c r="F38" i="18"/>
  <c r="F118" i="17"/>
  <c r="F121" i="17" s="1"/>
  <c r="G121" i="17" s="1"/>
  <c r="F46" i="16"/>
  <c r="F47" i="14"/>
  <c r="F49" i="12"/>
  <c r="F53" i="11"/>
  <c r="F54" i="11" s="1"/>
  <c r="G52" i="11" s="1"/>
  <c r="F17" i="10"/>
  <c r="F79" i="9"/>
  <c r="F73" i="7"/>
  <c r="F116" i="6"/>
  <c r="F117" i="6" s="1"/>
  <c r="F85" i="5"/>
  <c r="F86" i="5" s="1"/>
  <c r="G84" i="5" s="1"/>
  <c r="F66" i="3"/>
  <c r="F93" i="2"/>
  <c r="G111" i="6" l="1"/>
  <c r="G102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97" i="6"/>
  <c r="G89" i="6"/>
  <c r="G77" i="6"/>
  <c r="G65" i="6"/>
  <c r="G53" i="6"/>
  <c r="G41" i="6"/>
  <c r="G29" i="6"/>
  <c r="G17" i="6"/>
  <c r="G108" i="6"/>
  <c r="G98" i="6"/>
  <c r="G94" i="6"/>
  <c r="G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85" i="6"/>
  <c r="G73" i="6"/>
  <c r="G61" i="6"/>
  <c r="G49" i="6"/>
  <c r="G37" i="6"/>
  <c r="G25" i="6"/>
  <c r="G13" i="6"/>
  <c r="G115" i="6"/>
  <c r="G103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107" i="6"/>
  <c r="K36" i="6" s="1"/>
  <c r="G93" i="6"/>
  <c r="G81" i="6"/>
  <c r="G69" i="6"/>
  <c r="G57" i="6"/>
  <c r="G45" i="6"/>
  <c r="G33" i="6"/>
  <c r="G21" i="6"/>
  <c r="G116" i="6"/>
  <c r="G64" i="5"/>
  <c r="G62" i="5"/>
  <c r="G63" i="5"/>
  <c r="G24" i="11"/>
  <c r="K24" i="11" s="1"/>
  <c r="G20" i="11"/>
  <c r="G60" i="5"/>
  <c r="G61" i="5"/>
  <c r="G45" i="11"/>
  <c r="G35" i="11"/>
  <c r="G57" i="5"/>
  <c r="G59" i="5"/>
  <c r="G58" i="5"/>
  <c r="G57" i="4"/>
  <c r="G56" i="4"/>
  <c r="K31" i="4" s="1"/>
  <c r="G58" i="4"/>
  <c r="G55" i="4"/>
  <c r="G19" i="11"/>
  <c r="G18" i="11"/>
  <c r="G17" i="11"/>
  <c r="G54" i="4"/>
  <c r="G52" i="4"/>
  <c r="G53" i="4"/>
  <c r="F108" i="8"/>
  <c r="K37" i="6" l="1"/>
  <c r="G80" i="8"/>
  <c r="G81" i="8"/>
  <c r="G79" i="8"/>
  <c r="L21" i="8" s="1"/>
  <c r="G104" i="6"/>
  <c r="G96" i="8"/>
  <c r="L31" i="8" s="1"/>
  <c r="G85" i="8"/>
  <c r="L32" i="8" s="1"/>
  <c r="G28" i="8"/>
  <c r="G93" i="8"/>
  <c r="L27" i="8" s="1"/>
  <c r="G27" i="8"/>
  <c r="L12" i="8" s="1"/>
  <c r="G24" i="8"/>
  <c r="L30" i="8" s="1"/>
  <c r="G92" i="8"/>
  <c r="L26" i="8" s="1"/>
  <c r="G26" i="8"/>
  <c r="G91" i="8"/>
  <c r="L24" i="8" s="1"/>
  <c r="G29" i="8"/>
  <c r="L10" i="8" s="1"/>
  <c r="G25" i="8"/>
  <c r="G78" i="8"/>
  <c r="G90" i="8"/>
  <c r="L22" i="8" s="1"/>
  <c r="G94" i="8"/>
  <c r="G95" i="8"/>
  <c r="G19" i="8"/>
  <c r="L11" i="8" s="1"/>
  <c r="G21" i="8"/>
  <c r="G23" i="8"/>
  <c r="G22" i="8"/>
  <c r="L9" i="8" s="1"/>
  <c r="G20" i="8"/>
  <c r="L29" i="8" s="1"/>
  <c r="G18" i="8"/>
  <c r="K35" i="6"/>
  <c r="G46" i="11"/>
  <c r="K12" i="11"/>
  <c r="G15" i="8"/>
  <c r="G14" i="8"/>
  <c r="G12" i="8"/>
  <c r="G13" i="8"/>
  <c r="G11" i="8"/>
  <c r="G17" i="8"/>
  <c r="G16" i="8"/>
  <c r="G10" i="8"/>
  <c r="G9" i="8"/>
  <c r="G103" i="8"/>
  <c r="L35" i="8" s="1"/>
  <c r="G100" i="8"/>
  <c r="L23" i="8" s="1"/>
  <c r="G77" i="8"/>
  <c r="L15" i="8" s="1"/>
  <c r="G25" i="11"/>
  <c r="G109" i="6"/>
  <c r="K34" i="6"/>
  <c r="G112" i="6"/>
  <c r="L18" i="8" l="1"/>
  <c r="L25" i="8"/>
  <c r="L17" i="8"/>
  <c r="L13" i="8"/>
  <c r="G30" i="8"/>
  <c r="G97" i="8"/>
  <c r="G82" i="8"/>
  <c r="L19" i="8"/>
  <c r="L14" i="8"/>
  <c r="G101" i="8"/>
  <c r="G86" i="8"/>
  <c r="G104" i="8"/>
  <c r="A9" i="11"/>
  <c r="G53" i="11" l="1"/>
  <c r="G32" i="11"/>
  <c r="G13" i="11"/>
  <c r="G34" i="11"/>
  <c r="G29" i="11"/>
  <c r="G40" i="11"/>
  <c r="K23" i="11" s="1"/>
  <c r="G14" i="11"/>
  <c r="G37" i="11"/>
  <c r="G31" i="11"/>
  <c r="G16" i="11"/>
  <c r="G41" i="11"/>
  <c r="G30" i="11"/>
  <c r="G33" i="11"/>
  <c r="G38" i="11"/>
  <c r="G39" i="11"/>
  <c r="K22" i="11" s="1"/>
  <c r="G9" i="11"/>
  <c r="G15" i="11"/>
  <c r="G36" i="11"/>
  <c r="G48" i="11"/>
  <c r="K25" i="11" s="1"/>
  <c r="K11" i="11" l="1"/>
  <c r="K17" i="11"/>
  <c r="K19" i="11"/>
  <c r="K21" i="11"/>
  <c r="K13" i="11"/>
  <c r="K20" i="11"/>
  <c r="K15" i="11"/>
  <c r="K14" i="11"/>
  <c r="K18" i="11"/>
  <c r="K16" i="11"/>
  <c r="K9" i="11"/>
  <c r="K10" i="11"/>
  <c r="G49" i="11"/>
  <c r="G10" i="11"/>
  <c r="G42" i="11"/>
  <c r="G21" i="11"/>
  <c r="G54" i="11" l="1"/>
  <c r="A9" i="17" l="1"/>
  <c r="A13" i="11"/>
  <c r="A10" i="17" l="1"/>
  <c r="A11" i="17"/>
  <c r="A14" i="11"/>
  <c r="A12" i="17" l="1"/>
  <c r="A15" i="11"/>
  <c r="A13" i="17" l="1"/>
  <c r="A14" i="17" s="1"/>
  <c r="A16" i="11"/>
  <c r="I135" i="7"/>
  <c r="I131" i="7"/>
  <c r="I127" i="7"/>
  <c r="I126" i="7"/>
  <c r="I121" i="7"/>
  <c r="I120" i="7"/>
  <c r="I116" i="7"/>
  <c r="I112" i="7"/>
  <c r="I111" i="7"/>
  <c r="I110" i="7"/>
  <c r="I109" i="7"/>
  <c r="I108" i="7"/>
  <c r="I107" i="7"/>
  <c r="A15" i="17" l="1"/>
  <c r="A17" i="11"/>
  <c r="A18" i="11" s="1"/>
  <c r="A19" i="11" s="1"/>
  <c r="A16" i="17" l="1"/>
  <c r="A17" i="17" s="1"/>
  <c r="A18" i="17" s="1"/>
  <c r="A20" i="11"/>
  <c r="A19" i="17" l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H14" i="22"/>
  <c r="A39" i="17" l="1"/>
  <c r="F15" i="35"/>
  <c r="A24" i="11" l="1"/>
  <c r="A13" i="18"/>
  <c r="A14" i="18" l="1"/>
  <c r="A18" i="18" s="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F15" i="31"/>
  <c r="A8" i="35"/>
  <c r="A8" i="34"/>
  <c r="A8" i="31"/>
  <c r="A9" i="31" s="1"/>
  <c r="A10" i="31" s="1"/>
  <c r="A11" i="31" s="1"/>
  <c r="F19" i="35"/>
  <c r="F18" i="34"/>
  <c r="A9" i="19"/>
  <c r="A9" i="12"/>
  <c r="A9" i="10"/>
  <c r="A9" i="9"/>
  <c r="A9" i="7"/>
  <c r="A9" i="6"/>
  <c r="A9" i="5"/>
  <c r="A9" i="4"/>
  <c r="A9" i="3"/>
  <c r="A9" i="2"/>
  <c r="B2" i="22"/>
  <c r="F19" i="22"/>
  <c r="F15" i="22"/>
  <c r="F12" i="22"/>
  <c r="F50" i="20"/>
  <c r="F51" i="20" s="1"/>
  <c r="G49" i="20" s="1"/>
  <c r="F80" i="9"/>
  <c r="G78" i="9" s="1"/>
  <c r="F67" i="3"/>
  <c r="G65" i="3" s="1"/>
  <c r="G61" i="3" l="1"/>
  <c r="K30" i="3" s="1"/>
  <c r="G55" i="3"/>
  <c r="G51" i="3"/>
  <c r="G47" i="3"/>
  <c r="G43" i="3"/>
  <c r="G39" i="3"/>
  <c r="G35" i="3"/>
  <c r="G31" i="3"/>
  <c r="K22" i="3" s="1"/>
  <c r="G23" i="3"/>
  <c r="G15" i="3"/>
  <c r="G10" i="3"/>
  <c r="G58" i="3"/>
  <c r="K29" i="3" s="1"/>
  <c r="G54" i="3"/>
  <c r="G50" i="3"/>
  <c r="G46" i="3"/>
  <c r="G42" i="3"/>
  <c r="G38" i="3"/>
  <c r="G34" i="3"/>
  <c r="G30" i="3"/>
  <c r="G26" i="3"/>
  <c r="G22" i="3"/>
  <c r="G18" i="3"/>
  <c r="G57" i="3"/>
  <c r="G53" i="3"/>
  <c r="K28" i="3" s="1"/>
  <c r="G49" i="3"/>
  <c r="G45" i="3"/>
  <c r="G41" i="3"/>
  <c r="G37" i="3"/>
  <c r="G33" i="3"/>
  <c r="G29" i="3"/>
  <c r="G25" i="3"/>
  <c r="G21" i="3"/>
  <c r="G17" i="3"/>
  <c r="G13" i="3"/>
  <c r="G56" i="3"/>
  <c r="G52" i="3"/>
  <c r="G48" i="3"/>
  <c r="G44" i="3"/>
  <c r="G40" i="3"/>
  <c r="G36" i="3"/>
  <c r="G32" i="3"/>
  <c r="G28" i="3"/>
  <c r="G24" i="3"/>
  <c r="G20" i="3"/>
  <c r="G16" i="3"/>
  <c r="G12" i="3"/>
  <c r="G27" i="3"/>
  <c r="G19" i="3"/>
  <c r="G11" i="3"/>
  <c r="G14" i="3"/>
  <c r="G66" i="3"/>
  <c r="G37" i="20"/>
  <c r="G36" i="20"/>
  <c r="G35" i="20"/>
  <c r="G34" i="20"/>
  <c r="G33" i="20"/>
  <c r="G11" i="20"/>
  <c r="G10" i="20"/>
  <c r="G31" i="20"/>
  <c r="G32" i="20"/>
  <c r="G79" i="9"/>
  <c r="G28" i="20"/>
  <c r="G30" i="20"/>
  <c r="G29" i="20"/>
  <c r="G69" i="9"/>
  <c r="G42" i="20"/>
  <c r="G67" i="9"/>
  <c r="G68" i="9"/>
  <c r="G66" i="9"/>
  <c r="G65" i="9"/>
  <c r="G9" i="20"/>
  <c r="A10" i="12"/>
  <c r="G64" i="9"/>
  <c r="G63" i="9"/>
  <c r="G85" i="5"/>
  <c r="G55" i="5"/>
  <c r="G56" i="5"/>
  <c r="A9" i="35"/>
  <c r="A9" i="34"/>
  <c r="A10" i="34" s="1"/>
  <c r="A10" i="6"/>
  <c r="A10" i="5"/>
  <c r="A10" i="19"/>
  <c r="A10" i="9"/>
  <c r="F47" i="16"/>
  <c r="G45" i="16" s="1"/>
  <c r="F94" i="2"/>
  <c r="G92" i="2" s="1"/>
  <c r="A10" i="3"/>
  <c r="A11" i="3" s="1"/>
  <c r="F20" i="35"/>
  <c r="G18" i="35" s="1"/>
  <c r="A10" i="22"/>
  <c r="A11" i="22" s="1"/>
  <c r="A10" i="4"/>
  <c r="A10" i="2"/>
  <c r="F50" i="12"/>
  <c r="G48" i="12" s="1"/>
  <c r="F48" i="14"/>
  <c r="G46" i="14" s="1"/>
  <c r="F142" i="19"/>
  <c r="G140" i="19" s="1"/>
  <c r="F19" i="34"/>
  <c r="G17" i="34" s="1"/>
  <c r="F36" i="21"/>
  <c r="G34" i="21" s="1"/>
  <c r="A10" i="7"/>
  <c r="F39" i="18"/>
  <c r="G37" i="18" s="1"/>
  <c r="F23" i="31"/>
  <c r="G21" i="31" s="1"/>
  <c r="K21" i="3"/>
  <c r="F18" i="10"/>
  <c r="G16" i="10" s="1"/>
  <c r="F20" i="22"/>
  <c r="G18" i="22" s="1"/>
  <c r="K23" i="3"/>
  <c r="F74" i="7"/>
  <c r="G72" i="7" s="1"/>
  <c r="G23" i="21" l="1"/>
  <c r="G22" i="21"/>
  <c r="G20" i="21"/>
  <c r="G21" i="21"/>
  <c r="G125" i="19"/>
  <c r="G124" i="19"/>
  <c r="G85" i="19"/>
  <c r="G84" i="19"/>
  <c r="K47" i="19" s="1"/>
  <c r="G14" i="18"/>
  <c r="G37" i="16"/>
  <c r="G38" i="16"/>
  <c r="G20" i="14"/>
  <c r="G21" i="14"/>
  <c r="G18" i="14"/>
  <c r="G19" i="14"/>
  <c r="G49" i="12"/>
  <c r="G36" i="12"/>
  <c r="G37" i="12"/>
  <c r="G122" i="19"/>
  <c r="G118" i="19"/>
  <c r="G108" i="19"/>
  <c r="G104" i="19"/>
  <c r="K48" i="19" s="1"/>
  <c r="G100" i="19"/>
  <c r="G96" i="19"/>
  <c r="G92" i="19"/>
  <c r="G83" i="19"/>
  <c r="G79" i="19"/>
  <c r="G69" i="19"/>
  <c r="K51" i="19" s="1"/>
  <c r="G65" i="19"/>
  <c r="G61" i="19"/>
  <c r="K42" i="19" s="1"/>
  <c r="G57" i="19"/>
  <c r="K40" i="19" s="1"/>
  <c r="G53" i="19"/>
  <c r="K37" i="19" s="1"/>
  <c r="G49" i="19"/>
  <c r="G45" i="19"/>
  <c r="G41" i="19"/>
  <c r="G37" i="19"/>
  <c r="G33" i="19"/>
  <c r="G29" i="19"/>
  <c r="G25" i="19"/>
  <c r="G21" i="19"/>
  <c r="G17" i="19"/>
  <c r="G13" i="19"/>
  <c r="G15" i="19"/>
  <c r="G30" i="19"/>
  <c r="G14" i="19"/>
  <c r="G129" i="19"/>
  <c r="G121" i="19"/>
  <c r="G117" i="19"/>
  <c r="G107" i="19"/>
  <c r="G103" i="19"/>
  <c r="G99" i="19"/>
  <c r="G95" i="19"/>
  <c r="K35" i="19" s="1"/>
  <c r="G91" i="19"/>
  <c r="K26" i="19" s="1"/>
  <c r="G82" i="19"/>
  <c r="K46" i="19" s="1"/>
  <c r="G75" i="19"/>
  <c r="G68" i="19"/>
  <c r="G64" i="19"/>
  <c r="G60" i="19"/>
  <c r="K43" i="19" s="1"/>
  <c r="G56" i="19"/>
  <c r="G52" i="19"/>
  <c r="G48" i="19"/>
  <c r="G44" i="19"/>
  <c r="G40" i="19"/>
  <c r="G36" i="19"/>
  <c r="G32" i="19"/>
  <c r="K33" i="19" s="1"/>
  <c r="G28" i="19"/>
  <c r="K30" i="19" s="1"/>
  <c r="G24" i="19"/>
  <c r="K27" i="19" s="1"/>
  <c r="G20" i="19"/>
  <c r="K24" i="19" s="1"/>
  <c r="G16" i="19"/>
  <c r="G12" i="19"/>
  <c r="G38" i="19"/>
  <c r="G22" i="19"/>
  <c r="G136" i="19"/>
  <c r="K53" i="19" s="1"/>
  <c r="G120" i="19"/>
  <c r="G113" i="19"/>
  <c r="K44" i="19" s="1"/>
  <c r="G106" i="19"/>
  <c r="K49" i="19" s="1"/>
  <c r="G102" i="19"/>
  <c r="K45" i="19" s="1"/>
  <c r="G98" i="19"/>
  <c r="G94" i="19"/>
  <c r="G90" i="19"/>
  <c r="G81" i="19"/>
  <c r="K32" i="19" s="1"/>
  <c r="G67" i="19"/>
  <c r="G63" i="19"/>
  <c r="G59" i="19"/>
  <c r="G55" i="19"/>
  <c r="G51" i="19"/>
  <c r="G47" i="19"/>
  <c r="G43" i="19"/>
  <c r="G39" i="19"/>
  <c r="G35" i="19"/>
  <c r="K34" i="19" s="1"/>
  <c r="G31" i="19"/>
  <c r="G27" i="19"/>
  <c r="G23" i="19"/>
  <c r="G19" i="19"/>
  <c r="G11" i="19"/>
  <c r="G26" i="19"/>
  <c r="G10" i="19"/>
  <c r="G133" i="19"/>
  <c r="K29" i="19" s="1"/>
  <c r="G123" i="19"/>
  <c r="G119" i="19"/>
  <c r="G109" i="19"/>
  <c r="K50" i="19" s="1"/>
  <c r="G105" i="19"/>
  <c r="G101" i="19"/>
  <c r="G97" i="19"/>
  <c r="K38" i="19" s="1"/>
  <c r="G93" i="19"/>
  <c r="G80" i="19"/>
  <c r="K39" i="19" s="1"/>
  <c r="G66" i="19"/>
  <c r="G62" i="19"/>
  <c r="G58" i="19"/>
  <c r="K41" i="19" s="1"/>
  <c r="G54" i="19"/>
  <c r="G50" i="19"/>
  <c r="G46" i="19"/>
  <c r="G42" i="19"/>
  <c r="G34" i="19"/>
  <c r="K25" i="19" s="1"/>
  <c r="G18" i="19"/>
  <c r="K22" i="19" s="1"/>
  <c r="G19" i="21"/>
  <c r="G18" i="21"/>
  <c r="G18" i="18"/>
  <c r="G19" i="18" s="1"/>
  <c r="G46" i="16"/>
  <c r="G47" i="14"/>
  <c r="G25" i="14"/>
  <c r="G35" i="12"/>
  <c r="G14" i="12"/>
  <c r="K20" i="3"/>
  <c r="G33" i="12"/>
  <c r="G32" i="12"/>
  <c r="G34" i="12"/>
  <c r="G31" i="12"/>
  <c r="A45" i="11"/>
  <c r="K30" i="9"/>
  <c r="G35" i="21"/>
  <c r="G15" i="16"/>
  <c r="G30" i="12"/>
  <c r="G59" i="7"/>
  <c r="G141" i="19"/>
  <c r="G27" i="18"/>
  <c r="G25" i="18"/>
  <c r="G28" i="18"/>
  <c r="G30" i="18"/>
  <c r="G26" i="18"/>
  <c r="K14" i="18" s="1"/>
  <c r="G29" i="18"/>
  <c r="G24" i="18"/>
  <c r="G17" i="21"/>
  <c r="K12" i="21" s="1"/>
  <c r="G13" i="16"/>
  <c r="G14" i="16"/>
  <c r="K37" i="2"/>
  <c r="G12" i="20"/>
  <c r="G9" i="14"/>
  <c r="G58" i="7"/>
  <c r="G68" i="2"/>
  <c r="G70" i="2"/>
  <c r="G66" i="2"/>
  <c r="G69" i="2"/>
  <c r="G67" i="2"/>
  <c r="G41" i="12"/>
  <c r="G42" i="12" s="1"/>
  <c r="A11" i="12"/>
  <c r="G18" i="12"/>
  <c r="K21" i="12" s="1"/>
  <c r="G57" i="7"/>
  <c r="K33" i="2"/>
  <c r="K35" i="2"/>
  <c r="K34" i="2"/>
  <c r="K32" i="2"/>
  <c r="G35" i="16"/>
  <c r="G68" i="7"/>
  <c r="K31" i="7" s="1"/>
  <c r="G53" i="7"/>
  <c r="G49" i="7"/>
  <c r="G45" i="7"/>
  <c r="G41" i="7"/>
  <c r="G37" i="7"/>
  <c r="G33" i="7"/>
  <c r="G29" i="7"/>
  <c r="G25" i="7"/>
  <c r="G21" i="7"/>
  <c r="G17" i="7"/>
  <c r="G13" i="7"/>
  <c r="G11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K28" i="7" s="1"/>
  <c r="G46" i="7"/>
  <c r="G42" i="7"/>
  <c r="G38" i="7"/>
  <c r="G34" i="7"/>
  <c r="G30" i="7"/>
  <c r="G26" i="7"/>
  <c r="G22" i="7"/>
  <c r="G18" i="7"/>
  <c r="G14" i="7"/>
  <c r="G10" i="7"/>
  <c r="G93" i="2"/>
  <c r="G16" i="21"/>
  <c r="G15" i="21"/>
  <c r="G17" i="14"/>
  <c r="G29" i="12"/>
  <c r="G11" i="12"/>
  <c r="G12" i="12"/>
  <c r="G13" i="12"/>
  <c r="G9" i="34"/>
  <c r="G8" i="34"/>
  <c r="G10" i="34"/>
  <c r="G27" i="21"/>
  <c r="K13" i="21" s="1"/>
  <c r="G16" i="14"/>
  <c r="G14" i="21"/>
  <c r="G9" i="18"/>
  <c r="G85" i="2"/>
  <c r="G86" i="2" s="1"/>
  <c r="G88" i="2"/>
  <c r="K40" i="2" s="1"/>
  <c r="G28" i="12"/>
  <c r="G19" i="16"/>
  <c r="G39" i="14"/>
  <c r="G38" i="14"/>
  <c r="G37" i="14"/>
  <c r="G9" i="12"/>
  <c r="G10" i="12"/>
  <c r="G62" i="3"/>
  <c r="G36" i="14"/>
  <c r="G35" i="14"/>
  <c r="G22" i="31"/>
  <c r="K13" i="18"/>
  <c r="G14" i="14"/>
  <c r="G13" i="14"/>
  <c r="G15" i="14"/>
  <c r="G34" i="14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36" i="16"/>
  <c r="G34" i="16"/>
  <c r="G30" i="16"/>
  <c r="G26" i="16"/>
  <c r="G33" i="16"/>
  <c r="G29" i="16"/>
  <c r="G25" i="16"/>
  <c r="G27" i="16"/>
  <c r="G41" i="16"/>
  <c r="K19" i="16" s="1"/>
  <c r="G32" i="16"/>
  <c r="G28" i="16"/>
  <c r="G24" i="16"/>
  <c r="G31" i="16"/>
  <c r="G9" i="16"/>
  <c r="G33" i="14"/>
  <c r="A10" i="35"/>
  <c r="A11" i="35" s="1"/>
  <c r="G10" i="35"/>
  <c r="G11" i="35"/>
  <c r="G18" i="34"/>
  <c r="G13" i="34"/>
  <c r="K10" i="34" s="1"/>
  <c r="G13" i="21"/>
  <c r="G13" i="18"/>
  <c r="G15" i="18" s="1"/>
  <c r="A11" i="6"/>
  <c r="G24" i="20"/>
  <c r="G21" i="20"/>
  <c r="G17" i="20"/>
  <c r="G23" i="20"/>
  <c r="G27" i="20"/>
  <c r="G22" i="20"/>
  <c r="G18" i="20"/>
  <c r="G25" i="20"/>
  <c r="A11" i="9"/>
  <c r="A12" i="9" s="1"/>
  <c r="A11" i="7"/>
  <c r="G80" i="5"/>
  <c r="K33" i="5" s="1"/>
  <c r="A11" i="5"/>
  <c r="A11" i="2"/>
  <c r="G14" i="35"/>
  <c r="K10" i="35" s="1"/>
  <c r="G26" i="12"/>
  <c r="G24" i="12"/>
  <c r="G27" i="12"/>
  <c r="G25" i="12"/>
  <c r="G28" i="5"/>
  <c r="A11" i="4"/>
  <c r="A11" i="19"/>
  <c r="G61" i="9"/>
  <c r="G18" i="9"/>
  <c r="G53" i="5"/>
  <c r="G48" i="5"/>
  <c r="G77" i="5"/>
  <c r="K32" i="5" s="1"/>
  <c r="G31" i="5"/>
  <c r="G31" i="9"/>
  <c r="G38" i="9"/>
  <c r="G49" i="9"/>
  <c r="G42" i="9"/>
  <c r="G46" i="9"/>
  <c r="G9" i="35"/>
  <c r="G8" i="35"/>
  <c r="G16" i="20"/>
  <c r="G23" i="12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G54" i="5"/>
  <c r="G59" i="9"/>
  <c r="G30" i="21"/>
  <c r="K14" i="21" s="1"/>
  <c r="G42" i="14"/>
  <c r="K18" i="14" s="1"/>
  <c r="G50" i="20"/>
  <c r="A12" i="3"/>
  <c r="A13" i="3" s="1"/>
  <c r="G14" i="31"/>
  <c r="G17" i="31"/>
  <c r="G18" i="31" s="1"/>
  <c r="G10" i="31"/>
  <c r="G11" i="22"/>
  <c r="G15" i="20"/>
  <c r="G20" i="20"/>
  <c r="G19" i="20"/>
  <c r="G38" i="18"/>
  <c r="G32" i="14"/>
  <c r="G44" i="12"/>
  <c r="K22" i="12" s="1"/>
  <c r="G56" i="9"/>
  <c r="G54" i="9"/>
  <c r="G28" i="9"/>
  <c r="K24" i="3"/>
  <c r="G9" i="3"/>
  <c r="K17" i="3"/>
  <c r="K18" i="3"/>
  <c r="K15" i="3"/>
  <c r="K16" i="3"/>
  <c r="K25" i="3"/>
  <c r="K26" i="3"/>
  <c r="K19" i="3"/>
  <c r="K27" i="3"/>
  <c r="G9" i="2"/>
  <c r="G30" i="14"/>
  <c r="G9" i="31"/>
  <c r="G19" i="35"/>
  <c r="A14" i="3"/>
  <c r="A15" i="3" s="1"/>
  <c r="A16" i="3" s="1"/>
  <c r="G17" i="9"/>
  <c r="G74" i="9"/>
  <c r="K32" i="9" s="1"/>
  <c r="G17" i="10"/>
  <c r="G12" i="10"/>
  <c r="K10" i="10" s="1"/>
  <c r="G8" i="31"/>
  <c r="G11" i="31"/>
  <c r="G10" i="21"/>
  <c r="G9" i="21"/>
  <c r="K9" i="21" s="1"/>
  <c r="G12" i="21"/>
  <c r="G11" i="21"/>
  <c r="G45" i="20"/>
  <c r="K15" i="20" s="1"/>
  <c r="G9" i="19"/>
  <c r="G33" i="18"/>
  <c r="K17" i="18" s="1"/>
  <c r="G23" i="18"/>
  <c r="G31" i="14"/>
  <c r="G9" i="10"/>
  <c r="G10" i="10" s="1"/>
  <c r="G29" i="9"/>
  <c r="G37" i="9"/>
  <c r="G13" i="9"/>
  <c r="G40" i="9"/>
  <c r="G12" i="9"/>
  <c r="G33" i="9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K29" i="9" s="1"/>
  <c r="G60" i="9"/>
  <c r="G44" i="9"/>
  <c r="G36" i="9"/>
  <c r="G20" i="9"/>
  <c r="G51" i="9"/>
  <c r="G43" i="9"/>
  <c r="G34" i="9"/>
  <c r="K12" i="3"/>
  <c r="K13" i="3"/>
  <c r="G41" i="20"/>
  <c r="G43" i="20" s="1"/>
  <c r="G26" i="20"/>
  <c r="K14" i="20" s="1"/>
  <c r="G9" i="7"/>
  <c r="G45" i="9"/>
  <c r="G10" i="9"/>
  <c r="G19" i="22"/>
  <c r="G10" i="22"/>
  <c r="G14" i="22"/>
  <c r="K9" i="22" s="1"/>
  <c r="A23" i="18"/>
  <c r="K8" i="21" l="1"/>
  <c r="K10" i="21"/>
  <c r="K11" i="21"/>
  <c r="K10" i="31"/>
  <c r="K31" i="19"/>
  <c r="K19" i="19"/>
  <c r="K15" i="19"/>
  <c r="K21" i="19"/>
  <c r="K20" i="19"/>
  <c r="K23" i="19"/>
  <c r="K28" i="19"/>
  <c r="G76" i="19"/>
  <c r="K36" i="19"/>
  <c r="K18" i="19"/>
  <c r="K17" i="19"/>
  <c r="K16" i="19"/>
  <c r="A9" i="8"/>
  <c r="K18" i="12"/>
  <c r="G130" i="19"/>
  <c r="K15" i="18"/>
  <c r="G20" i="16"/>
  <c r="K16" i="14"/>
  <c r="G26" i="14"/>
  <c r="K14" i="12"/>
  <c r="A12" i="7"/>
  <c r="A13" i="7" s="1"/>
  <c r="K11" i="3"/>
  <c r="K10" i="3"/>
  <c r="K14" i="3"/>
  <c r="K9" i="3"/>
  <c r="K19" i="12"/>
  <c r="K20" i="12"/>
  <c r="K12" i="16"/>
  <c r="K10" i="20"/>
  <c r="K11" i="20"/>
  <c r="G114" i="19"/>
  <c r="G134" i="19"/>
  <c r="K14" i="19"/>
  <c r="K9" i="16"/>
  <c r="A12" i="12"/>
  <c r="K31" i="2"/>
  <c r="K31" i="5"/>
  <c r="K18" i="16"/>
  <c r="K17" i="16"/>
  <c r="K10" i="16"/>
  <c r="K14" i="16"/>
  <c r="K16" i="16"/>
  <c r="K15" i="16"/>
  <c r="K28" i="2"/>
  <c r="K30" i="2"/>
  <c r="G72" i="9"/>
  <c r="G61" i="7"/>
  <c r="G78" i="5"/>
  <c r="K30" i="5"/>
  <c r="K15" i="14"/>
  <c r="K13" i="16"/>
  <c r="K11" i="16"/>
  <c r="K13" i="20"/>
  <c r="G16" i="16"/>
  <c r="K14" i="14"/>
  <c r="K17" i="14"/>
  <c r="K13" i="14"/>
  <c r="K12" i="14"/>
  <c r="K22" i="2"/>
  <c r="K16" i="12"/>
  <c r="G28" i="21"/>
  <c r="K8" i="16"/>
  <c r="K11" i="14"/>
  <c r="K20" i="2"/>
  <c r="K29" i="2"/>
  <c r="K26" i="2"/>
  <c r="K11" i="18"/>
  <c r="K12" i="20"/>
  <c r="G86" i="19"/>
  <c r="K12" i="18"/>
  <c r="K16" i="18"/>
  <c r="G10" i="14"/>
  <c r="K17" i="12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A13" i="12"/>
  <c r="G19" i="12"/>
  <c r="K9" i="20"/>
  <c r="G73" i="7"/>
  <c r="K10" i="18"/>
  <c r="K10" i="14"/>
  <c r="K12" i="12"/>
  <c r="K11" i="12"/>
  <c r="K13" i="12"/>
  <c r="G46" i="20"/>
  <c r="G71" i="19"/>
  <c r="G110" i="19"/>
  <c r="G137" i="19"/>
  <c r="G126" i="19"/>
  <c r="K29" i="7"/>
  <c r="G38" i="20"/>
  <c r="G10" i="18"/>
  <c r="K9" i="18"/>
  <c r="K15" i="12"/>
  <c r="K27" i="7"/>
  <c r="K28" i="9"/>
  <c r="K26" i="7"/>
  <c r="K25" i="7"/>
  <c r="K9" i="35"/>
  <c r="K9" i="34"/>
  <c r="G14" i="34"/>
  <c r="K10" i="12"/>
  <c r="K24" i="7"/>
  <c r="G72" i="2"/>
  <c r="A12" i="2"/>
  <c r="G69" i="7"/>
  <c r="G13" i="10"/>
  <c r="K9" i="5"/>
  <c r="G66" i="5"/>
  <c r="G81" i="5"/>
  <c r="G31" i="21"/>
  <c r="G34" i="18"/>
  <c r="G42" i="16"/>
  <c r="G43" i="14"/>
  <c r="G45" i="12"/>
  <c r="K26" i="9"/>
  <c r="A12" i="4"/>
  <c r="A13" i="4" s="1"/>
  <c r="K17" i="7"/>
  <c r="G75" i="9"/>
  <c r="G89" i="2"/>
  <c r="G12" i="35"/>
  <c r="G11" i="34"/>
  <c r="G12" i="31"/>
  <c r="G31" i="18"/>
  <c r="G24" i="21"/>
  <c r="G10" i="16"/>
  <c r="G39" i="16"/>
  <c r="G40" i="14"/>
  <c r="G22" i="14"/>
  <c r="G38" i="12"/>
  <c r="G15" i="12"/>
  <c r="G59" i="3"/>
  <c r="K9" i="19"/>
  <c r="K23" i="9"/>
  <c r="K22" i="7"/>
  <c r="K16" i="7"/>
  <c r="A12" i="5"/>
  <c r="K16" i="5"/>
  <c r="K25" i="5"/>
  <c r="K29" i="5"/>
  <c r="K21" i="9"/>
  <c r="K26" i="5"/>
  <c r="G15" i="35"/>
  <c r="L13" i="35"/>
  <c r="K9" i="31"/>
  <c r="G15" i="31"/>
  <c r="K10" i="19"/>
  <c r="K9" i="12"/>
  <c r="K9" i="10"/>
  <c r="K13" i="9"/>
  <c r="K27" i="9"/>
  <c r="K25" i="9"/>
  <c r="K18" i="9"/>
  <c r="K13" i="7"/>
  <c r="K21" i="7"/>
  <c r="K20" i="7"/>
  <c r="K18" i="7"/>
  <c r="A12" i="6"/>
  <c r="K27" i="5"/>
  <c r="K24" i="5"/>
  <c r="K17" i="5"/>
  <c r="K19" i="5"/>
  <c r="K28" i="5"/>
  <c r="K9" i="2"/>
  <c r="K14" i="9"/>
  <c r="K24" i="9"/>
  <c r="K13" i="19"/>
  <c r="K11" i="19"/>
  <c r="K12" i="19"/>
  <c r="K20" i="9"/>
  <c r="K13" i="5"/>
  <c r="K12" i="9"/>
  <c r="K19" i="9"/>
  <c r="K10" i="9"/>
  <c r="K15" i="9"/>
  <c r="K17" i="9"/>
  <c r="K9" i="9"/>
  <c r="K16" i="9"/>
  <c r="K11" i="9"/>
  <c r="K22" i="9"/>
  <c r="K9" i="7"/>
  <c r="K11" i="7"/>
  <c r="K19" i="7"/>
  <c r="K10" i="7"/>
  <c r="K15" i="7"/>
  <c r="K23" i="7"/>
  <c r="K12" i="7"/>
  <c r="K14" i="7"/>
  <c r="K14" i="5"/>
  <c r="K20" i="5"/>
  <c r="K23" i="5"/>
  <c r="K18" i="5"/>
  <c r="K10" i="5"/>
  <c r="K15" i="5"/>
  <c r="K22" i="5"/>
  <c r="K12" i="5"/>
  <c r="K11" i="5"/>
  <c r="K21" i="5"/>
  <c r="G108" i="8"/>
  <c r="A24" i="18"/>
  <c r="A25" i="18" s="1"/>
  <c r="A12" i="19"/>
  <c r="A13" i="9"/>
  <c r="A14" i="7"/>
  <c r="L9" i="22"/>
  <c r="A17" i="3"/>
  <c r="A18" i="3" s="1"/>
  <c r="G12" i="22"/>
  <c r="G15" i="22"/>
  <c r="A10" i="8" l="1"/>
  <c r="A11" i="8" s="1"/>
  <c r="A14" i="12"/>
  <c r="A18" i="12" s="1"/>
  <c r="A13" i="5"/>
  <c r="G19" i="34"/>
  <c r="A13" i="2"/>
  <c r="A26" i="18"/>
  <c r="A27" i="18" s="1"/>
  <c r="G23" i="31"/>
  <c r="L21" i="18"/>
  <c r="L12" i="34"/>
  <c r="L12" i="31"/>
  <c r="L24" i="21"/>
  <c r="L32" i="19"/>
  <c r="G47" i="16"/>
  <c r="G18" i="10"/>
  <c r="G80" i="9"/>
  <c r="A13" i="6"/>
  <c r="L32" i="3"/>
  <c r="G142" i="19"/>
  <c r="L29" i="9"/>
  <c r="L26" i="7"/>
  <c r="G86" i="5"/>
  <c r="A14" i="9"/>
  <c r="G94" i="2"/>
  <c r="A13" i="19"/>
  <c r="A15" i="7"/>
  <c r="A14" i="4"/>
  <c r="G20" i="35"/>
  <c r="G36" i="21"/>
  <c r="G50" i="12"/>
  <c r="G48" i="14"/>
  <c r="G51" i="20"/>
  <c r="A9" i="21"/>
  <c r="G67" i="3"/>
  <c r="G20" i="22"/>
  <c r="G39" i="18"/>
  <c r="G74" i="7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12" i="8" l="1"/>
  <c r="A13" i="8" s="1"/>
  <c r="A14" i="5"/>
  <c r="A28" i="18"/>
  <c r="A29" i="18" s="1"/>
  <c r="A30" i="18" s="1"/>
  <c r="G109" i="8"/>
  <c r="A14" i="2"/>
  <c r="A15" i="9"/>
  <c r="A16" i="9" s="1"/>
  <c r="A17" i="9" s="1"/>
  <c r="A18" i="9" s="1"/>
  <c r="A14" i="6"/>
  <c r="A10" i="21"/>
  <c r="A14" i="19"/>
  <c r="A16" i="7"/>
  <c r="A15" i="4"/>
  <c r="A9" i="16"/>
  <c r="A14" i="8" l="1"/>
  <c r="A15" i="8"/>
  <c r="A15" i="5"/>
  <c r="A16" i="5"/>
  <c r="A17" i="5" s="1"/>
  <c r="A23" i="12"/>
  <c r="A15" i="6"/>
  <c r="A16" i="6" s="1"/>
  <c r="A17" i="6" s="1"/>
  <c r="A15" i="2"/>
  <c r="A16" i="2" s="1"/>
  <c r="A11" i="21"/>
  <c r="A15" i="19"/>
  <c r="A19" i="9"/>
  <c r="A17" i="7"/>
  <c r="A16" i="4"/>
  <c r="A16" i="8" l="1"/>
  <c r="A13" i="16"/>
  <c r="A24" i="12"/>
  <c r="A25" i="12" s="1"/>
  <c r="A26" i="12" s="1"/>
  <c r="A27" i="12" s="1"/>
  <c r="A28" i="12" s="1"/>
  <c r="A29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8" i="6"/>
  <c r="A19" i="6" s="1"/>
  <c r="A12" i="21"/>
  <c r="A16" i="19"/>
  <c r="A17" i="19" s="1"/>
  <c r="A20" i="9"/>
  <c r="A18" i="7"/>
  <c r="A17" i="4"/>
  <c r="A18" i="4" s="1"/>
  <c r="A17" i="2"/>
  <c r="A18" i="2" s="1"/>
  <c r="A17" i="8" l="1"/>
  <c r="A14" i="16"/>
  <c r="A15" i="16" s="1"/>
  <c r="A30" i="12"/>
  <c r="A13" i="21"/>
  <c r="A56" i="5"/>
  <c r="A57" i="5" s="1"/>
  <c r="A20" i="6"/>
  <c r="A21" i="6" s="1"/>
  <c r="A18" i="19"/>
  <c r="A19" i="19" s="1"/>
  <c r="A21" i="9"/>
  <c r="A19" i="7"/>
  <c r="A19" i="4"/>
  <c r="A19" i="2"/>
  <c r="A18" i="8" l="1"/>
  <c r="A19" i="8" s="1"/>
  <c r="A20" i="8" s="1"/>
  <c r="A22" i="8"/>
  <c r="A23" i="8" s="1"/>
  <c r="A24" i="8" s="1"/>
  <c r="A25" i="8" s="1"/>
  <c r="A26" i="8" s="1"/>
  <c r="A27" i="8" s="1"/>
  <c r="A28" i="8" s="1"/>
  <c r="A29" i="8" s="1"/>
  <c r="A21" i="8"/>
  <c r="A31" i="12"/>
  <c r="A14" i="21"/>
  <c r="A15" i="21" s="1"/>
  <c r="A16" i="21" s="1"/>
  <c r="A17" i="21" s="1"/>
  <c r="A18" i="21" s="1"/>
  <c r="A19" i="21" s="1"/>
  <c r="A20" i="21" s="1"/>
  <c r="A19" i="16"/>
  <c r="A58" i="5"/>
  <c r="A59" i="5" s="1"/>
  <c r="A60" i="5" s="1"/>
  <c r="A61" i="5" s="1"/>
  <c r="A62" i="5" s="1"/>
  <c r="A63" i="5" s="1"/>
  <c r="A64" i="5" s="1"/>
  <c r="A65" i="5" s="1"/>
  <c r="A22" i="6"/>
  <c r="A23" i="6" s="1"/>
  <c r="A20" i="19"/>
  <c r="A22" i="9"/>
  <c r="A20" i="7"/>
  <c r="A20" i="4"/>
  <c r="A20" i="2"/>
  <c r="A22" i="21" l="1"/>
  <c r="A23" i="21" s="1"/>
  <c r="A27" i="21" s="1"/>
  <c r="A21" i="21"/>
  <c r="A32" i="12"/>
  <c r="A24" i="16"/>
  <c r="A24" i="6"/>
  <c r="A25" i="6" s="1"/>
  <c r="A21" i="19"/>
  <c r="A23" i="9"/>
  <c r="A21" i="7"/>
  <c r="A21" i="4"/>
  <c r="A21" i="2"/>
  <c r="A25" i="16" l="1"/>
  <c r="A26" i="16" s="1"/>
  <c r="A27" i="16" s="1"/>
  <c r="A28" i="16" s="1"/>
  <c r="A29" i="16" s="1"/>
  <c r="A33" i="8"/>
  <c r="A33" i="12"/>
  <c r="A34" i="12" s="1"/>
  <c r="A35" i="12" s="1"/>
  <c r="A36" i="12" s="1"/>
  <c r="A37" i="12" s="1"/>
  <c r="A30" i="16"/>
  <c r="A31" i="16" s="1"/>
  <c r="A32" i="16" s="1"/>
  <c r="A33" i="16" s="1"/>
  <c r="A34" i="16" s="1"/>
  <c r="A35" i="16" s="1"/>
  <c r="A36" i="16" s="1"/>
  <c r="A15" i="20"/>
  <c r="A22" i="19"/>
  <c r="A24" i="9"/>
  <c r="A22" i="7"/>
  <c r="A26" i="6"/>
  <c r="A22" i="4"/>
  <c r="A22" i="2"/>
  <c r="A37" i="16" l="1"/>
  <c r="A38" i="16" s="1"/>
  <c r="A41" i="12"/>
  <c r="A16" i="20"/>
  <c r="A17" i="20" s="1"/>
  <c r="A18" i="20" s="1"/>
  <c r="A19" i="20" s="1"/>
  <c r="A23" i="19"/>
  <c r="A25" i="9"/>
  <c r="A23" i="7"/>
  <c r="A27" i="6"/>
  <c r="A23" i="4"/>
  <c r="A23" i="2"/>
  <c r="A20" i="20" l="1"/>
  <c r="A24" i="19"/>
  <c r="A26" i="9"/>
  <c r="A24" i="7"/>
  <c r="A28" i="6"/>
  <c r="A24" i="4"/>
  <c r="A24" i="2"/>
  <c r="A21" i="20" l="1"/>
  <c r="A25" i="19"/>
  <c r="A27" i="9"/>
  <c r="A25" i="7"/>
  <c r="A29" i="6"/>
  <c r="A25" i="4"/>
  <c r="A25" i="2"/>
  <c r="A22" i="20" l="1"/>
  <c r="A23" i="20" s="1"/>
  <c r="A24" i="20" s="1"/>
  <c r="A25" i="20" s="1"/>
  <c r="A26" i="20" s="1"/>
  <c r="A26" i="19"/>
  <c r="A28" i="9"/>
  <c r="A26" i="7"/>
  <c r="A30" i="6"/>
  <c r="A26" i="4"/>
  <c r="A26" i="2"/>
  <c r="A27" i="20" l="1"/>
  <c r="A28" i="20" s="1"/>
  <c r="A27" i="19"/>
  <c r="A29" i="9"/>
  <c r="A27" i="7"/>
  <c r="A31" i="6"/>
  <c r="A27" i="4"/>
  <c r="A27" i="2"/>
  <c r="A29" i="20" l="1"/>
  <c r="A30" i="20" s="1"/>
  <c r="A31" i="20" s="1"/>
  <c r="A32" i="20" s="1"/>
  <c r="A33" i="20" s="1"/>
  <c r="A34" i="20" s="1"/>
  <c r="A35" i="20" s="1"/>
  <c r="A36" i="20" s="1"/>
  <c r="A37" i="20" s="1"/>
  <c r="A28" i="19"/>
  <c r="A30" i="9"/>
  <c r="A28" i="7"/>
  <c r="A32" i="6"/>
  <c r="A28" i="4"/>
  <c r="A28" i="2"/>
  <c r="A41" i="20" l="1"/>
  <c r="A42" i="20" s="1"/>
  <c r="A29" i="19"/>
  <c r="A31" i="9"/>
  <c r="A29" i="7"/>
  <c r="A33" i="6"/>
  <c r="A29" i="4"/>
  <c r="A29" i="2"/>
  <c r="G51" i="4" l="1"/>
  <c r="K30" i="4" s="1"/>
  <c r="G50" i="4"/>
  <c r="A30" i="19"/>
  <c r="A32" i="9"/>
  <c r="A30" i="7"/>
  <c r="A34" i="6"/>
  <c r="A30" i="4"/>
  <c r="A30" i="2"/>
  <c r="G49" i="4"/>
  <c r="G46" i="4"/>
  <c r="G12" i="4"/>
  <c r="G33" i="4"/>
  <c r="G21" i="4"/>
  <c r="G36" i="4"/>
  <c r="G14" i="4"/>
  <c r="G41" i="4"/>
  <c r="G38" i="4"/>
  <c r="G35" i="4"/>
  <c r="G40" i="4"/>
  <c r="G26" i="4"/>
  <c r="G18" i="4"/>
  <c r="G42" i="4"/>
  <c r="G25" i="4"/>
  <c r="G28" i="4"/>
  <c r="G9" i="4"/>
  <c r="G44" i="4"/>
  <c r="G19" i="4"/>
  <c r="G47" i="4"/>
  <c r="G16" i="4"/>
  <c r="G24" i="4"/>
  <c r="G39" i="4"/>
  <c r="G30" i="4"/>
  <c r="G34" i="4"/>
  <c r="G29" i="4"/>
  <c r="G43" i="4"/>
  <c r="G45" i="4"/>
  <c r="G13" i="4"/>
  <c r="G20" i="4"/>
  <c r="G17" i="4"/>
  <c r="G48" i="4"/>
  <c r="G32" i="4"/>
  <c r="G31" i="4"/>
  <c r="G37" i="4"/>
  <c r="G10" i="4"/>
  <c r="G15" i="4"/>
  <c r="G22" i="4"/>
  <c r="G27" i="4"/>
  <c r="G23" i="4"/>
  <c r="G11" i="4"/>
  <c r="K29" i="4" l="1"/>
  <c r="K27" i="4"/>
  <c r="K28" i="4"/>
  <c r="K25" i="4"/>
  <c r="K26" i="4"/>
  <c r="K24" i="4"/>
  <c r="G59" i="4"/>
  <c r="G71" i="4" s="1"/>
  <c r="K20" i="4"/>
  <c r="K18" i="4"/>
  <c r="K17" i="4"/>
  <c r="K16" i="4"/>
  <c r="K23" i="4"/>
  <c r="K13" i="4"/>
  <c r="K21" i="4"/>
  <c r="K15" i="4"/>
  <c r="K10" i="4"/>
  <c r="K14" i="4"/>
  <c r="K9" i="4"/>
  <c r="K19" i="4"/>
  <c r="K12" i="4"/>
  <c r="K11" i="4"/>
  <c r="K22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99" i="6" s="1"/>
  <c r="K33" i="6" l="1"/>
  <c r="K31" i="6"/>
  <c r="K20" i="6"/>
  <c r="K19" i="6"/>
  <c r="K29" i="6"/>
  <c r="K30" i="6"/>
  <c r="K32" i="6"/>
  <c r="K23" i="6"/>
  <c r="K28" i="6"/>
  <c r="K16" i="6"/>
  <c r="K24" i="6"/>
  <c r="K27" i="6"/>
  <c r="K12" i="6"/>
  <c r="K18" i="6"/>
  <c r="K17" i="6"/>
  <c r="K25" i="6"/>
  <c r="K26" i="6"/>
  <c r="K11" i="6"/>
  <c r="K13" i="6"/>
  <c r="K21" i="6"/>
  <c r="K22" i="6"/>
  <c r="K10" i="6"/>
  <c r="K15" i="6"/>
  <c r="K14" i="6"/>
  <c r="K9" i="6"/>
  <c r="A43" i="19"/>
  <c r="A45" i="9"/>
  <c r="A43" i="7"/>
  <c r="A47" i="6"/>
  <c r="A43" i="4"/>
  <c r="A43" i="2"/>
  <c r="L36" i="6" l="1"/>
  <c r="A44" i="19"/>
  <c r="A46" i="9"/>
  <c r="A44" i="7"/>
  <c r="G117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58" i="4" s="1"/>
  <c r="A50" i="19"/>
  <c r="A52" i="9"/>
  <c r="A54" i="6"/>
  <c r="A50" i="2"/>
  <c r="A59" i="7" l="1"/>
  <c r="A60" i="7" s="1"/>
  <c r="A51" i="19"/>
  <c r="A53" i="9"/>
  <c r="A55" i="6"/>
  <c r="A51" i="2"/>
  <c r="A62" i="4" l="1"/>
  <c r="A52" i="19"/>
  <c r="A54" i="9"/>
  <c r="A56" i="6"/>
  <c r="A52" i="2"/>
  <c r="A64" i="7" l="1"/>
  <c r="A53" i="19"/>
  <c r="A55" i="9"/>
  <c r="A57" i="6"/>
  <c r="A53" i="2"/>
  <c r="A65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62" i="9"/>
  <c r="A64" i="6"/>
  <c r="A60" i="2"/>
  <c r="A75" i="19" l="1"/>
  <c r="A63" i="9"/>
  <c r="A65" i="6"/>
  <c r="A61" i="2"/>
  <c r="A64" i="9" l="1"/>
  <c r="A65" i="9" s="1"/>
  <c r="A66" i="9" s="1"/>
  <c r="A67" i="9" s="1"/>
  <c r="A68" i="9" s="1"/>
  <c r="A69" i="9" s="1"/>
  <c r="A70" i="9" s="1"/>
  <c r="A71" i="9" s="1"/>
  <c r="A66" i="6"/>
  <c r="A62" i="2"/>
  <c r="A79" i="19" l="1"/>
  <c r="A80" i="19" s="1"/>
  <c r="A81" i="19" s="1"/>
  <c r="A67" i="6"/>
  <c r="A63" i="2"/>
  <c r="A82" i="19" l="1"/>
  <c r="A83" i="19" s="1"/>
  <c r="A84" i="19" s="1"/>
  <c r="A85" i="19" s="1"/>
  <c r="A68" i="6"/>
  <c r="A64" i="2"/>
  <c r="A90" i="19" l="1"/>
  <c r="A91" i="19" s="1"/>
  <c r="A92" i="19" s="1"/>
  <c r="A69" i="6"/>
  <c r="A65" i="2"/>
  <c r="A66" i="2" s="1"/>
  <c r="A67" i="2" s="1"/>
  <c r="A68" i="2" s="1"/>
  <c r="A69" i="2" s="1"/>
  <c r="A70" i="2" s="1"/>
  <c r="A71" i="2" s="1"/>
  <c r="A93" i="19" l="1"/>
  <c r="A94" i="19" s="1"/>
  <c r="A95" i="19" s="1"/>
  <c r="A70" i="6"/>
  <c r="A96" i="19" l="1"/>
  <c r="A71" i="6"/>
  <c r="A97" i="19" l="1"/>
  <c r="A72" i="6"/>
  <c r="A98" i="19" l="1"/>
  <c r="A99" i="19" s="1"/>
  <c r="A100" i="19" s="1"/>
  <c r="A73" i="6"/>
  <c r="A101" i="19" l="1"/>
  <c r="A102" i="19" s="1"/>
  <c r="A103" i="19" s="1"/>
  <c r="A104" i="19" s="1"/>
  <c r="A105" i="19" s="1"/>
  <c r="A106" i="19" s="1"/>
  <c r="A107" i="19" s="1"/>
  <c r="A108" i="19" s="1"/>
  <c r="A109" i="19" s="1"/>
  <c r="A74" i="6"/>
  <c r="A113" i="19" l="1"/>
  <c r="A117" i="19" s="1"/>
  <c r="A118" i="19" s="1"/>
  <c r="A119" i="19" s="1"/>
  <c r="A120" i="19" s="1"/>
  <c r="A121" i="19" s="1"/>
  <c r="A75" i="6"/>
  <c r="A122" i="19" l="1"/>
  <c r="A123" i="19" s="1"/>
  <c r="A124" i="19" s="1"/>
  <c r="A125" i="19" s="1"/>
  <c r="A76" i="6"/>
  <c r="A77" i="6" s="1"/>
  <c r="A78" i="6" s="1"/>
  <c r="A79" i="6" s="1"/>
  <c r="A80" i="6" s="1"/>
  <c r="A129" i="19" l="1"/>
  <c r="A81" i="6"/>
  <c r="A82" i="6" s="1"/>
  <c r="A83" i="6" s="1"/>
  <c r="A84" i="6" s="1"/>
  <c r="A85" i="6" s="1"/>
  <c r="A86" i="6" l="1"/>
  <c r="A87" i="6" s="1"/>
  <c r="A88" i="6" s="1"/>
  <c r="A89" i="6" s="1"/>
  <c r="A69" i="5"/>
  <c r="A70" i="5" s="1"/>
  <c r="A71" i="5" s="1"/>
  <c r="A72" i="5" s="1"/>
  <c r="A73" i="5" s="1"/>
  <c r="A133" i="19" l="1"/>
  <c r="A90" i="6"/>
  <c r="A91" i="6" l="1"/>
  <c r="A92" i="6" s="1"/>
  <c r="A93" i="6" s="1"/>
  <c r="A94" i="6" s="1"/>
  <c r="A95" i="6" s="1"/>
  <c r="A96" i="6" s="1"/>
  <c r="A97" i="6" s="1"/>
  <c r="A98" i="6" s="1"/>
  <c r="A77" i="5"/>
  <c r="A102" i="6" l="1"/>
  <c r="A75" i="2"/>
  <c r="A76" i="2" s="1"/>
  <c r="A77" i="2" s="1"/>
  <c r="A78" i="2" s="1"/>
  <c r="A79" i="2" s="1"/>
  <c r="A103" i="6" l="1"/>
  <c r="A107" i="6" s="1"/>
  <c r="A108" i="6" s="1"/>
  <c r="A80" i="2"/>
  <c r="A81" i="2" s="1"/>
  <c r="A85" i="2" s="1"/>
  <c r="F122" i="17" l="1"/>
  <c r="G28" i="17" l="1"/>
  <c r="L36" i="17" s="1"/>
  <c r="G25" i="17"/>
  <c r="L22" i="17" s="1"/>
  <c r="G21" i="17"/>
  <c r="L34" i="17" s="1"/>
  <c r="G35" i="17"/>
  <c r="L24" i="17" s="1"/>
  <c r="G33" i="17"/>
  <c r="G31" i="17"/>
  <c r="G27" i="17"/>
  <c r="G24" i="17"/>
  <c r="G26" i="17"/>
  <c r="G32" i="17"/>
  <c r="G30" i="17"/>
  <c r="G34" i="17"/>
  <c r="G29" i="17"/>
  <c r="G22" i="17"/>
  <c r="G23" i="17"/>
  <c r="G15" i="17"/>
  <c r="G18" i="17"/>
  <c r="G17" i="17"/>
  <c r="G99" i="17"/>
  <c r="G19" i="17"/>
  <c r="G16" i="17"/>
  <c r="G20" i="17"/>
  <c r="G100" i="17"/>
  <c r="L19" i="17" s="1"/>
  <c r="G12" i="17"/>
  <c r="L28" i="17" s="1"/>
  <c r="G110" i="17"/>
  <c r="L37" i="17" s="1"/>
  <c r="G11" i="17"/>
  <c r="L10" i="17" s="1"/>
  <c r="G109" i="17"/>
  <c r="G13" i="17"/>
  <c r="L14" i="17" s="1"/>
  <c r="G108" i="17"/>
  <c r="L31" i="17" s="1"/>
  <c r="G14" i="17"/>
  <c r="G10" i="17"/>
  <c r="L11" i="17" s="1"/>
  <c r="G106" i="17"/>
  <c r="L27" i="17" s="1"/>
  <c r="G9" i="17"/>
  <c r="L26" i="17" s="1"/>
  <c r="G107" i="17"/>
  <c r="G122" i="17"/>
  <c r="G98" i="17"/>
  <c r="L17" i="17" s="1"/>
  <c r="G97" i="17"/>
  <c r="G117" i="17"/>
  <c r="L39" i="17" s="1"/>
  <c r="G105" i="17"/>
  <c r="L21" i="17" s="1"/>
  <c r="G114" i="17"/>
  <c r="L23" i="17" s="1"/>
  <c r="L9" i="17" l="1"/>
  <c r="L25" i="17"/>
  <c r="L13" i="17"/>
  <c r="L12" i="17"/>
  <c r="L16" i="17"/>
  <c r="G36" i="17"/>
  <c r="G111" i="17"/>
  <c r="G101" i="17"/>
  <c r="G115" i="17"/>
  <c r="G118" i="17"/>
  <c r="G123" i="17" l="1"/>
  <c r="A97" i="17" l="1"/>
  <c r="A98" i="17" l="1"/>
  <c r="A99" i="17" s="1"/>
  <c r="A100" i="17" l="1"/>
  <c r="A105" i="17" l="1"/>
  <c r="A106" i="17" s="1"/>
  <c r="A107" i="17" l="1"/>
  <c r="A108" i="17" s="1"/>
  <c r="A109" i="17" s="1"/>
  <c r="A110" i="17" s="1"/>
  <c r="A114" i="17" l="1"/>
  <c r="A77" i="8"/>
  <c r="A78" i="8" s="1"/>
  <c r="A79" i="8" s="1"/>
  <c r="A80" i="8" s="1"/>
  <c r="A81" i="8" s="1"/>
  <c r="A85" i="8" l="1"/>
  <c r="A90" i="8" l="1"/>
  <c r="A91" i="8" s="1"/>
  <c r="A92" i="8" s="1"/>
  <c r="A93" i="8" s="1"/>
  <c r="A94" i="8" s="1"/>
  <c r="A95" i="8" l="1"/>
  <c r="A96" i="8" s="1"/>
  <c r="A37" i="36"/>
  <c r="A100" i="8" l="1"/>
  <c r="A38" i="36"/>
  <c r="A39" i="36" s="1"/>
  <c r="A43" i="36" l="1"/>
  <c r="F51" i="36" l="1"/>
  <c r="G50" i="36" s="1"/>
  <c r="G29" i="36" l="1"/>
  <c r="G15" i="36"/>
  <c r="L13" i="36" s="1"/>
  <c r="G23" i="36"/>
  <c r="L17" i="36" s="1"/>
  <c r="G13" i="36"/>
  <c r="G25" i="36"/>
  <c r="L18" i="36" s="1"/>
  <c r="G19" i="36"/>
  <c r="L15" i="36" s="1"/>
  <c r="G11" i="36"/>
  <c r="L12" i="36" s="1"/>
  <c r="G17" i="36"/>
  <c r="L14" i="36" s="1"/>
  <c r="G21" i="36"/>
  <c r="L16" i="36" s="1"/>
  <c r="G31" i="36"/>
  <c r="G27" i="36"/>
  <c r="L19" i="36" s="1"/>
  <c r="G51" i="36"/>
  <c r="G39" i="36"/>
  <c r="L20" i="36" s="1"/>
  <c r="G46" i="36"/>
  <c r="L22" i="36" s="1"/>
  <c r="G43" i="36"/>
  <c r="L8" i="36" s="1"/>
  <c r="G38" i="36"/>
  <c r="G37" i="36"/>
  <c r="G9" i="36"/>
  <c r="L10" i="36" l="1"/>
  <c r="L9" i="36"/>
  <c r="G33" i="36"/>
  <c r="L11" i="36"/>
  <c r="G47" i="36"/>
  <c r="G40" i="36"/>
  <c r="G44" i="36"/>
  <c r="G52" i="36" l="1"/>
</calcChain>
</file>

<file path=xl/sharedStrings.xml><?xml version="1.0" encoding="utf-8"?>
<sst xmlns="http://schemas.openxmlformats.org/spreadsheetml/2006/main" count="4105" uniqueCount="766">
  <si>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</si>
  <si>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</si>
  <si>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</si>
  <si>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</si>
  <si>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</si>
  <si>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</si>
  <si>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</si>
  <si>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</si>
  <si>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</si>
  <si>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</si>
  <si>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</si>
  <si>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</si>
  <si>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</si>
  <si>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</si>
  <si>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</si>
  <si>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</si>
  <si>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</si>
  <si>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</si>
  <si>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</si>
  <si>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</si>
  <si>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</si>
  <si>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</si>
  <si>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</si>
  <si>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</si>
  <si>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</si>
  <si>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</si>
  <si>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</si>
  <si>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</si>
  <si>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</si>
  <si>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</si>
  <si>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</si>
  <si>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</si>
  <si>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</si>
  <si>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</si>
  <si>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</si>
  <si>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</si>
  <si>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</si>
  <si>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</si>
  <si>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</si>
  <si>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</si>
  <si>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</si>
  <si>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</si>
  <si>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</si>
  <si>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</si>
  <si>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</si>
  <si>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</si>
  <si>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</si>
  <si>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</si>
  <si>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</si>
  <si>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</si>
  <si>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</si>
  <si>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</si>
  <si>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</si>
  <si>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</si>
  <si>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</si>
  <si>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</si>
  <si>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</si>
  <si>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</si>
  <si>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</si>
  <si>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</si>
  <si>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</si>
  <si>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</si>
  <si>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</si>
  <si>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</si>
  <si>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</si>
  <si>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</si>
  <si>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</si>
  <si>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</si>
  <si>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</si>
  <si>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</si>
  <si>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</si>
  <si>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</si>
  <si>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</si>
  <si>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</si>
  <si>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</si>
  <si>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</si>
  <si>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</si>
  <si>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</si>
  <si>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</si>
  <si>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</si>
  <si>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</si>
  <si>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</si>
  <si>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</si>
  <si>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</si>
  <si>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</si>
  <si>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</si>
  <si>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</si>
  <si>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</si>
  <si>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</si>
  <si>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</si>
  <si>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</si>
  <si>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</si>
  <si>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</si>
  <si>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</si>
  <si>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</si>
  <si>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</si>
  <si>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</si>
  <si>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</si>
  <si>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</si>
  <si>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</si>
  <si>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</si>
  <si>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</si>
  <si>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</si>
  <si>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</si>
  <si>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</si>
  <si>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</si>
  <si>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</si>
  <si>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</si>
  <si>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</si>
  <si>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</si>
  <si>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</si>
  <si>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</si>
  <si>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</si>
  <si>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</si>
  <si>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</si>
  <si>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</si>
  <si>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</si>
  <si>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</si>
  <si>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</si>
  <si>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</si>
  <si>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</si>
  <si>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</si>
  <si>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</si>
  <si>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</si>
  <si>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</si>
  <si>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</si>
  <si>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</si>
  <si>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INE070A01015</t>
  </si>
  <si>
    <t>INE259A01022</t>
  </si>
  <si>
    <t>IN9155A01020</t>
  </si>
  <si>
    <t>Principal Dividend Yield Fund</t>
  </si>
  <si>
    <t>INE118A01012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</si>
  <si>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</si>
  <si>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</si>
  <si>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</si>
  <si>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</si>
  <si>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</si>
  <si>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</si>
  <si>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</si>
  <si>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</si>
  <si>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</si>
  <si>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</si>
  <si>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</si>
  <si>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</si>
  <si>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</si>
  <si>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</si>
  <si>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</si>
  <si>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</si>
  <si>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</si>
  <si>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</si>
  <si>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</si>
  <si>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</si>
  <si>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</si>
  <si>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</si>
  <si>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</si>
  <si>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</si>
  <si>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</si>
  <si>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</si>
  <si>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</si>
  <si>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</si>
  <si>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</si>
  <si>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</si>
  <si>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</si>
  <si>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</si>
  <si>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</si>
  <si>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</si>
  <si>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</si>
  <si>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</si>
  <si>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</si>
  <si>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</si>
  <si>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</si>
  <si>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</si>
  <si>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</si>
  <si>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Principal Pnb FMP Series- B5</t>
  </si>
  <si>
    <t>CARE AA+</t>
  </si>
  <si>
    <t>INE667F07DV4</t>
  </si>
  <si>
    <t>INE121A07IC2</t>
  </si>
  <si>
    <t>INE242A01010</t>
  </si>
  <si>
    <t>Healthcare Services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</si>
  <si>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</si>
  <si>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</si>
  <si>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</si>
  <si>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</si>
  <si>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</si>
  <si>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</si>
  <si>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</si>
  <si>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</si>
  <si>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</si>
  <si>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</si>
  <si>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</si>
  <si>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</si>
  <si>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</si>
  <si>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</si>
  <si>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</si>
  <si>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</si>
  <si>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</si>
  <si>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</si>
  <si>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</si>
  <si>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</si>
  <si>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</si>
  <si>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</si>
  <si>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</si>
  <si>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</si>
  <si>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</si>
  <si>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</si>
  <si>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</si>
  <si>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</si>
  <si>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</si>
  <si>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</si>
  <si>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</si>
  <si>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</si>
  <si>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</si>
  <si>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</si>
  <si>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</si>
  <si>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</si>
  <si>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</si>
  <si>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</si>
  <si>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</si>
  <si>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</si>
  <si>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</si>
  <si>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</si>
  <si>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</si>
  <si>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</si>
  <si>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</si>
  <si>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</si>
  <si>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</si>
  <si>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</si>
  <si>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</si>
  <si>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</si>
  <si>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</si>
  <si>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</si>
  <si>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</si>
  <si>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</si>
  <si>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</si>
  <si>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</si>
  <si>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</si>
  <si>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</si>
  <si>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</si>
  <si>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</si>
  <si>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</si>
  <si>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</si>
  <si>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</si>
  <si>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</si>
  <si>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</si>
  <si>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</si>
  <si>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</si>
  <si>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</si>
  <si>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</si>
  <si>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</si>
  <si>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</si>
  <si>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</si>
  <si>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</si>
  <si>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</si>
  <si>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</si>
  <si>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</si>
  <si>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</si>
  <si>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</si>
  <si>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</si>
  <si>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</si>
  <si>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</si>
  <si>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</si>
  <si>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</si>
  <si>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Hindalco Industries Ltd.</t>
  </si>
  <si>
    <t>Colgate Palmolive (India) Ltd.</t>
  </si>
  <si>
    <t>Bharat Electronics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</si>
  <si>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</si>
  <si>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</si>
  <si>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</si>
  <si>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</si>
  <si>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</si>
  <si>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</si>
  <si>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</si>
  <si>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</si>
  <si>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</si>
  <si>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</si>
  <si>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</si>
  <si>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</si>
  <si>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</si>
  <si>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</si>
  <si>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</si>
  <si>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</si>
  <si>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</si>
  <si>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</si>
  <si>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</si>
  <si>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</si>
  <si>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</si>
  <si>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</si>
  <si>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</si>
  <si>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</si>
  <si>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</si>
  <si>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Punjab Wireless Systems Ltd.</t>
  </si>
  <si>
    <t>[ICRA]A1+</t>
  </si>
  <si>
    <t>Cox &amp; Kings Ltd.</t>
  </si>
  <si>
    <t>[ICRA]AA</t>
  </si>
  <si>
    <t>[ICRA]AA-</t>
  </si>
  <si>
    <t>IN0020120054</t>
  </si>
  <si>
    <t>Reliance Infrastructure Ltd.</t>
  </si>
  <si>
    <t>Exide Industries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</si>
  <si>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</si>
  <si>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</si>
  <si>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</si>
  <si>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</si>
  <si>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</si>
  <si>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</si>
  <si>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</si>
  <si>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</si>
  <si>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</si>
  <si>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</si>
  <si>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</si>
  <si>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</si>
  <si>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</si>
  <si>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</si>
  <si>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</si>
  <si>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</si>
  <si>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</si>
  <si>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</si>
  <si>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10.85% Aspire Home Finance Corporation Ltd.</t>
  </si>
  <si>
    <t>Sundaram BNP Paribas Home Finance Ltd. (ZCB)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</si>
  <si>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</si>
  <si>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</si>
  <si>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</si>
  <si>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</si>
  <si>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</si>
  <si>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</si>
  <si>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</si>
  <si>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</si>
  <si>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Bharti Infratel Ltd.</t>
  </si>
  <si>
    <t>INE121J01017</t>
  </si>
  <si>
    <t>IND A1+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</si>
  <si>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</si>
  <si>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</si>
  <si>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</si>
  <si>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</si>
  <si>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</si>
  <si>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</si>
  <si>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</si>
  <si>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</si>
  <si>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</si>
  <si>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</si>
  <si>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</si>
  <si>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</si>
  <si>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</si>
  <si>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</si>
  <si>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</si>
  <si>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</si>
  <si>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</si>
  <si>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</si>
  <si>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</si>
  <si>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</si>
  <si>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</si>
  <si>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</si>
  <si>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</si>
  <si>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</si>
  <si>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</si>
  <si>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9.81% Cholamandalam Investment and Finance Company Ltd.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</si>
  <si>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</si>
  <si>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</si>
  <si>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</si>
  <si>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</si>
  <si>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</si>
  <si>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</si>
  <si>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</si>
  <si>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</si>
  <si>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</si>
  <si>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</si>
  <si>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INE296A01024</t>
  </si>
  <si>
    <t>INE586V01016</t>
  </si>
  <si>
    <t>BWR AA-</t>
  </si>
  <si>
    <t>Rico Auto Industries Ltd.</t>
  </si>
  <si>
    <t>INE209B01025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</si>
  <si>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</si>
  <si>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</si>
  <si>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</si>
  <si>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</si>
  <si>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</si>
  <si>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</si>
  <si>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</si>
  <si>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</si>
  <si>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</si>
  <si>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</si>
  <si>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</si>
  <si>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</si>
  <si>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</si>
  <si>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</si>
  <si>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</si>
  <si>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</si>
  <si>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</si>
  <si>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</si>
  <si>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</si>
  <si>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</si>
  <si>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</si>
  <si>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</si>
  <si>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</si>
  <si>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</si>
  <si>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</si>
  <si>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</si>
  <si>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</si>
  <si>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</si>
  <si>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</si>
  <si>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</si>
  <si>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</si>
  <si>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</si>
  <si>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</si>
  <si>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</si>
  <si>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</si>
  <si>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</si>
  <si>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INE036D01028</t>
  </si>
  <si>
    <t>Listed / awaiting listing on the stock exchanges</t>
  </si>
  <si>
    <t>INE733E07KB4</t>
  </si>
  <si>
    <t>Chambal Fertilisers and Chemicals Ltd.</t>
  </si>
  <si>
    <t>INE085A01013</t>
  </si>
  <si>
    <t>Fertilisers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</si>
  <si>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</si>
  <si>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</si>
  <si>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</si>
  <si>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</si>
  <si>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</si>
  <si>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</si>
  <si>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</si>
  <si>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</si>
  <si>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</si>
  <si>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</si>
  <si>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</si>
  <si>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</si>
  <si>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</si>
  <si>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Coromandel International Ltd.</t>
  </si>
  <si>
    <t>INE169A01031</t>
  </si>
  <si>
    <t>Sheela Foam Ltd.</t>
  </si>
  <si>
    <t>INE916U01025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</si>
  <si>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</si>
  <si>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</si>
  <si>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</si>
  <si>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</si>
  <si>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</si>
  <si>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</si>
  <si>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</si>
  <si>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</si>
  <si>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</si>
  <si>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</si>
  <si>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</si>
  <si>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</si>
  <si>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</si>
  <si>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</si>
  <si>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ICICI Prudential Life Insurance Company Ltd.</t>
  </si>
  <si>
    <t>INE726G01019</t>
  </si>
  <si>
    <t>Himadri Speciality Chemical Ltd.</t>
  </si>
  <si>
    <t>INE019C01026</t>
  </si>
  <si>
    <t>Principal Cash Management Fund - Growth Option</t>
  </si>
  <si>
    <t>INE155A08308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</si>
  <si>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</si>
  <si>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</si>
  <si>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</si>
  <si>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</si>
  <si>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</si>
  <si>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</si>
  <si>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</si>
  <si>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</si>
  <si>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</si>
  <si>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</si>
  <si>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</si>
  <si>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Housing and Urban Development Corporation Ltd.</t>
  </si>
  <si>
    <t>INE031A01017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</si>
  <si>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</si>
  <si>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</si>
  <si>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</si>
  <si>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</si>
  <si>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</si>
  <si>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</si>
  <si>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</si>
  <si>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INE040A08377</t>
  </si>
  <si>
    <t>CRISIL AA+</t>
  </si>
  <si>
    <t>Principal Money Manager Fund</t>
  </si>
  <si>
    <t>INE385W01011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</si>
  <si>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</si>
  <si>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</si>
  <si>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</si>
  <si>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</si>
  <si>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</si>
  <si>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</si>
  <si>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</si>
  <si>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Fortis Healthcare Ltd.</t>
  </si>
  <si>
    <t>INE061F01013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</si>
  <si>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</si>
  <si>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</si>
  <si>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</si>
  <si>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</si>
  <si>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</si>
  <si>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</si>
  <si>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IND AAA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</si>
  <si>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</si>
  <si>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</si>
  <si>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</si>
  <si>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</si>
  <si>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</si>
  <si>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</si>
  <si>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</si>
  <si>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</si>
  <si>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</si>
  <si>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</si>
  <si>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</si>
  <si>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</si>
  <si>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</si>
  <si>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</si>
  <si>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</si>
  <si>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</si>
  <si>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</si>
  <si>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</si>
  <si>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</si>
  <si>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</si>
  <si>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</si>
  <si>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</si>
  <si>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</si>
  <si>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</si>
  <si>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7.50% Power Finance Corporation Ltd.</t>
  </si>
  <si>
    <t>INE134E08IW3</t>
  </si>
  <si>
    <t>INE572E09460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</si>
  <si>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</si>
  <si>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</si>
  <si>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</si>
  <si>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</si>
  <si>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</si>
  <si>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</si>
  <si>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</si>
  <si>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</si>
  <si>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</si>
  <si>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</si>
  <si>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</si>
  <si>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</si>
  <si>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Container Corporation of India Ltd.</t>
  </si>
  <si>
    <t>Balrampur Chini Mills Ltd.</t>
  </si>
  <si>
    <t>INE119A01028</t>
  </si>
  <si>
    <t>8.70% JM Financial Products Ltd.</t>
  </si>
  <si>
    <t>CARE AA</t>
  </si>
  <si>
    <t>INE202B07IK1</t>
  </si>
  <si>
    <t>INE202B14KF3</t>
  </si>
  <si>
    <t>INE148I14SU5</t>
  </si>
  <si>
    <t>7.63% PNB Housing Finance Ltd.</t>
  </si>
  <si>
    <t>Sprit Textiles Private Ltd. (ZCB)</t>
  </si>
  <si>
    <t>INE069R07117</t>
  </si>
  <si>
    <t>INE155A08365</t>
  </si>
  <si>
    <t>***</t>
  </si>
  <si>
    <t>Unlisted 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</si>
  <si>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</si>
  <si>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</si>
  <si>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</si>
  <si>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</si>
  <si>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</si>
  <si>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</si>
  <si>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</si>
  <si>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</si>
  <si>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</si>
  <si>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</si>
  <si>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</si>
  <si>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</si>
  <si>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</si>
  <si>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Chennai Petroleum Corporation Ltd.</t>
  </si>
  <si>
    <t>INE178A01016</t>
  </si>
  <si>
    <t>INE008I14JK1</t>
  </si>
  <si>
    <t>National Bank for Agriculture and Rural Development</t>
  </si>
  <si>
    <t>HCL Infosystems Ltd.</t>
  </si>
  <si>
    <t>[ICRA]A1</t>
  </si>
  <si>
    <t>6.68% Government of India Security</t>
  </si>
  <si>
    <t>IN0020170042</t>
  </si>
  <si>
    <t>INE261F08907</t>
  </si>
  <si>
    <t>INE002A08476</t>
  </si>
  <si>
    <t>INE261F08527</t>
  </si>
  <si>
    <t>Gujarat Narmada Valley Fertilizers &amp; Chemicals Ltd.</t>
  </si>
  <si>
    <t>INE113A01013</t>
  </si>
  <si>
    <t>Chennai Super Kings Ltd. @**</t>
  </si>
  <si>
    <t>Jindal Steel &amp; Power Ltd.</t>
  </si>
  <si>
    <t>INE749A01030</t>
  </si>
  <si>
    <t>BWR A1+</t>
  </si>
  <si>
    <t>Kribhco Fertilizers Ltd.</t>
  </si>
  <si>
    <t>INE486H14888</t>
  </si>
  <si>
    <t>TBILL 91 DAYS 2018</t>
  </si>
  <si>
    <t>INE001A07PT5</t>
  </si>
  <si>
    <t>8.13% Tata Motors Ltd.</t>
  </si>
  <si>
    <t>8.10% NTPC Ltd.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</si>
  <si>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</si>
  <si>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</si>
  <si>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</si>
  <si>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</si>
  <si>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</si>
  <si>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</si>
  <si>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</si>
  <si>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</si>
  <si>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</si>
  <si>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</si>
  <si>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</si>
  <si>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TBILL 323 DAYS 2018</t>
  </si>
  <si>
    <t>IN002017X056</t>
  </si>
  <si>
    <t>8.00% Tata Motors Ltd.</t>
  </si>
  <si>
    <t>6.79% Government of India Security</t>
  </si>
  <si>
    <t>IN0020170026</t>
  </si>
  <si>
    <t>INE008I14KL7</t>
  </si>
  <si>
    <t>INE008I14KK9</t>
  </si>
  <si>
    <t>INE020B08591</t>
  </si>
  <si>
    <t>7.59% Government of India Security</t>
  </si>
  <si>
    <t>IN0020150069</t>
  </si>
  <si>
    <t>INE936D07067</t>
  </si>
  <si>
    <t>7.72% Government of India Security</t>
  </si>
  <si>
    <t>IN0020150036</t>
  </si>
  <si>
    <t>INE752E07BB3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</si>
  <si>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</si>
  <si>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</si>
  <si>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</si>
  <si>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</si>
  <si>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</si>
  <si>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</si>
  <si>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</si>
  <si>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NCC Ltd.</t>
  </si>
  <si>
    <t>INE868B01028</t>
  </si>
  <si>
    <t>Amara Raja Batteries Ltd.</t>
  </si>
  <si>
    <t>INE885A01032</t>
  </si>
  <si>
    <t>INE238A16W19</t>
  </si>
  <si>
    <t>INE110L07054</t>
  </si>
  <si>
    <t>INE053F09FU0</t>
  </si>
  <si>
    <t>DLF Ltd.</t>
  </si>
  <si>
    <t>INE271C01023</t>
  </si>
  <si>
    <t>Reliance Capital Ltd.</t>
  </si>
  <si>
    <t>INE013A01015</t>
  </si>
  <si>
    <t>INE001A07QV9</t>
  </si>
  <si>
    <t>Principal Credit Opportunities Fund - Direct Plan - Growth Option</t>
  </si>
  <si>
    <t>INF173K01FX6</t>
  </si>
  <si>
    <t>INE503A16EQ1</t>
  </si>
  <si>
    <t>INE121H14IJ8</t>
  </si>
  <si>
    <t>INE261F14CD2</t>
  </si>
  <si>
    <t>INE896L14BL8</t>
  </si>
  <si>
    <t>INE514E14LY4</t>
  </si>
  <si>
    <t>IN002017X429</t>
  </si>
  <si>
    <t>IN002017X411</t>
  </si>
  <si>
    <t>Commercial Paper</t>
  </si>
  <si>
    <t>IND A (SO)</t>
  </si>
  <si>
    <t>CARE AA+ (SO)</t>
  </si>
  <si>
    <t>All corporate ratings are assigned by rating agencies like CRISIL; CARE; ICRA; IND; BRW.</t>
  </si>
  <si>
    <t>Shree Cement Ltd.</t>
  </si>
  <si>
    <t>Rama Steel Tubes Ltd.</t>
  </si>
  <si>
    <t>INE230R01027</t>
  </si>
  <si>
    <t>Orient Electric Ltd. @**</t>
  </si>
  <si>
    <t>INE142Z01019</t>
  </si>
  <si>
    <t>Texmaco Rail &amp; Engineering Ltd.</t>
  </si>
  <si>
    <t>INE621L01012</t>
  </si>
  <si>
    <t>INE600K01018</t>
  </si>
  <si>
    <t>The Ramco Cements Ltd.</t>
  </si>
  <si>
    <t>INE331A01037</t>
  </si>
  <si>
    <t>INE486H14904</t>
  </si>
  <si>
    <t>INE236A14HH5</t>
  </si>
  <si>
    <t>INE124N07085</t>
  </si>
  <si>
    <t>Sudarshan Chemical Industries Ltd.</t>
  </si>
  <si>
    <t>INE659A14273</t>
  </si>
  <si>
    <t>INE140A07369</t>
  </si>
  <si>
    <t>IN0020150093</t>
  </si>
  <si>
    <t>CESC Ltd.</t>
  </si>
  <si>
    <t>INE486A01013</t>
  </si>
  <si>
    <t>Dish TV India Ltd.</t>
  </si>
  <si>
    <t>INE836F01026</t>
  </si>
  <si>
    <t>INE090A160O6</t>
  </si>
  <si>
    <t>7.17% Government of India Security</t>
  </si>
  <si>
    <t>IN0020170174</t>
  </si>
  <si>
    <t>INE238A16W50</t>
  </si>
  <si>
    <t>INE881J14NG9</t>
  </si>
  <si>
    <t>India Infoline Housing Finance Ltd.</t>
  </si>
  <si>
    <t>INE477L14CG5</t>
  </si>
  <si>
    <t>INE148I14UG0</t>
  </si>
  <si>
    <t>APL Apollo Tubes Ltd.</t>
  </si>
  <si>
    <t>INE702C14798</t>
  </si>
  <si>
    <t>INE477L14CL5</t>
  </si>
  <si>
    <t>-</t>
  </si>
  <si>
    <t>8.88% Export-Import Bank of India **</t>
  </si>
  <si>
    <t>8.95% Reliance Utilities &amp; Power Private Ltd. **</t>
  </si>
  <si>
    <t>9.10% Dewan Housing Finance Corporation Ltd. **</t>
  </si>
  <si>
    <t>7.48% Housing Development Finance Corporation Ltd. **</t>
  </si>
  <si>
    <t>7.40% Tata Motors Ltd. **</t>
  </si>
  <si>
    <t>8.10% NTPC Ltd. **</t>
  </si>
  <si>
    <t>8.80% Indiabulls Housing Finance Ltd. **</t>
  </si>
  <si>
    <t>9.20% Avanse Financial Services Ltd. **</t>
  </si>
  <si>
    <t>10.85% Aspire Home Finance Corporation Ltd. **</t>
  </si>
  <si>
    <t>6.98% National Bank for Agriculture and Rural Development **</t>
  </si>
  <si>
    <t>10.35% Ess Kay Fincorp Ltd. **</t>
  </si>
  <si>
    <t>8.13% Piramal Enterprises Ltd. **</t>
  </si>
  <si>
    <t>7.65% Housing Development Finance Corporation Ltd. **</t>
  </si>
  <si>
    <t>7.21% Housing Development Finance Corporation Ltd. **</t>
  </si>
  <si>
    <t>7.78% LIC Housing Finance Ltd. **</t>
  </si>
  <si>
    <t>7.63% PNB Housing Finance Ltd. **</t>
  </si>
  <si>
    <t>8.00% Tata Motors Ltd. **</t>
  </si>
  <si>
    <t>10.70% Aspire Home Finance Corporation Ltd. **</t>
  </si>
  <si>
    <t>IL&amp;FS Financial Services Ltd. **</t>
  </si>
  <si>
    <t>Kribhco Fertilizers Ltd. **</t>
  </si>
  <si>
    <t>SREI Equipment Finance Ltd. **</t>
  </si>
  <si>
    <t>Indostar Capital Finance Ltd. **</t>
  </si>
  <si>
    <t>Export-Import Bank of India **</t>
  </si>
  <si>
    <t>India Infoline Housing Finance Ltd. **</t>
  </si>
  <si>
    <t>Indiabulls Housing Finance Ltd. **</t>
  </si>
  <si>
    <t>APL Apollo Tubes Ltd. **</t>
  </si>
  <si>
    <t>Sudarshan Chemical Industries Ltd. **</t>
  </si>
  <si>
    <t>Cox &amp; Kings Ltd. **</t>
  </si>
  <si>
    <t>Avanse Financial Services Ltd. **</t>
  </si>
  <si>
    <t>HCL Infosystems Ltd. **</t>
  </si>
  <si>
    <t>Portfolio as on Feb 28, 2018</t>
  </si>
  <si>
    <t>Industry / Rating</t>
  </si>
  <si>
    <t>Interglobe Aviation Ltd.</t>
  </si>
  <si>
    <t>INE646L01027</t>
  </si>
  <si>
    <t>Sterlite Technologies Ltd.</t>
  </si>
  <si>
    <t>INE089C01029</t>
  </si>
  <si>
    <t>Galaxy Surfactants Ltd.</t>
  </si>
  <si>
    <t>HSIL Ltd.</t>
  </si>
  <si>
    <t>INE415A14BP1</t>
  </si>
  <si>
    <t>INE008I14LF7</t>
  </si>
  <si>
    <t>INE236A14HJ1</t>
  </si>
  <si>
    <t>7.70% Rural Electrification Corporation Ltd.</t>
  </si>
  <si>
    <t>INE020B08AS5</t>
  </si>
  <si>
    <t>8.85% HDFC Bank Ltd.</t>
  </si>
  <si>
    <t>INE002A08484</t>
  </si>
  <si>
    <t>8.33% Government of India Security</t>
  </si>
  <si>
    <t>IN0020120039</t>
  </si>
  <si>
    <t>8.35% Gujarat State Government Security</t>
  </si>
  <si>
    <t>IN1520170227</t>
  </si>
  <si>
    <t>Avanse Financial Services Ltd.</t>
  </si>
  <si>
    <t>INE087P14374</t>
  </si>
  <si>
    <t>INE752E07OF7</t>
  </si>
  <si>
    <t>INE040A16BY4</t>
  </si>
  <si>
    <t>Alembic Pharmaceuticals Ltd.</t>
  </si>
  <si>
    <t>INE901L14458</t>
  </si>
  <si>
    <t>Vardhman Special Steels Ltd.</t>
  </si>
  <si>
    <t>INE050M14478</t>
  </si>
  <si>
    <t>INE881J14NE4</t>
  </si>
  <si>
    <t>SBI Cards &amp; Payment Services Pvt. Ltd.</t>
  </si>
  <si>
    <t>INE018E14KS0</t>
  </si>
  <si>
    <t>INE538L14938</t>
  </si>
  <si>
    <t>INE002A14789</t>
  </si>
  <si>
    <t>INE114A14FO4</t>
  </si>
  <si>
    <t>Cash Future Arbitrage</t>
  </si>
  <si>
    <t>Certificate of Deposit</t>
  </si>
  <si>
    <t>Axis Bank Ltd. **</t>
  </si>
  <si>
    <t>8.55% Indiabulls Housing Finance Ltd. **</t>
  </si>
  <si>
    <t>8.15% Piramal Enterprises Ltd. **</t>
  </si>
  <si>
    <t>8.70% JM Financial Products Ltd. **</t>
  </si>
  <si>
    <t>9.05% Dewan Housing Finance Corporation Ltd. **</t>
  </si>
  <si>
    <t>10.30% Manappuram Finance Ltd. **</t>
  </si>
  <si>
    <t>8.13% Tata Motors Ltd. **</t>
  </si>
  <si>
    <t>8.10% Reliance Jio Infocomm Ltd. **</t>
  </si>
  <si>
    <t>6.78% Reliance Industries Ltd. **</t>
  </si>
  <si>
    <t>8.85% Power Grid Corporation of India Ltd. **</t>
  </si>
  <si>
    <t>9.48% Rural Electrification Corporation Ltd. **</t>
  </si>
  <si>
    <t>8.55% Indian Railway Finance Corporation Ltd. **</t>
  </si>
  <si>
    <t>7.00% Reliance Industries Ltd. **</t>
  </si>
  <si>
    <t>7.80% Housing Development Finance Corporation Ltd. **</t>
  </si>
  <si>
    <t>7.25% Small Industries Development Bank of India **</t>
  </si>
  <si>
    <t>9.25% Power Grid Corporation of India Ltd. **</t>
  </si>
  <si>
    <t>8.37% National Bank for Agriculture and Rural Development **</t>
  </si>
  <si>
    <t>7.30% Power Grid Corporation of India Ltd. **</t>
  </si>
  <si>
    <t>DCB Bank Ltd. **</t>
  </si>
  <si>
    <t>Alembic Pharmaceuticals Ltd. **</t>
  </si>
  <si>
    <t>HSIL Ltd. **</t>
  </si>
  <si>
    <t>Vardhman Special Steels Ltd. **</t>
  </si>
  <si>
    <t>SBI Cards &amp; Payment Services Pvt. Ltd. **</t>
  </si>
  <si>
    <t>Aadhar Housing Finance Ltd. **</t>
  </si>
  <si>
    <t>Reliance Industries Ltd. **</t>
  </si>
  <si>
    <t>Steel Authority of India Ltd. **</t>
  </si>
  <si>
    <t>Aggregate investments by other schemes of Principal Mutual Fund at the end of the period is Rs.802.08 Lakhs</t>
  </si>
  <si>
    <t>Aggregate investments by other schemes of Principal Mutual Fund at the end of the period is Rs.1517.67 Lakhs</t>
  </si>
  <si>
    <t>Aggregate investments by other schemes of Principal Mutual Fund at the end of the period is Rs.48.84 Lakhs</t>
  </si>
  <si>
    <t>Aggregate investments by other schemes of Principal Mutual Fund at the end of the period is Rs.163.98 Lakhs</t>
  </si>
  <si>
    <t>Aggregate investments by other schemes of Principal Mutual Fund at the end of the period is Rs.93.76 Lakhs</t>
  </si>
  <si>
    <t>Aggregate investments by other schemes of Principal Mutual Fund at the end of the period is Rs.1375.46 Lakhs</t>
  </si>
  <si>
    <t>Derivatives   % to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</si>
</sst>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  <numFmt numFmtId="175" formatCode="##0.00_);\(##0.00\)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5" fillId="2" borderId="1" xfId="2" applyFont="1" applyFill="1" applyBorder="1" applyAlignment="1" applyProtection="1">
      <alignment horizontal="center" vertical="center" wrapText="1"/>
    </xf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175" fontId="0" fillId="0" borderId="0" xfId="0" applyNumberFormat="1"/>
    <xf numFmtId="175" fontId="11" fillId="4" borderId="0" xfId="0" applyNumberFormat="1" applyFont="1" applyFill="1"/>
    <xf numFmtId="10" fontId="5" fillId="2" borderId="2" xfId="4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6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42.85546875" bestFit="1" customWidth="1"/>
    <col min="11" max="11" width="8" style="37" customWidth="1"/>
    <col min="13" max="13" width="17.7109375" bestFit="1" customWidth="1"/>
  </cols>
  <sheetData>
    <row r="1" spans="1:15" ht="18.75" x14ac:dyDescent="0.2">
      <c r="A1" s="95" t="s">
        <v>370</v>
      </c>
      <c r="B1" s="126" t="s">
        <v>0</v>
      </c>
      <c r="C1" s="127"/>
      <c r="D1" s="127"/>
      <c r="E1" s="127"/>
      <c r="F1" s="127"/>
      <c r="G1" s="127"/>
      <c r="H1" s="128"/>
    </row>
    <row r="2" spans="1:15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5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5" ht="12.75" customHeight="1" x14ac:dyDescent="0.2">
      <c r="F5" s="14"/>
      <c r="G5" s="15"/>
      <c r="H5" s="16"/>
    </row>
    <row r="6" spans="1:15" ht="12.75" customHeight="1" x14ac:dyDescent="0.2">
      <c r="F6" s="14"/>
      <c r="G6" s="15"/>
      <c r="H6" s="16"/>
    </row>
    <row r="7" spans="1:15" ht="12.75" customHeight="1" x14ac:dyDescent="0.2">
      <c r="B7" s="17" t="s">
        <v>9</v>
      </c>
      <c r="C7" s="17"/>
      <c r="F7" s="14"/>
      <c r="G7" s="15"/>
      <c r="H7" s="16"/>
    </row>
    <row r="8" spans="1:15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5" ht="12.75" customHeight="1" x14ac:dyDescent="0.2">
      <c r="A9">
        <f>+MAX($A$8:A8)+1</f>
        <v>1</v>
      </c>
      <c r="B9" t="s">
        <v>194</v>
      </c>
      <c r="C9" t="s">
        <v>14</v>
      </c>
      <c r="D9" t="s">
        <v>10</v>
      </c>
      <c r="E9" s="29">
        <v>142365</v>
      </c>
      <c r="F9" s="14">
        <v>2682.4413300000001</v>
      </c>
      <c r="G9" s="15">
        <f t="shared" ref="G9:G40" si="0">+ROUND(F9/VLOOKUP("Grand Total",$B$4:$F$283,5,0),4)</f>
        <v>4.3200000000000002E-2</v>
      </c>
      <c r="H9" s="16"/>
      <c r="I9" s="16"/>
      <c r="J9" s="15" t="s">
        <v>10</v>
      </c>
      <c r="K9" s="49">
        <f t="shared" ref="K9:K39" si="1">SUMIFS($G$5:$G$321,$D$5:$D$321,J9)</f>
        <v>0.18779999999999999</v>
      </c>
    </row>
    <row r="10" spans="1:15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9">
        <v>778587</v>
      </c>
      <c r="F10" s="14">
        <v>2438.9237775000001</v>
      </c>
      <c r="G10" s="15">
        <f t="shared" si="0"/>
        <v>3.9300000000000002E-2</v>
      </c>
      <c r="H10" s="16"/>
      <c r="J10" s="15" t="s">
        <v>26</v>
      </c>
      <c r="K10" s="49">
        <f t="shared" si="1"/>
        <v>0.1143</v>
      </c>
    </row>
    <row r="11" spans="1:15" ht="12.75" customHeight="1" x14ac:dyDescent="0.2">
      <c r="A11">
        <f>+MAX($A$8:A10)+1</f>
        <v>3</v>
      </c>
      <c r="B11" t="s">
        <v>196</v>
      </c>
      <c r="C11" t="s">
        <v>31</v>
      </c>
      <c r="D11" t="s">
        <v>30</v>
      </c>
      <c r="E11" s="29">
        <v>207332</v>
      </c>
      <c r="F11" s="14">
        <v>1979.0876060000001</v>
      </c>
      <c r="G11" s="15">
        <f t="shared" si="0"/>
        <v>3.1899999999999998E-2</v>
      </c>
      <c r="H11" s="16"/>
      <c r="J11" s="15" t="s">
        <v>15</v>
      </c>
      <c r="K11" s="49">
        <f t="shared" si="1"/>
        <v>7.3799999999999991E-2</v>
      </c>
      <c r="L11" s="37"/>
      <c r="M11" s="93"/>
      <c r="N11" s="37"/>
      <c r="O11" s="15"/>
    </row>
    <row r="12" spans="1:15" ht="12.75" customHeight="1" x14ac:dyDescent="0.2">
      <c r="A12">
        <f>+MAX($A$8:A11)+1</f>
        <v>4</v>
      </c>
      <c r="B12" t="s">
        <v>195</v>
      </c>
      <c r="C12" t="s">
        <v>16</v>
      </c>
      <c r="D12" t="s">
        <v>15</v>
      </c>
      <c r="E12" s="29">
        <v>164142</v>
      </c>
      <c r="F12" s="14">
        <v>1924.7290919999998</v>
      </c>
      <c r="G12" s="15">
        <f t="shared" si="0"/>
        <v>3.1E-2</v>
      </c>
      <c r="H12" s="16"/>
      <c r="J12" s="15" t="s">
        <v>28</v>
      </c>
      <c r="K12" s="49">
        <f t="shared" si="1"/>
        <v>5.74E-2</v>
      </c>
      <c r="L12" s="37"/>
      <c r="M12" s="93"/>
      <c r="N12" s="37"/>
      <c r="O12" s="15"/>
    </row>
    <row r="13" spans="1:15" ht="12.75" customHeight="1" x14ac:dyDescent="0.2">
      <c r="A13">
        <f>+MAX($A$8:A12)+1</f>
        <v>5</v>
      </c>
      <c r="B13" t="s">
        <v>227</v>
      </c>
      <c r="C13" t="s">
        <v>71</v>
      </c>
      <c r="D13" t="s">
        <v>28</v>
      </c>
      <c r="E13" s="29">
        <v>137696</v>
      </c>
      <c r="F13" s="14">
        <v>1815.039824</v>
      </c>
      <c r="G13" s="15">
        <f t="shared" si="0"/>
        <v>2.93E-2</v>
      </c>
      <c r="H13" s="16"/>
      <c r="J13" s="15" t="s">
        <v>21</v>
      </c>
      <c r="K13" s="49">
        <f t="shared" si="1"/>
        <v>5.2999999999999999E-2</v>
      </c>
      <c r="L13" s="37"/>
      <c r="M13" s="93"/>
      <c r="N13" s="37"/>
      <c r="O13" s="15"/>
    </row>
    <row r="14" spans="1:15" ht="12.75" customHeight="1" x14ac:dyDescent="0.2">
      <c r="A14">
        <f>+MAX($A$8:A13)+1</f>
        <v>6</v>
      </c>
      <c r="B14" t="s">
        <v>200</v>
      </c>
      <c r="C14" t="s">
        <v>27</v>
      </c>
      <c r="D14" t="s">
        <v>24</v>
      </c>
      <c r="E14" s="29">
        <v>93303</v>
      </c>
      <c r="F14" s="14">
        <v>1687.571361</v>
      </c>
      <c r="G14" s="15">
        <f t="shared" si="0"/>
        <v>2.7199999999999998E-2</v>
      </c>
      <c r="H14" s="16"/>
      <c r="J14" s="15" t="s">
        <v>36</v>
      </c>
      <c r="K14" s="49">
        <f t="shared" si="1"/>
        <v>5.0100000000000006E-2</v>
      </c>
      <c r="L14" s="37"/>
      <c r="M14" s="93"/>
      <c r="N14" s="37"/>
      <c r="O14" s="15"/>
    </row>
    <row r="15" spans="1:15" ht="12.75" customHeight="1" x14ac:dyDescent="0.2">
      <c r="A15">
        <f>+MAX($A$8:A14)+1</f>
        <v>7</v>
      </c>
      <c r="B15" t="s">
        <v>203</v>
      </c>
      <c r="C15" t="s">
        <v>46</v>
      </c>
      <c r="D15" t="s">
        <v>26</v>
      </c>
      <c r="E15" s="29">
        <v>581201</v>
      </c>
      <c r="F15" s="14">
        <v>1540.4732505000002</v>
      </c>
      <c r="G15" s="15">
        <f t="shared" si="0"/>
        <v>2.4799999999999999E-2</v>
      </c>
      <c r="H15" s="16"/>
      <c r="J15" s="15" t="s">
        <v>24</v>
      </c>
      <c r="K15" s="49">
        <f t="shared" si="1"/>
        <v>4.8100000000000004E-2</v>
      </c>
      <c r="L15" s="37"/>
      <c r="M15" s="93"/>
      <c r="N15" s="37"/>
      <c r="O15" s="15"/>
    </row>
    <row r="16" spans="1:15" ht="12.75" customHeight="1" x14ac:dyDescent="0.2">
      <c r="A16">
        <f>+MAX($A$8:A15)+1</f>
        <v>8</v>
      </c>
      <c r="B16" t="s">
        <v>17</v>
      </c>
      <c r="C16" t="s">
        <v>18</v>
      </c>
      <c r="D16" t="s">
        <v>10</v>
      </c>
      <c r="E16" s="29">
        <v>543759</v>
      </c>
      <c r="F16" s="14">
        <v>1457.27412</v>
      </c>
      <c r="G16" s="15">
        <f t="shared" si="0"/>
        <v>2.35E-2</v>
      </c>
      <c r="H16" s="16"/>
      <c r="J16" s="15" t="s">
        <v>19</v>
      </c>
      <c r="K16" s="49">
        <f t="shared" si="1"/>
        <v>4.4299999999999999E-2</v>
      </c>
      <c r="L16" s="37"/>
      <c r="M16" s="93"/>
      <c r="N16" s="37"/>
      <c r="O16" s="15"/>
    </row>
    <row r="17" spans="1:15" ht="12.75" customHeight="1" x14ac:dyDescent="0.2">
      <c r="A17">
        <f>+MAX($A$8:A16)+1</f>
        <v>9</v>
      </c>
      <c r="B17" t="s">
        <v>199</v>
      </c>
      <c r="C17" t="s">
        <v>25</v>
      </c>
      <c r="D17" t="s">
        <v>15</v>
      </c>
      <c r="E17" s="29">
        <v>148986</v>
      </c>
      <c r="F17" s="14">
        <v>1400.9153580000002</v>
      </c>
      <c r="G17" s="15">
        <f t="shared" si="0"/>
        <v>2.2599999999999999E-2</v>
      </c>
      <c r="H17" s="16"/>
      <c r="J17" s="15" t="s">
        <v>133</v>
      </c>
      <c r="K17" s="49">
        <f t="shared" si="1"/>
        <v>4.3300000000000005E-2</v>
      </c>
      <c r="L17" s="37"/>
      <c r="M17" s="93"/>
      <c r="N17" s="37"/>
      <c r="O17" s="15"/>
    </row>
    <row r="18" spans="1:15" ht="12.75" customHeight="1" x14ac:dyDescent="0.2">
      <c r="A18">
        <f>+MAX($A$8:A17)+1</f>
        <v>10</v>
      </c>
      <c r="B18" t="s">
        <v>318</v>
      </c>
      <c r="C18" t="s">
        <v>319</v>
      </c>
      <c r="D18" t="s">
        <v>143</v>
      </c>
      <c r="E18" s="29">
        <v>262209</v>
      </c>
      <c r="F18" s="14">
        <v>1383.2835794999999</v>
      </c>
      <c r="G18" s="15">
        <f t="shared" si="0"/>
        <v>2.23E-2</v>
      </c>
      <c r="H18" s="16"/>
      <c r="J18" s="15" t="s">
        <v>23</v>
      </c>
      <c r="K18" s="49">
        <f t="shared" si="1"/>
        <v>4.1099999999999998E-2</v>
      </c>
      <c r="L18" s="37"/>
      <c r="M18" s="93"/>
      <c r="N18" s="37"/>
      <c r="O18" s="15"/>
    </row>
    <row r="19" spans="1:15" ht="12.75" customHeight="1" x14ac:dyDescent="0.2">
      <c r="A19">
        <f>+MAX($A$8:A18)+1</f>
        <v>11</v>
      </c>
      <c r="B19" t="s">
        <v>233</v>
      </c>
      <c r="C19" t="s">
        <v>78</v>
      </c>
      <c r="D19" t="s">
        <v>26</v>
      </c>
      <c r="E19" s="29">
        <v>41692</v>
      </c>
      <c r="F19" s="14">
        <v>1372.4797940000001</v>
      </c>
      <c r="G19" s="15">
        <f t="shared" si="0"/>
        <v>2.2100000000000002E-2</v>
      </c>
      <c r="H19" s="16"/>
      <c r="J19" s="15" t="s">
        <v>41</v>
      </c>
      <c r="K19" s="49">
        <f t="shared" si="1"/>
        <v>3.2899999999999999E-2</v>
      </c>
      <c r="L19" s="37"/>
      <c r="M19" s="93"/>
      <c r="N19" s="37"/>
      <c r="O19" s="15"/>
    </row>
    <row r="20" spans="1:15" ht="12.75" customHeight="1" x14ac:dyDescent="0.2">
      <c r="A20">
        <f>+MAX($A$8:A19)+1</f>
        <v>12</v>
      </c>
      <c r="B20" t="s">
        <v>226</v>
      </c>
      <c r="C20" t="s">
        <v>66</v>
      </c>
      <c r="D20" t="s">
        <v>28</v>
      </c>
      <c r="E20" s="29">
        <v>307552</v>
      </c>
      <c r="F20" s="14">
        <v>1277.10968</v>
      </c>
      <c r="G20" s="15">
        <f t="shared" si="0"/>
        <v>2.06E-2</v>
      </c>
      <c r="H20" s="16"/>
      <c r="J20" s="91" t="s">
        <v>30</v>
      </c>
      <c r="K20" s="49">
        <f t="shared" si="1"/>
        <v>3.1899999999999998E-2</v>
      </c>
      <c r="L20" s="37"/>
      <c r="M20" s="93"/>
      <c r="N20" s="37"/>
      <c r="O20" s="15"/>
    </row>
    <row r="21" spans="1:15" ht="12.75" customHeight="1" x14ac:dyDescent="0.2">
      <c r="A21">
        <f>+MAX($A$8:A20)+1</f>
        <v>13</v>
      </c>
      <c r="B21" t="s">
        <v>218</v>
      </c>
      <c r="C21" t="s">
        <v>20</v>
      </c>
      <c r="D21" t="s">
        <v>15</v>
      </c>
      <c r="E21" s="29">
        <v>41230</v>
      </c>
      <c r="F21" s="14">
        <v>1251.3511149999999</v>
      </c>
      <c r="G21" s="15">
        <f t="shared" si="0"/>
        <v>2.0199999999999999E-2</v>
      </c>
      <c r="H21" s="16"/>
      <c r="J21" s="15" t="s">
        <v>38</v>
      </c>
      <c r="K21" s="49">
        <f t="shared" si="1"/>
        <v>3.1099999999999999E-2</v>
      </c>
      <c r="L21" s="37"/>
      <c r="M21" s="93"/>
      <c r="N21" s="37"/>
      <c r="O21" s="15"/>
    </row>
    <row r="22" spans="1:15" ht="12.75" customHeight="1" x14ac:dyDescent="0.2">
      <c r="A22">
        <f>+MAX($A$8:A21)+1</f>
        <v>14</v>
      </c>
      <c r="B22" t="s">
        <v>347</v>
      </c>
      <c r="C22" t="s">
        <v>412</v>
      </c>
      <c r="D22" t="s">
        <v>133</v>
      </c>
      <c r="E22" s="29">
        <v>102619</v>
      </c>
      <c r="F22" s="14">
        <v>1231.1201429999999</v>
      </c>
      <c r="G22" s="15">
        <f t="shared" si="0"/>
        <v>1.9800000000000002E-2</v>
      </c>
      <c r="H22" s="16"/>
      <c r="J22" s="15" t="s">
        <v>143</v>
      </c>
      <c r="K22" s="49">
        <f t="shared" si="1"/>
        <v>2.23E-2</v>
      </c>
      <c r="L22" s="37"/>
      <c r="M22" s="93"/>
      <c r="N22" s="37"/>
      <c r="O22" s="15"/>
    </row>
    <row r="23" spans="1:15" ht="12.75" customHeight="1" x14ac:dyDescent="0.2">
      <c r="A23">
        <f>+MAX($A$8:A22)+1</f>
        <v>15</v>
      </c>
      <c r="B23" t="s">
        <v>310</v>
      </c>
      <c r="C23" t="s">
        <v>76</v>
      </c>
      <c r="D23" t="s">
        <v>38</v>
      </c>
      <c r="E23" s="29">
        <v>323315</v>
      </c>
      <c r="F23" s="14">
        <v>1142.2718950000001</v>
      </c>
      <c r="G23" s="15">
        <f t="shared" si="0"/>
        <v>1.84E-2</v>
      </c>
      <c r="H23" s="16"/>
      <c r="J23" s="15" t="s">
        <v>411</v>
      </c>
      <c r="K23" s="49">
        <f t="shared" si="1"/>
        <v>1.7999999999999999E-2</v>
      </c>
      <c r="L23" s="37"/>
      <c r="M23" s="93"/>
      <c r="N23" s="37"/>
      <c r="O23" s="15"/>
    </row>
    <row r="24" spans="1:15" ht="12.75" customHeight="1" x14ac:dyDescent="0.2">
      <c r="A24">
        <f>+MAX($A$8:A23)+1</f>
        <v>16</v>
      </c>
      <c r="B24" t="s">
        <v>409</v>
      </c>
      <c r="C24" t="s">
        <v>410</v>
      </c>
      <c r="D24" t="s">
        <v>411</v>
      </c>
      <c r="E24" s="29">
        <v>663035</v>
      </c>
      <c r="F24" s="14">
        <v>1118.8715625</v>
      </c>
      <c r="G24" s="15">
        <f t="shared" si="0"/>
        <v>1.7999999999999999E-2</v>
      </c>
      <c r="H24" s="16"/>
      <c r="J24" s="15" t="s">
        <v>45</v>
      </c>
      <c r="K24" s="49">
        <f t="shared" si="1"/>
        <v>1.78E-2</v>
      </c>
      <c r="L24" s="37"/>
      <c r="M24" s="93"/>
      <c r="N24" s="37"/>
      <c r="O24" s="15"/>
    </row>
    <row r="25" spans="1:15" ht="12.75" customHeight="1" x14ac:dyDescent="0.2">
      <c r="A25">
        <f>+MAX($A$8:A24)+1</f>
        <v>17</v>
      </c>
      <c r="B25" t="s">
        <v>578</v>
      </c>
      <c r="C25" t="s">
        <v>579</v>
      </c>
      <c r="D25" t="s">
        <v>36</v>
      </c>
      <c r="E25" s="29">
        <v>1320000</v>
      </c>
      <c r="F25" s="14">
        <v>1115.4000000000001</v>
      </c>
      <c r="G25" s="15">
        <f t="shared" si="0"/>
        <v>1.7999999999999999E-2</v>
      </c>
      <c r="H25" s="16"/>
      <c r="J25" s="15" t="s">
        <v>51</v>
      </c>
      <c r="K25" s="49">
        <f t="shared" si="1"/>
        <v>1.38E-2</v>
      </c>
      <c r="L25" s="37"/>
      <c r="M25" s="93"/>
      <c r="N25" s="37"/>
      <c r="O25" s="15"/>
    </row>
    <row r="26" spans="1:15" ht="12.75" customHeight="1" x14ac:dyDescent="0.2">
      <c r="A26">
        <f>+MAX($A$8:A25)+1</f>
        <v>18</v>
      </c>
      <c r="B26" t="s">
        <v>208</v>
      </c>
      <c r="C26" t="s">
        <v>52</v>
      </c>
      <c r="D26" t="s">
        <v>41</v>
      </c>
      <c r="E26" s="29">
        <v>944272</v>
      </c>
      <c r="F26" s="14">
        <v>1104.326104</v>
      </c>
      <c r="G26" s="15">
        <f t="shared" si="0"/>
        <v>1.78E-2</v>
      </c>
      <c r="H26" s="16"/>
      <c r="J26" t="s">
        <v>492</v>
      </c>
      <c r="K26" s="49">
        <f t="shared" si="1"/>
        <v>1.2800000000000001E-2</v>
      </c>
      <c r="L26" s="37"/>
      <c r="M26" s="93"/>
      <c r="N26" s="37"/>
      <c r="O26" s="15"/>
    </row>
    <row r="27" spans="1:15" ht="12.75" customHeight="1" x14ac:dyDescent="0.2">
      <c r="A27">
        <f>+MAX($A$8:A26)+1</f>
        <v>19</v>
      </c>
      <c r="B27" t="s">
        <v>311</v>
      </c>
      <c r="C27" t="s">
        <v>67</v>
      </c>
      <c r="D27" t="s">
        <v>19</v>
      </c>
      <c r="E27" s="29">
        <v>679284</v>
      </c>
      <c r="F27" s="14">
        <v>1081.7597699999999</v>
      </c>
      <c r="G27" s="15">
        <f t="shared" si="0"/>
        <v>1.7399999999999999E-2</v>
      </c>
      <c r="H27" s="16"/>
      <c r="J27" t="s">
        <v>37</v>
      </c>
      <c r="K27" s="49">
        <f t="shared" si="1"/>
        <v>1.26E-2</v>
      </c>
      <c r="L27" s="37"/>
      <c r="M27" s="93"/>
      <c r="N27" s="37"/>
      <c r="O27" s="15"/>
    </row>
    <row r="28" spans="1:15" ht="12.75" customHeight="1" x14ac:dyDescent="0.2">
      <c r="A28">
        <f>+MAX($A$8:A27)+1</f>
        <v>20</v>
      </c>
      <c r="B28" t="s">
        <v>205</v>
      </c>
      <c r="C28" t="s">
        <v>48</v>
      </c>
      <c r="D28" t="s">
        <v>26</v>
      </c>
      <c r="E28" s="29">
        <v>21639</v>
      </c>
      <c r="F28" s="14">
        <v>1080.7057574999999</v>
      </c>
      <c r="G28" s="15">
        <f t="shared" si="0"/>
        <v>1.7399999999999999E-2</v>
      </c>
      <c r="H28" s="16"/>
      <c r="J28" t="s">
        <v>321</v>
      </c>
      <c r="K28" s="49">
        <f t="shared" si="1"/>
        <v>1.0200000000000001E-2</v>
      </c>
      <c r="L28" s="37"/>
      <c r="M28" s="93"/>
      <c r="N28" s="37"/>
      <c r="O28" s="15"/>
    </row>
    <row r="29" spans="1:15" ht="12.75" customHeight="1" x14ac:dyDescent="0.2">
      <c r="A29">
        <f>+MAX($A$8:A28)+1</f>
        <v>21</v>
      </c>
      <c r="B29" t="s">
        <v>395</v>
      </c>
      <c r="C29" t="s">
        <v>394</v>
      </c>
      <c r="D29" t="s">
        <v>26</v>
      </c>
      <c r="E29" s="29">
        <v>329351</v>
      </c>
      <c r="F29" s="14">
        <v>1070.5554255</v>
      </c>
      <c r="G29" s="15">
        <f t="shared" si="0"/>
        <v>1.7299999999999999E-2</v>
      </c>
      <c r="H29" s="16"/>
      <c r="J29" t="s">
        <v>43</v>
      </c>
      <c r="K29" s="49">
        <f t="shared" si="1"/>
        <v>9.7999999999999997E-3</v>
      </c>
      <c r="M29" s="93"/>
      <c r="N29" s="37"/>
      <c r="O29" s="15"/>
    </row>
    <row r="30" spans="1:15" ht="12.75" customHeight="1" x14ac:dyDescent="0.2">
      <c r="A30">
        <f>+MAX($A$8:A29)+1</f>
        <v>22</v>
      </c>
      <c r="B30" t="s">
        <v>211</v>
      </c>
      <c r="C30" t="s">
        <v>49</v>
      </c>
      <c r="D30" t="s">
        <v>21</v>
      </c>
      <c r="E30" s="29">
        <v>12016</v>
      </c>
      <c r="F30" s="14">
        <v>1063.530152</v>
      </c>
      <c r="G30" s="15">
        <f t="shared" si="0"/>
        <v>1.7100000000000001E-2</v>
      </c>
      <c r="H30" s="16"/>
      <c r="J30" t="s">
        <v>34</v>
      </c>
      <c r="K30" s="49">
        <f t="shared" si="1"/>
        <v>8.5000000000000006E-3</v>
      </c>
      <c r="M30" s="15"/>
      <c r="N30" s="37"/>
      <c r="O30" s="15"/>
    </row>
    <row r="31" spans="1:15" ht="12.75" customHeight="1" x14ac:dyDescent="0.2">
      <c r="A31">
        <f>+MAX($A$8:A30)+1</f>
        <v>23</v>
      </c>
      <c r="B31" t="s">
        <v>309</v>
      </c>
      <c r="C31" t="s">
        <v>57</v>
      </c>
      <c r="D31" t="s">
        <v>26</v>
      </c>
      <c r="E31" s="29">
        <v>71970</v>
      </c>
      <c r="F31" s="14">
        <v>1027.80357</v>
      </c>
      <c r="G31" s="15">
        <f t="shared" si="0"/>
        <v>1.66E-2</v>
      </c>
      <c r="H31" s="16"/>
      <c r="J31" s="66" t="s">
        <v>433</v>
      </c>
      <c r="K31" s="49">
        <f t="shared" si="1"/>
        <v>2.8999999999999998E-3</v>
      </c>
      <c r="N31" s="37"/>
      <c r="O31" s="15"/>
    </row>
    <row r="32" spans="1:15" ht="12.75" customHeight="1" x14ac:dyDescent="0.2">
      <c r="A32">
        <f>+MAX($A$8:A31)+1</f>
        <v>24</v>
      </c>
      <c r="B32" t="s">
        <v>580</v>
      </c>
      <c r="C32" t="s">
        <v>581</v>
      </c>
      <c r="D32" t="s">
        <v>26</v>
      </c>
      <c r="E32" s="29">
        <v>14916</v>
      </c>
      <c r="F32" s="14">
        <v>998.90960400000006</v>
      </c>
      <c r="G32" s="15">
        <f t="shared" si="0"/>
        <v>1.61E-2</v>
      </c>
      <c r="H32" s="16"/>
      <c r="J32" t="s">
        <v>32</v>
      </c>
      <c r="K32" s="49">
        <f t="shared" si="1"/>
        <v>1E-4</v>
      </c>
      <c r="N32" s="37"/>
      <c r="O32" s="15"/>
    </row>
    <row r="33" spans="1:15" ht="12.75" customHeight="1" x14ac:dyDescent="0.2">
      <c r="A33">
        <f>+MAX($A$8:A32)+1</f>
        <v>25</v>
      </c>
      <c r="B33" t="s">
        <v>278</v>
      </c>
      <c r="C33" t="s">
        <v>146</v>
      </c>
      <c r="D33" t="s">
        <v>41</v>
      </c>
      <c r="E33" s="29">
        <v>124751</v>
      </c>
      <c r="F33" s="14">
        <v>938.12752</v>
      </c>
      <c r="G33" s="15">
        <f t="shared" si="0"/>
        <v>1.5100000000000001E-2</v>
      </c>
      <c r="H33" s="16"/>
      <c r="J33" t="s">
        <v>58</v>
      </c>
      <c r="K33" s="49">
        <f t="shared" si="1"/>
        <v>0</v>
      </c>
      <c r="N33" s="37"/>
      <c r="O33" s="15"/>
    </row>
    <row r="34" spans="1:15" ht="12.75" customHeight="1" x14ac:dyDescent="0.2">
      <c r="A34">
        <f>+MAX($A$8:A33)+1</f>
        <v>26</v>
      </c>
      <c r="B34" t="s">
        <v>252</v>
      </c>
      <c r="C34" t="s">
        <v>115</v>
      </c>
      <c r="D34" t="s">
        <v>36</v>
      </c>
      <c r="E34" s="29">
        <v>567700</v>
      </c>
      <c r="F34" s="14">
        <v>926.77025000000003</v>
      </c>
      <c r="G34" s="15">
        <f t="shared" si="0"/>
        <v>1.49E-2</v>
      </c>
      <c r="H34" s="16"/>
      <c r="J34" t="s">
        <v>54</v>
      </c>
      <c r="K34" s="49">
        <f t="shared" si="1"/>
        <v>0</v>
      </c>
      <c r="L34" s="88"/>
      <c r="N34" s="37"/>
      <c r="O34" s="15"/>
    </row>
    <row r="35" spans="1:15" ht="12.75" customHeight="1" x14ac:dyDescent="0.2">
      <c r="A35">
        <f>+MAX($A$8:A34)+1</f>
        <v>27</v>
      </c>
      <c r="B35" t="s">
        <v>544</v>
      </c>
      <c r="C35" t="s">
        <v>545</v>
      </c>
      <c r="D35" t="s">
        <v>133</v>
      </c>
      <c r="E35" s="29">
        <v>238963</v>
      </c>
      <c r="F35" s="14">
        <v>910.21006699999998</v>
      </c>
      <c r="G35" s="15">
        <f t="shared" si="0"/>
        <v>1.47E-2</v>
      </c>
      <c r="H35" s="16"/>
      <c r="J35" t="s">
        <v>62</v>
      </c>
      <c r="K35" s="49">
        <f t="shared" si="1"/>
        <v>0</v>
      </c>
    </row>
    <row r="36" spans="1:15" ht="12.75" customHeight="1" x14ac:dyDescent="0.2">
      <c r="A36">
        <f>+MAX($A$8:A35)+1</f>
        <v>28</v>
      </c>
      <c r="B36" t="s">
        <v>250</v>
      </c>
      <c r="C36" t="s">
        <v>112</v>
      </c>
      <c r="D36" t="s">
        <v>21</v>
      </c>
      <c r="E36" s="29">
        <v>25122</v>
      </c>
      <c r="F36" s="14">
        <v>903.56297400000005</v>
      </c>
      <c r="G36" s="15">
        <f t="shared" si="0"/>
        <v>1.46E-2</v>
      </c>
      <c r="H36" s="16"/>
      <c r="J36" t="s">
        <v>56</v>
      </c>
      <c r="K36" s="49">
        <f t="shared" si="1"/>
        <v>0</v>
      </c>
      <c r="M36" s="15"/>
    </row>
    <row r="37" spans="1:15" ht="12.75" customHeight="1" x14ac:dyDescent="0.2">
      <c r="A37">
        <f>+MAX($A$8:A36)+1</f>
        <v>29</v>
      </c>
      <c r="B37" t="s">
        <v>214</v>
      </c>
      <c r="C37" t="s">
        <v>98</v>
      </c>
      <c r="D37" t="s">
        <v>10</v>
      </c>
      <c r="E37" s="29">
        <v>82252</v>
      </c>
      <c r="F37" s="14">
        <v>896.9991859999999</v>
      </c>
      <c r="G37" s="15">
        <f t="shared" si="0"/>
        <v>1.4500000000000001E-2</v>
      </c>
      <c r="H37" s="16"/>
      <c r="J37" s="15" t="s">
        <v>102</v>
      </c>
      <c r="K37" s="49">
        <f t="shared" si="1"/>
        <v>0</v>
      </c>
      <c r="M37" s="15"/>
    </row>
    <row r="38" spans="1:15" ht="12.75" customHeight="1" x14ac:dyDescent="0.2">
      <c r="A38">
        <f>+MAX($A$8:A37)+1</f>
        <v>30</v>
      </c>
      <c r="B38" t="s">
        <v>230</v>
      </c>
      <c r="C38" t="s">
        <v>79</v>
      </c>
      <c r="D38" t="s">
        <v>51</v>
      </c>
      <c r="E38" s="29">
        <v>276857</v>
      </c>
      <c r="F38" s="14">
        <v>855.90341549999994</v>
      </c>
      <c r="G38" s="15">
        <f t="shared" si="0"/>
        <v>1.38E-2</v>
      </c>
      <c r="H38" s="16"/>
      <c r="J38" s="15" t="s">
        <v>60</v>
      </c>
      <c r="K38" s="49">
        <f t="shared" si="1"/>
        <v>0</v>
      </c>
      <c r="M38" s="15"/>
    </row>
    <row r="39" spans="1:15" ht="12.75" customHeight="1" x14ac:dyDescent="0.2">
      <c r="A39">
        <f>+MAX($A$8:A38)+1</f>
        <v>31</v>
      </c>
      <c r="B39" t="s">
        <v>222</v>
      </c>
      <c r="C39" t="s">
        <v>63</v>
      </c>
      <c r="D39" t="s">
        <v>36</v>
      </c>
      <c r="E39" s="29">
        <v>169704</v>
      </c>
      <c r="F39" s="14">
        <v>850.72615200000007</v>
      </c>
      <c r="G39" s="15">
        <f t="shared" si="0"/>
        <v>1.37E-2</v>
      </c>
      <c r="H39" s="16"/>
      <c r="J39" s="15" t="s">
        <v>429</v>
      </c>
      <c r="K39" s="49">
        <f t="shared" si="1"/>
        <v>0</v>
      </c>
      <c r="M39" s="15"/>
    </row>
    <row r="40" spans="1:15" ht="12.75" customHeight="1" x14ac:dyDescent="0.2">
      <c r="A40">
        <f>+MAX($A$8:A39)+1</f>
        <v>32</v>
      </c>
      <c r="B40" t="s">
        <v>213</v>
      </c>
      <c r="C40" t="s">
        <v>74</v>
      </c>
      <c r="D40" t="s">
        <v>492</v>
      </c>
      <c r="E40" s="29">
        <v>579907</v>
      </c>
      <c r="F40" s="14">
        <v>795.34245049999993</v>
      </c>
      <c r="G40" s="15">
        <f t="shared" si="0"/>
        <v>1.2800000000000001E-2</v>
      </c>
      <c r="H40" s="16"/>
      <c r="J40" s="15" t="s">
        <v>64</v>
      </c>
      <c r="K40" s="49">
        <f>+SUMIFS($G$5:$G$996,$B$5:$B$996,"CBLO / Reverse Repo Investments")+SUMIFS($G$5:$G$996,$B$5:$B$996,"Net Receivable/Payable")</f>
        <v>6.2100000000000002E-2</v>
      </c>
      <c r="L40" s="55"/>
    </row>
    <row r="41" spans="1:15" ht="12.75" customHeight="1" x14ac:dyDescent="0.2">
      <c r="A41">
        <f>+MAX($A$8:A40)+1</f>
        <v>33</v>
      </c>
      <c r="B41" t="s">
        <v>368</v>
      </c>
      <c r="C41" t="s">
        <v>369</v>
      </c>
      <c r="D41" t="s">
        <v>38</v>
      </c>
      <c r="E41" s="29">
        <v>969860</v>
      </c>
      <c r="F41" s="14">
        <v>786.55646000000002</v>
      </c>
      <c r="G41" s="15">
        <f t="shared" ref="G41:G70" si="2">+ROUND(F41/VLOOKUP("Grand Total",$B$4:$F$283,5,0),4)</f>
        <v>1.2699999999999999E-2</v>
      </c>
      <c r="H41" s="16"/>
      <c r="J41" s="15"/>
      <c r="K41" s="49"/>
    </row>
    <row r="42" spans="1:15" ht="12.75" customHeight="1" x14ac:dyDescent="0.2">
      <c r="A42">
        <f>+MAX($A$8:A41)+1</f>
        <v>34</v>
      </c>
      <c r="B42" t="s">
        <v>700</v>
      </c>
      <c r="C42" t="s">
        <v>701</v>
      </c>
      <c r="D42" t="s">
        <v>37</v>
      </c>
      <c r="E42" s="29">
        <v>58709</v>
      </c>
      <c r="F42" s="14">
        <v>784.17611299999999</v>
      </c>
      <c r="G42" s="15">
        <f t="shared" si="2"/>
        <v>1.26E-2</v>
      </c>
      <c r="H42" s="16"/>
    </row>
    <row r="43" spans="1:15" ht="12.75" customHeight="1" x14ac:dyDescent="0.2">
      <c r="A43">
        <f>+MAX($A$8:A42)+1</f>
        <v>35</v>
      </c>
      <c r="B43" t="s">
        <v>543</v>
      </c>
      <c r="C43" t="s">
        <v>472</v>
      </c>
      <c r="D43" t="s">
        <v>23</v>
      </c>
      <c r="E43" s="29">
        <v>204217</v>
      </c>
      <c r="F43" s="14">
        <v>686.67966249999995</v>
      </c>
      <c r="G43" s="15">
        <f t="shared" si="2"/>
        <v>1.11E-2</v>
      </c>
      <c r="H43" s="16"/>
    </row>
    <row r="44" spans="1:15" ht="12.75" customHeight="1" x14ac:dyDescent="0.2">
      <c r="A44">
        <f>+MAX($A$8:A43)+1</f>
        <v>36</v>
      </c>
      <c r="B44" t="s">
        <v>603</v>
      </c>
      <c r="C44" t="s">
        <v>406</v>
      </c>
      <c r="D44" t="s">
        <v>10</v>
      </c>
      <c r="E44" s="29">
        <v>623711</v>
      </c>
      <c r="F44" s="14">
        <v>672.36045799999999</v>
      </c>
      <c r="G44" s="15">
        <f t="shared" si="2"/>
        <v>1.0800000000000001E-2</v>
      </c>
      <c r="H44" s="16"/>
    </row>
    <row r="45" spans="1:15" ht="12.75" customHeight="1" x14ac:dyDescent="0.2">
      <c r="A45">
        <f>+MAX($A$8:A44)+1</f>
        <v>37</v>
      </c>
      <c r="B45" t="s">
        <v>242</v>
      </c>
      <c r="C45" t="s">
        <v>100</v>
      </c>
      <c r="D45" t="s">
        <v>21</v>
      </c>
      <c r="E45" s="29">
        <v>91125</v>
      </c>
      <c r="F45" s="14">
        <v>663.70893750000005</v>
      </c>
      <c r="G45" s="15">
        <f t="shared" si="2"/>
        <v>1.0699999999999999E-2</v>
      </c>
      <c r="H45" s="16"/>
    </row>
    <row r="46" spans="1:15" ht="12.75" customHeight="1" x14ac:dyDescent="0.2">
      <c r="A46">
        <f>+MAX($A$8:A45)+1</f>
        <v>38</v>
      </c>
      <c r="B46" t="s">
        <v>204</v>
      </c>
      <c r="C46" t="s">
        <v>44</v>
      </c>
      <c r="D46" t="s">
        <v>24</v>
      </c>
      <c r="E46" s="29">
        <v>120593</v>
      </c>
      <c r="F46" s="14">
        <v>658.67896600000006</v>
      </c>
      <c r="G46" s="15">
        <f t="shared" si="2"/>
        <v>1.06E-2</v>
      </c>
      <c r="H46" s="16"/>
    </row>
    <row r="47" spans="1:15" ht="12.75" customHeight="1" x14ac:dyDescent="0.2">
      <c r="A47">
        <f>+MAX($A$8:A46)+1</f>
        <v>39</v>
      </c>
      <c r="B47" t="s">
        <v>198</v>
      </c>
      <c r="C47" t="s">
        <v>22</v>
      </c>
      <c r="D47" t="s">
        <v>21</v>
      </c>
      <c r="E47" s="29">
        <v>177516</v>
      </c>
      <c r="F47" s="14">
        <v>656.63168399999995</v>
      </c>
      <c r="G47" s="15">
        <f t="shared" si="2"/>
        <v>1.06E-2</v>
      </c>
      <c r="H47" s="16"/>
    </row>
    <row r="48" spans="1:15" ht="12.75" customHeight="1" x14ac:dyDescent="0.2">
      <c r="A48">
        <f>+MAX($A$8:A47)+1</f>
        <v>40</v>
      </c>
      <c r="B48" t="s">
        <v>232</v>
      </c>
      <c r="C48" t="s">
        <v>81</v>
      </c>
      <c r="D48" t="s">
        <v>45</v>
      </c>
      <c r="E48" s="29">
        <v>200927</v>
      </c>
      <c r="F48" s="14">
        <v>655.92619149999996</v>
      </c>
      <c r="G48" s="15">
        <f t="shared" si="2"/>
        <v>1.06E-2</v>
      </c>
      <c r="H48" s="16"/>
    </row>
    <row r="49" spans="1:11" ht="12.75" customHeight="1" x14ac:dyDescent="0.2">
      <c r="A49">
        <f>+MAX($A$8:A48)+1</f>
        <v>41</v>
      </c>
      <c r="B49" t="s">
        <v>430</v>
      </c>
      <c r="C49" t="s">
        <v>68</v>
      </c>
      <c r="D49" t="s">
        <v>23</v>
      </c>
      <c r="E49" s="29">
        <v>121679</v>
      </c>
      <c r="F49" s="14">
        <v>651.40852649999999</v>
      </c>
      <c r="G49" s="15">
        <f t="shared" si="2"/>
        <v>1.0500000000000001E-2</v>
      </c>
      <c r="H49" s="16"/>
    </row>
    <row r="50" spans="1:11" ht="12.75" customHeight="1" x14ac:dyDescent="0.2">
      <c r="A50">
        <f>+MAX($A$8:A49)+1</f>
        <v>42</v>
      </c>
      <c r="B50" t="s">
        <v>495</v>
      </c>
      <c r="C50" t="s">
        <v>496</v>
      </c>
      <c r="D50" t="s">
        <v>24</v>
      </c>
      <c r="E50" s="29">
        <v>48012</v>
      </c>
      <c r="F50" s="14">
        <v>640.40806200000009</v>
      </c>
      <c r="G50" s="15">
        <f t="shared" si="2"/>
        <v>1.03E-2</v>
      </c>
      <c r="H50" s="16"/>
    </row>
    <row r="51" spans="1:11" ht="12.75" customHeight="1" x14ac:dyDescent="0.2">
      <c r="A51">
        <f>+MAX($A$8:A50)+1</f>
        <v>43</v>
      </c>
      <c r="B51" t="s">
        <v>40</v>
      </c>
      <c r="C51" t="s">
        <v>42</v>
      </c>
      <c r="D51" t="s">
        <v>10</v>
      </c>
      <c r="E51" s="29">
        <v>434753</v>
      </c>
      <c r="F51" s="14">
        <v>617.13188349999996</v>
      </c>
      <c r="G51" s="15">
        <f t="shared" si="2"/>
        <v>9.9000000000000008E-3</v>
      </c>
      <c r="H51" s="16"/>
    </row>
    <row r="52" spans="1:11" ht="12.75" customHeight="1" x14ac:dyDescent="0.2">
      <c r="A52">
        <f>+MAX($A$8:A51)+1</f>
        <v>44</v>
      </c>
      <c r="B52" t="s">
        <v>493</v>
      </c>
      <c r="C52" t="s">
        <v>494</v>
      </c>
      <c r="D52" t="s">
        <v>43</v>
      </c>
      <c r="E52" s="29">
        <v>63940</v>
      </c>
      <c r="F52" s="14">
        <v>610.27533000000005</v>
      </c>
      <c r="G52" s="15">
        <f t="shared" si="2"/>
        <v>9.7999999999999997E-3</v>
      </c>
      <c r="H52" s="16"/>
    </row>
    <row r="53" spans="1:11" ht="12.75" customHeight="1" x14ac:dyDescent="0.2">
      <c r="A53">
        <f>+MAX($A$8:A52)+1</f>
        <v>45</v>
      </c>
      <c r="B53" t="s">
        <v>207</v>
      </c>
      <c r="C53" t="s">
        <v>50</v>
      </c>
      <c r="D53" t="s">
        <v>23</v>
      </c>
      <c r="E53" s="29">
        <v>10546</v>
      </c>
      <c r="F53" s="14">
        <v>605.667326</v>
      </c>
      <c r="G53" s="15">
        <f t="shared" si="2"/>
        <v>9.7999999999999997E-3</v>
      </c>
      <c r="H53" s="16"/>
    </row>
    <row r="54" spans="1:11" ht="12.75" customHeight="1" x14ac:dyDescent="0.2">
      <c r="A54">
        <f>+MAX($A$8:A53)+1</f>
        <v>46</v>
      </c>
      <c r="B54" s="66" t="s">
        <v>217</v>
      </c>
      <c r="C54" s="66" t="s">
        <v>61</v>
      </c>
      <c r="D54" t="s">
        <v>23</v>
      </c>
      <c r="E54" s="29">
        <v>97828</v>
      </c>
      <c r="F54" s="14">
        <v>600.56609200000003</v>
      </c>
      <c r="G54" s="15">
        <f t="shared" si="2"/>
        <v>9.7000000000000003E-3</v>
      </c>
      <c r="H54" s="16"/>
    </row>
    <row r="55" spans="1:11" ht="12.75" customHeight="1" x14ac:dyDescent="0.2">
      <c r="A55">
        <f>+MAX($A$8:A54)+1</f>
        <v>47</v>
      </c>
      <c r="B55" t="s">
        <v>206</v>
      </c>
      <c r="C55" t="s">
        <v>53</v>
      </c>
      <c r="D55" t="s">
        <v>19</v>
      </c>
      <c r="E55" s="29">
        <v>13982</v>
      </c>
      <c r="F55" s="14">
        <v>581.03599200000008</v>
      </c>
      <c r="G55" s="15">
        <f t="shared" si="2"/>
        <v>9.4000000000000004E-3</v>
      </c>
      <c r="H55" s="16"/>
    </row>
    <row r="56" spans="1:11" ht="12.75" customHeight="1" x14ac:dyDescent="0.2">
      <c r="A56">
        <f>+MAX($A$8:A55)+1</f>
        <v>48</v>
      </c>
      <c r="B56" t="s">
        <v>322</v>
      </c>
      <c r="C56" t="s">
        <v>323</v>
      </c>
      <c r="D56" t="s">
        <v>10</v>
      </c>
      <c r="E56" s="29">
        <v>323668</v>
      </c>
      <c r="F56" s="14">
        <v>565.77166399999999</v>
      </c>
      <c r="G56" s="15">
        <f t="shared" si="2"/>
        <v>9.1000000000000004E-3</v>
      </c>
      <c r="H56" s="16"/>
    </row>
    <row r="57" spans="1:11" ht="12.75" customHeight="1" x14ac:dyDescent="0.2">
      <c r="A57">
        <f>+MAX($A$8:A56)+1</f>
        <v>49</v>
      </c>
      <c r="B57" t="s">
        <v>566</v>
      </c>
      <c r="C57" t="s">
        <v>567</v>
      </c>
      <c r="D57" t="s">
        <v>133</v>
      </c>
      <c r="E57" s="29">
        <v>125479</v>
      </c>
      <c r="F57" s="14">
        <v>544.07694400000003</v>
      </c>
      <c r="G57" s="15">
        <f t="shared" si="2"/>
        <v>8.8000000000000005E-3</v>
      </c>
      <c r="H57" s="16"/>
      <c r="J57" s="15"/>
      <c r="K57" s="49"/>
    </row>
    <row r="58" spans="1:11" ht="12.75" customHeight="1" x14ac:dyDescent="0.2">
      <c r="A58">
        <f>+MAX($A$8:A57)+1</f>
        <v>50</v>
      </c>
      <c r="B58" t="s">
        <v>339</v>
      </c>
      <c r="C58" t="s">
        <v>340</v>
      </c>
      <c r="D58" t="s">
        <v>19</v>
      </c>
      <c r="E58" s="29">
        <v>60299</v>
      </c>
      <c r="F58" s="14">
        <v>542.87189699999999</v>
      </c>
      <c r="G58" s="15">
        <f t="shared" si="2"/>
        <v>8.8000000000000005E-3</v>
      </c>
      <c r="H58" s="16"/>
    </row>
    <row r="59" spans="1:11" ht="12.75" customHeight="1" x14ac:dyDescent="0.2">
      <c r="A59">
        <f>+MAX($A$8:A58)+1</f>
        <v>51</v>
      </c>
      <c r="B59" t="s">
        <v>209</v>
      </c>
      <c r="C59" t="s">
        <v>33</v>
      </c>
      <c r="D59" t="s">
        <v>19</v>
      </c>
      <c r="E59" s="29">
        <v>53292</v>
      </c>
      <c r="F59" s="14">
        <v>539.20845600000007</v>
      </c>
      <c r="G59" s="15">
        <f t="shared" si="2"/>
        <v>8.6999999999999994E-3</v>
      </c>
      <c r="H59" s="16"/>
    </row>
    <row r="60" spans="1:11" ht="12.75" customHeight="1" x14ac:dyDescent="0.2">
      <c r="A60">
        <f>+MAX($A$8:A59)+1</f>
        <v>52</v>
      </c>
      <c r="B60" t="s">
        <v>216</v>
      </c>
      <c r="C60" t="s">
        <v>65</v>
      </c>
      <c r="D60" t="s">
        <v>34</v>
      </c>
      <c r="E60" s="29">
        <v>122695</v>
      </c>
      <c r="F60" s="14">
        <v>525.80942249999998</v>
      </c>
      <c r="G60" s="15">
        <f t="shared" si="2"/>
        <v>8.5000000000000006E-3</v>
      </c>
      <c r="H60" s="16"/>
    </row>
    <row r="61" spans="1:11" ht="12.75" customHeight="1" x14ac:dyDescent="0.2">
      <c r="A61">
        <f>+MAX($A$8:A60)+1</f>
        <v>53</v>
      </c>
      <c r="B61" t="s">
        <v>219</v>
      </c>
      <c r="C61" t="s">
        <v>29</v>
      </c>
      <c r="D61" t="s">
        <v>10</v>
      </c>
      <c r="E61" s="29">
        <v>97342</v>
      </c>
      <c r="F61" s="14">
        <v>514.69582500000001</v>
      </c>
      <c r="G61" s="15">
        <f t="shared" si="2"/>
        <v>8.3000000000000001E-3</v>
      </c>
      <c r="H61" s="16"/>
    </row>
    <row r="62" spans="1:11" ht="12.75" customHeight="1" x14ac:dyDescent="0.2">
      <c r="A62">
        <f>+MAX($A$8:A61)+1</f>
        <v>54</v>
      </c>
      <c r="B62" t="s">
        <v>548</v>
      </c>
      <c r="C62" t="s">
        <v>549</v>
      </c>
      <c r="D62" t="s">
        <v>10</v>
      </c>
      <c r="E62" s="29">
        <v>853115</v>
      </c>
      <c r="F62" s="14">
        <v>511.01588500000003</v>
      </c>
      <c r="G62" s="15">
        <f t="shared" si="2"/>
        <v>8.2000000000000007E-3</v>
      </c>
      <c r="H62" s="16"/>
    </row>
    <row r="63" spans="1:11" ht="12.75" customHeight="1" x14ac:dyDescent="0.2">
      <c r="A63">
        <f>+MAX($A$8:A62)+1</f>
        <v>55</v>
      </c>
      <c r="B63" t="s">
        <v>165</v>
      </c>
      <c r="C63" t="s">
        <v>183</v>
      </c>
      <c r="D63" t="s">
        <v>10</v>
      </c>
      <c r="E63" s="29">
        <v>154999</v>
      </c>
      <c r="F63" s="14">
        <v>463.83450749999997</v>
      </c>
      <c r="G63" s="15">
        <f t="shared" si="2"/>
        <v>7.4999999999999997E-3</v>
      </c>
      <c r="H63" s="16"/>
    </row>
    <row r="64" spans="1:11" ht="12.75" customHeight="1" x14ac:dyDescent="0.2">
      <c r="A64">
        <f>+MAX($A$8:A63)+1</f>
        <v>56</v>
      </c>
      <c r="B64" t="s">
        <v>320</v>
      </c>
      <c r="C64" t="s">
        <v>72</v>
      </c>
      <c r="D64" t="s">
        <v>28</v>
      </c>
      <c r="E64" s="29">
        <v>1365791</v>
      </c>
      <c r="F64" s="14">
        <v>463.00314900000001</v>
      </c>
      <c r="G64" s="15">
        <f t="shared" si="2"/>
        <v>7.4999999999999997E-3</v>
      </c>
      <c r="H64" s="16"/>
    </row>
    <row r="65" spans="1:9" ht="12.75" customHeight="1" x14ac:dyDescent="0.2">
      <c r="A65">
        <f>+MAX($A$8:A64)+1</f>
        <v>57</v>
      </c>
      <c r="B65" s="66" t="s">
        <v>546</v>
      </c>
      <c r="C65" t="s">
        <v>547</v>
      </c>
      <c r="D65" t="s">
        <v>45</v>
      </c>
      <c r="E65" s="29">
        <v>654548</v>
      </c>
      <c r="F65" s="14">
        <v>448.692654</v>
      </c>
      <c r="G65" s="15">
        <f t="shared" si="2"/>
        <v>7.1999999999999998E-3</v>
      </c>
      <c r="H65" s="16"/>
    </row>
    <row r="66" spans="1:9" ht="12.75" customHeight="1" x14ac:dyDescent="0.2">
      <c r="A66">
        <f>+MAX($A$8:A65)+1</f>
        <v>58</v>
      </c>
      <c r="B66" s="66" t="s">
        <v>225</v>
      </c>
      <c r="C66" t="s">
        <v>70</v>
      </c>
      <c r="D66" t="s">
        <v>10</v>
      </c>
      <c r="E66" s="29">
        <v>451878</v>
      </c>
      <c r="F66" s="14">
        <v>425.895015</v>
      </c>
      <c r="G66" s="15">
        <f t="shared" si="2"/>
        <v>6.8999999999999999E-3</v>
      </c>
      <c r="H66" s="16"/>
    </row>
    <row r="67" spans="1:9" ht="12.75" customHeight="1" x14ac:dyDescent="0.2">
      <c r="A67">
        <f>+MAX($A$8:A66)+1</f>
        <v>59</v>
      </c>
      <c r="B67" s="66" t="s">
        <v>604</v>
      </c>
      <c r="C67" t="s">
        <v>605</v>
      </c>
      <c r="D67" t="s">
        <v>10</v>
      </c>
      <c r="E67" s="29">
        <v>666967</v>
      </c>
      <c r="F67" s="14">
        <v>407.51683700000001</v>
      </c>
      <c r="G67" s="15">
        <f t="shared" si="2"/>
        <v>6.6E-3</v>
      </c>
      <c r="H67" s="16"/>
    </row>
    <row r="68" spans="1:9" ht="12.75" customHeight="1" x14ac:dyDescent="0.2">
      <c r="A68">
        <f>+MAX($A$8:A67)+1</f>
        <v>60</v>
      </c>
      <c r="B68" s="66" t="s">
        <v>221</v>
      </c>
      <c r="C68" t="s">
        <v>75</v>
      </c>
      <c r="D68" t="s">
        <v>36</v>
      </c>
      <c r="E68" s="29">
        <v>3622594</v>
      </c>
      <c r="F68" s="14">
        <v>217.35563999999999</v>
      </c>
      <c r="G68" s="15">
        <f t="shared" si="2"/>
        <v>3.5000000000000001E-3</v>
      </c>
      <c r="H68" s="16"/>
    </row>
    <row r="69" spans="1:9" ht="12.75" customHeight="1" x14ac:dyDescent="0.2">
      <c r="A69">
        <f>+MAX($A$8:A68)+1</f>
        <v>61</v>
      </c>
      <c r="B69" s="66" t="s">
        <v>431</v>
      </c>
      <c r="C69" t="s">
        <v>432</v>
      </c>
      <c r="D69" t="s">
        <v>433</v>
      </c>
      <c r="E69" s="29">
        <v>81066</v>
      </c>
      <c r="F69" s="14">
        <v>182.43903299999999</v>
      </c>
      <c r="G69" s="15">
        <f t="shared" si="2"/>
        <v>2.8999999999999998E-3</v>
      </c>
      <c r="H69" s="16"/>
    </row>
    <row r="70" spans="1:9" ht="12.75" customHeight="1" x14ac:dyDescent="0.2">
      <c r="A70">
        <f>+MAX($A$8:A69)+1</f>
        <v>62</v>
      </c>
      <c r="B70" s="66" t="s">
        <v>457</v>
      </c>
      <c r="C70" t="s">
        <v>83</v>
      </c>
      <c r="D70" t="s">
        <v>32</v>
      </c>
      <c r="E70" s="29">
        <v>100000</v>
      </c>
      <c r="F70" s="14">
        <v>5.54</v>
      </c>
      <c r="G70" s="15">
        <f t="shared" si="2"/>
        <v>1E-4</v>
      </c>
      <c r="H70" s="16"/>
    </row>
    <row r="71" spans="1:9" ht="12.75" customHeight="1" x14ac:dyDescent="0.2">
      <c r="A71">
        <f>+MAX($A$8:A70)+1</f>
        <v>63</v>
      </c>
      <c r="B71" s="66" t="s">
        <v>568</v>
      </c>
      <c r="C71" t="s">
        <v>84</v>
      </c>
      <c r="D71" t="s">
        <v>102</v>
      </c>
      <c r="E71" s="29">
        <v>511578</v>
      </c>
      <c r="F71" s="14">
        <v>0</v>
      </c>
      <c r="G71" s="109" t="s">
        <v>540</v>
      </c>
      <c r="H71" s="16"/>
    </row>
    <row r="72" spans="1:9" ht="12.75" customHeight="1" x14ac:dyDescent="0.2">
      <c r="B72" s="19" t="s">
        <v>85</v>
      </c>
      <c r="C72" s="19"/>
      <c r="D72" s="19"/>
      <c r="E72" s="30"/>
      <c r="F72" s="20">
        <f>SUM(F9:F71)</f>
        <v>57552.514499500023</v>
      </c>
      <c r="G72" s="21">
        <f>SUM(G9:G71)</f>
        <v>0.92770000000000019</v>
      </c>
      <c r="H72" s="22"/>
      <c r="I72" s="36"/>
    </row>
    <row r="73" spans="1:9" ht="12.75" customHeight="1" x14ac:dyDescent="0.2">
      <c r="F73" s="14"/>
      <c r="G73" s="15"/>
      <c r="H73" s="16"/>
    </row>
    <row r="74" spans="1:9" ht="12.75" customHeight="1" x14ac:dyDescent="0.2">
      <c r="B74" s="17" t="s">
        <v>305</v>
      </c>
      <c r="C74" s="17"/>
      <c r="F74" s="14"/>
      <c r="G74" s="15"/>
      <c r="H74" s="16"/>
    </row>
    <row r="75" spans="1:9" ht="12.75" customHeight="1" x14ac:dyDescent="0.2">
      <c r="A75">
        <f>+MAX($A$8:A74)+1</f>
        <v>64</v>
      </c>
      <c r="B75" t="s">
        <v>236</v>
      </c>
      <c r="C75" s="122" t="s">
        <v>667</v>
      </c>
      <c r="D75" t="s">
        <v>58</v>
      </c>
      <c r="E75" s="29">
        <v>54000</v>
      </c>
      <c r="F75" s="14">
        <v>0</v>
      </c>
      <c r="G75" s="109" t="s">
        <v>540</v>
      </c>
      <c r="H75" s="16"/>
    </row>
    <row r="76" spans="1:9" ht="12.75" customHeight="1" x14ac:dyDescent="0.2">
      <c r="A76">
        <f>+MAX($A$8:A75)+1</f>
        <v>65</v>
      </c>
      <c r="B76" t="s">
        <v>234</v>
      </c>
      <c r="C76" s="66" t="s">
        <v>86</v>
      </c>
      <c r="D76" s="66" t="s">
        <v>54</v>
      </c>
      <c r="E76" s="29">
        <v>200000</v>
      </c>
      <c r="F76" s="14">
        <v>0</v>
      </c>
      <c r="G76" s="109" t="s">
        <v>540</v>
      </c>
      <c r="H76" s="16"/>
    </row>
    <row r="77" spans="1:9" ht="12.75" customHeight="1" x14ac:dyDescent="0.2">
      <c r="A77">
        <f>+MAX($A$8:A76)+1</f>
        <v>66</v>
      </c>
      <c r="B77" t="s">
        <v>240</v>
      </c>
      <c r="C77" s="66" t="s">
        <v>90</v>
      </c>
      <c r="D77" s="66" t="s">
        <v>429</v>
      </c>
      <c r="E77" s="29">
        <v>176305</v>
      </c>
      <c r="F77" s="14">
        <v>0</v>
      </c>
      <c r="G77" s="109" t="s">
        <v>540</v>
      </c>
      <c r="H77" s="16"/>
    </row>
    <row r="78" spans="1:9" ht="12.75" customHeight="1" x14ac:dyDescent="0.2">
      <c r="A78">
        <f>+MAX($A$8:A77)+1</f>
        <v>67</v>
      </c>
      <c r="B78" t="s">
        <v>235</v>
      </c>
      <c r="C78" s="122" t="s">
        <v>667</v>
      </c>
      <c r="D78" s="1" t="s">
        <v>56</v>
      </c>
      <c r="E78" s="29">
        <v>93200</v>
      </c>
      <c r="F78" s="14">
        <v>0</v>
      </c>
      <c r="G78" s="109" t="s">
        <v>540</v>
      </c>
      <c r="H78" s="16"/>
    </row>
    <row r="79" spans="1:9" ht="12.75" customHeight="1" x14ac:dyDescent="0.2">
      <c r="A79">
        <f>+MAX($A$8:A78)+1</f>
        <v>68</v>
      </c>
      <c r="B79" t="s">
        <v>239</v>
      </c>
      <c r="C79" s="66" t="s">
        <v>89</v>
      </c>
      <c r="D79" s="1" t="s">
        <v>38</v>
      </c>
      <c r="E79" s="29">
        <v>200</v>
      </c>
      <c r="F79" s="14">
        <v>0</v>
      </c>
      <c r="G79" s="109" t="s">
        <v>540</v>
      </c>
      <c r="H79" s="16"/>
    </row>
    <row r="80" spans="1:9" ht="12.75" customHeight="1" x14ac:dyDescent="0.2">
      <c r="A80">
        <f>+MAX($A$8:A79)+1</f>
        <v>69</v>
      </c>
      <c r="B80" t="s">
        <v>238</v>
      </c>
      <c r="C80" s="66" t="s">
        <v>88</v>
      </c>
      <c r="D80" s="1" t="s">
        <v>62</v>
      </c>
      <c r="E80" s="29">
        <v>39500</v>
      </c>
      <c r="F80" s="14">
        <v>0</v>
      </c>
      <c r="G80" s="109" t="s">
        <v>540</v>
      </c>
      <c r="H80" s="16"/>
    </row>
    <row r="81" spans="1:9" ht="12.75" customHeight="1" x14ac:dyDescent="0.2">
      <c r="A81">
        <f>+MAX($A$8:A80)+1</f>
        <v>70</v>
      </c>
      <c r="B81" t="s">
        <v>237</v>
      </c>
      <c r="C81" s="66" t="s">
        <v>87</v>
      </c>
      <c r="D81" s="1" t="s">
        <v>60</v>
      </c>
      <c r="E81" s="29">
        <v>50800</v>
      </c>
      <c r="F81" s="14">
        <v>0</v>
      </c>
      <c r="G81" s="109" t="s">
        <v>540</v>
      </c>
      <c r="H81" s="16"/>
    </row>
    <row r="82" spans="1:9" ht="12.75" customHeight="1" x14ac:dyDescent="0.2">
      <c r="B82" s="19" t="s">
        <v>85</v>
      </c>
      <c r="C82" s="19"/>
      <c r="D82" s="19"/>
      <c r="E82" s="30"/>
      <c r="F82" s="20">
        <f>SUM(F75:F81)</f>
        <v>0</v>
      </c>
      <c r="G82" s="52" t="s">
        <v>540</v>
      </c>
      <c r="H82" s="22"/>
      <c r="I82" s="36"/>
    </row>
    <row r="83" spans="1:9" ht="12.75" customHeight="1" x14ac:dyDescent="0.2">
      <c r="F83" s="14"/>
      <c r="G83" s="15"/>
      <c r="H83" s="16"/>
    </row>
    <row r="84" spans="1:9" ht="12.75" customHeight="1" x14ac:dyDescent="0.2">
      <c r="B84" s="17" t="s">
        <v>92</v>
      </c>
      <c r="C84" s="17"/>
      <c r="F84" s="14"/>
      <c r="G84" s="15"/>
      <c r="H84" s="16"/>
    </row>
    <row r="85" spans="1:9" ht="12.75" customHeight="1" x14ac:dyDescent="0.2">
      <c r="A85">
        <f>+MAX($A$8:A84)+1</f>
        <v>71</v>
      </c>
      <c r="B85" t="s">
        <v>455</v>
      </c>
      <c r="C85" s="66" t="s">
        <v>300</v>
      </c>
      <c r="D85" t="s">
        <v>321</v>
      </c>
      <c r="E85" s="29">
        <v>2014991.537</v>
      </c>
      <c r="F85" s="14">
        <v>631.16184409999994</v>
      </c>
      <c r="G85" s="15">
        <f>+ROUND(F85/VLOOKUP("Grand Total",$B$4:$F$283,5,0),4)</f>
        <v>1.0200000000000001E-2</v>
      </c>
      <c r="H85" s="16"/>
    </row>
    <row r="86" spans="1:9" ht="12.75" customHeight="1" x14ac:dyDescent="0.2">
      <c r="B86" s="19" t="s">
        <v>85</v>
      </c>
      <c r="C86" s="19"/>
      <c r="D86" s="19"/>
      <c r="E86" s="30"/>
      <c r="F86" s="20">
        <f>SUM(F85:F85)</f>
        <v>631.16184409999994</v>
      </c>
      <c r="G86" s="52">
        <f>SUM(G85:G85)</f>
        <v>1.0200000000000001E-2</v>
      </c>
      <c r="H86" s="22"/>
      <c r="I86" s="36"/>
    </row>
    <row r="87" spans="1:9" ht="12.75" customHeight="1" x14ac:dyDescent="0.2">
      <c r="F87" s="14"/>
      <c r="G87" s="15"/>
      <c r="H87" s="16"/>
    </row>
    <row r="88" spans="1:9" ht="12.75" customHeight="1" x14ac:dyDescent="0.2">
      <c r="A88" s="96" t="s">
        <v>371</v>
      </c>
      <c r="B88" s="17" t="s">
        <v>93</v>
      </c>
      <c r="C88" s="17"/>
      <c r="F88" s="14">
        <v>4484.8849799999998</v>
      </c>
      <c r="G88" s="15">
        <f>+ROUND(F88/VLOOKUP("Grand Total",$B$4:$F$283,5,0),4)</f>
        <v>7.2300000000000003E-2</v>
      </c>
      <c r="H88" s="16">
        <v>43160</v>
      </c>
    </row>
    <row r="89" spans="1:9" ht="12.75" customHeight="1" x14ac:dyDescent="0.2">
      <c r="B89" s="19" t="s">
        <v>85</v>
      </c>
      <c r="C89" s="19"/>
      <c r="D89" s="19"/>
      <c r="E89" s="30"/>
      <c r="F89" s="20">
        <f>SUM(F88)</f>
        <v>4484.8849799999998</v>
      </c>
      <c r="G89" s="21">
        <f>SUM(G88)</f>
        <v>7.2300000000000003E-2</v>
      </c>
      <c r="H89" s="22"/>
      <c r="I89" s="36"/>
    </row>
    <row r="90" spans="1:9" ht="12.75" customHeight="1" x14ac:dyDescent="0.2">
      <c r="F90" s="14"/>
      <c r="G90" s="15"/>
      <c r="H90" s="16"/>
    </row>
    <row r="91" spans="1:9" ht="12.75" customHeight="1" x14ac:dyDescent="0.2">
      <c r="B91" s="17" t="s">
        <v>94</v>
      </c>
      <c r="C91" s="17"/>
      <c r="F91" s="14"/>
      <c r="G91" s="15"/>
      <c r="H91" s="16"/>
    </row>
    <row r="92" spans="1:9" ht="12.75" customHeight="1" x14ac:dyDescent="0.2">
      <c r="B92" s="17" t="s">
        <v>95</v>
      </c>
      <c r="C92" s="17"/>
      <c r="F92" s="14">
        <v>-627.16050379999069</v>
      </c>
      <c r="G92" s="123">
        <f>+ROUND(F92/VLOOKUP("Grand Total",$B$4:$F$283,5,0),4)-0.01%</f>
        <v>-1.0199999999999999E-2</v>
      </c>
      <c r="H92" s="16"/>
    </row>
    <row r="93" spans="1:9" ht="12.75" customHeight="1" x14ac:dyDescent="0.2">
      <c r="B93" s="19" t="s">
        <v>85</v>
      </c>
      <c r="C93" s="19"/>
      <c r="D93" s="19"/>
      <c r="E93" s="30"/>
      <c r="F93" s="20">
        <f>SUM(F92)</f>
        <v>-627.16050379999069</v>
      </c>
      <c r="G93" s="124">
        <f>SUM(G92)</f>
        <v>-1.0199999999999999E-2</v>
      </c>
      <c r="H93" s="22"/>
      <c r="I93" s="36"/>
    </row>
    <row r="94" spans="1:9" ht="12.75" customHeight="1" x14ac:dyDescent="0.2">
      <c r="B94" s="23" t="s">
        <v>96</v>
      </c>
      <c r="C94" s="23"/>
      <c r="D94" s="23"/>
      <c r="E94" s="31"/>
      <c r="F94" s="24">
        <f>+SUMIF($B$5:B93,"Total",$F$5:F93)</f>
        <v>62041.400819800037</v>
      </c>
      <c r="G94" s="25">
        <f>+SUMIF($B$5:B93,"Total",$G$5:G93)</f>
        <v>1.0000000000000002</v>
      </c>
      <c r="H94" s="26"/>
      <c r="I94" s="36"/>
    </row>
    <row r="95" spans="1:9" ht="12.75" customHeight="1" x14ac:dyDescent="0.2"/>
    <row r="96" spans="1:9" ht="12.75" customHeight="1" x14ac:dyDescent="0.2">
      <c r="B96" s="17" t="s">
        <v>188</v>
      </c>
      <c r="C96" s="17"/>
    </row>
    <row r="97" spans="2:7" ht="12.75" customHeight="1" x14ac:dyDescent="0.2">
      <c r="B97" s="17" t="s">
        <v>189</v>
      </c>
      <c r="C97" s="17"/>
    </row>
    <row r="98" spans="2:7" ht="12.75" customHeight="1" x14ac:dyDescent="0.2">
      <c r="B98" s="17" t="s">
        <v>190</v>
      </c>
      <c r="C98" s="17"/>
      <c r="F98" s="44"/>
      <c r="G98" s="44"/>
    </row>
    <row r="99" spans="2:7" ht="12.75" customHeight="1" x14ac:dyDescent="0.2">
      <c r="B99" s="54" t="s">
        <v>308</v>
      </c>
      <c r="C99" s="17"/>
    </row>
    <row r="100" spans="2:7" ht="12.75" customHeight="1" x14ac:dyDescent="0.2"/>
    <row r="101" spans="2:7" ht="12.75" customHeight="1" x14ac:dyDescent="0.2"/>
    <row r="102" spans="2:7" ht="12.75" customHeight="1" x14ac:dyDescent="0.2"/>
    <row r="103" spans="2:7" ht="12.75" customHeight="1" x14ac:dyDescent="0.2"/>
    <row r="104" spans="2:7" ht="12.75" customHeight="1" x14ac:dyDescent="0.2"/>
    <row r="105" spans="2:7" ht="12.75" customHeight="1" x14ac:dyDescent="0.2"/>
    <row r="106" spans="2:7" ht="12.75" customHeight="1" x14ac:dyDescent="0.2"/>
    <row r="107" spans="2:7" ht="12.75" customHeight="1" x14ac:dyDescent="0.2"/>
    <row r="108" spans="2:7" ht="12.75" customHeight="1" x14ac:dyDescent="0.2"/>
    <row r="109" spans="2:7" ht="12.75" customHeight="1" x14ac:dyDescent="0.2"/>
    <row r="110" spans="2:7" ht="12.75" customHeight="1" x14ac:dyDescent="0.2"/>
    <row r="111" spans="2:7" ht="12.75" customHeight="1" x14ac:dyDescent="0.2"/>
    <row r="112" spans="2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</sheetData>
  <sheetProtection password="EDB3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9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74" customWidth="1"/>
    <col min="10" max="10" width="16.28515625" bestFit="1" customWidth="1"/>
    <col min="11" max="11" width="8" style="37" customWidth="1"/>
  </cols>
  <sheetData>
    <row r="1" spans="1:16" ht="18.75" x14ac:dyDescent="0.2">
      <c r="A1" s="95" t="s">
        <v>381</v>
      </c>
      <c r="B1" s="126" t="s">
        <v>332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I6" s="99"/>
    </row>
    <row r="7" spans="1:16" ht="12.75" customHeight="1" x14ac:dyDescent="0.2">
      <c r="B7" s="17" t="s">
        <v>91</v>
      </c>
      <c r="C7" s="17"/>
      <c r="F7" s="14"/>
      <c r="G7" s="15"/>
      <c r="H7" s="16"/>
    </row>
    <row r="8" spans="1:16" ht="12.75" customHeight="1" x14ac:dyDescent="0.2">
      <c r="B8" s="17" t="s">
        <v>732</v>
      </c>
      <c r="C8" s="17"/>
      <c r="F8" s="14"/>
      <c r="G8" s="15"/>
      <c r="H8" s="16"/>
      <c r="J8" s="18" t="s">
        <v>699</v>
      </c>
      <c r="K8" s="38" t="s">
        <v>13</v>
      </c>
      <c r="M8" s="15"/>
      <c r="N8" s="37"/>
      <c r="P8" s="15"/>
    </row>
    <row r="9" spans="1:16" ht="12.75" customHeight="1" x14ac:dyDescent="0.2">
      <c r="A9">
        <f>+MAX($A$1:A8)+1</f>
        <v>1</v>
      </c>
      <c r="B9" s="66" t="s">
        <v>219</v>
      </c>
      <c r="C9" s="66" t="s">
        <v>614</v>
      </c>
      <c r="D9" t="s">
        <v>160</v>
      </c>
      <c r="E9" s="29">
        <v>2500</v>
      </c>
      <c r="F9" s="14">
        <v>2455.9724999999999</v>
      </c>
      <c r="G9" s="15">
        <f>+ROUND(F9/VLOOKUP("Grand Total",$B$4:$F$278,5,0),4)</f>
        <v>4.7600000000000003E-2</v>
      </c>
      <c r="H9" s="16">
        <v>43250</v>
      </c>
      <c r="I9" s="100"/>
      <c r="J9" s="15" t="s">
        <v>364</v>
      </c>
      <c r="K9" s="49">
        <f t="shared" ref="K9:K21" si="0">SUMIFS($G$5:$G$311,$D$5:$D$311,J9)</f>
        <v>0.16210000000000002</v>
      </c>
      <c r="M9" s="15"/>
      <c r="N9" s="37"/>
      <c r="P9" s="15"/>
    </row>
    <row r="10" spans="1:16" ht="12.75" customHeight="1" x14ac:dyDescent="0.2">
      <c r="B10" s="19" t="s">
        <v>85</v>
      </c>
      <c r="C10" s="19"/>
      <c r="D10" s="19"/>
      <c r="E10" s="30"/>
      <c r="F10" s="20">
        <f>SUM(F9:F9)</f>
        <v>2455.9724999999999</v>
      </c>
      <c r="G10" s="21">
        <f>SUM(G9:G9)</f>
        <v>4.7600000000000003E-2</v>
      </c>
      <c r="H10" s="22"/>
      <c r="J10" s="15" t="s">
        <v>293</v>
      </c>
      <c r="K10" s="49">
        <f t="shared" si="0"/>
        <v>9.2600000000000002E-2</v>
      </c>
      <c r="M10" s="15"/>
      <c r="N10" s="37"/>
      <c r="P10" s="15"/>
    </row>
    <row r="11" spans="1:16" ht="12.75" customHeight="1" x14ac:dyDescent="0.2">
      <c r="B11" s="17"/>
      <c r="C11" s="17"/>
      <c r="F11" s="14"/>
      <c r="G11" s="15"/>
      <c r="H11" s="16"/>
      <c r="J11" s="15" t="s">
        <v>560</v>
      </c>
      <c r="K11" s="49">
        <f t="shared" si="0"/>
        <v>8.9099999999999999E-2</v>
      </c>
      <c r="M11" s="15"/>
    </row>
    <row r="12" spans="1:16" ht="12.75" customHeight="1" x14ac:dyDescent="0.2">
      <c r="B12" s="17" t="s">
        <v>307</v>
      </c>
      <c r="C12" s="17"/>
      <c r="F12" s="14"/>
      <c r="G12" s="15"/>
      <c r="H12" s="16"/>
      <c r="J12" s="15" t="s">
        <v>367</v>
      </c>
      <c r="K12" s="49">
        <f t="shared" si="0"/>
        <v>8.1199999999999994E-2</v>
      </c>
      <c r="M12" s="15"/>
    </row>
    <row r="13" spans="1:16" ht="12.75" customHeight="1" x14ac:dyDescent="0.2">
      <c r="A13">
        <f>+MAX($A$1:A12)+1</f>
        <v>2</v>
      </c>
      <c r="B13" t="s">
        <v>559</v>
      </c>
      <c r="C13" t="s">
        <v>646</v>
      </c>
      <c r="D13" t="s">
        <v>560</v>
      </c>
      <c r="E13" s="29">
        <v>590</v>
      </c>
      <c r="F13" s="14">
        <v>2932.7660999999998</v>
      </c>
      <c r="G13" s="15">
        <f t="shared" ref="G13:G20" si="1">+ROUND(F13/VLOOKUP("Grand Total",$B$4:$F$278,5,0),4)</f>
        <v>5.6899999999999999E-2</v>
      </c>
      <c r="H13" s="16">
        <v>43181</v>
      </c>
      <c r="I13" s="100"/>
      <c r="J13" s="15" t="s">
        <v>108</v>
      </c>
      <c r="K13" s="49">
        <f t="shared" si="0"/>
        <v>7.6899999999999996E-2</v>
      </c>
      <c r="M13" s="15"/>
    </row>
    <row r="14" spans="1:16" ht="12.75" customHeight="1" x14ac:dyDescent="0.2">
      <c r="A14">
        <f>+MAX($A$1:A13)+1</f>
        <v>3</v>
      </c>
      <c r="B14" t="s">
        <v>292</v>
      </c>
      <c r="C14" t="s">
        <v>594</v>
      </c>
      <c r="D14" t="s">
        <v>571</v>
      </c>
      <c r="E14" s="29">
        <v>440</v>
      </c>
      <c r="F14" s="14">
        <v>2062.5374000000002</v>
      </c>
      <c r="G14" s="15">
        <f t="shared" si="1"/>
        <v>0.04</v>
      </c>
      <c r="H14" s="16">
        <v>43430</v>
      </c>
      <c r="I14" s="100"/>
      <c r="J14" s="15" t="s">
        <v>160</v>
      </c>
      <c r="K14" s="49">
        <f t="shared" si="0"/>
        <v>4.9300000000000004E-2</v>
      </c>
      <c r="M14" s="15"/>
      <c r="N14" s="37"/>
      <c r="O14" s="15"/>
    </row>
    <row r="15" spans="1:16" ht="12.75" customHeight="1" x14ac:dyDescent="0.2">
      <c r="A15">
        <f>+MAX($A$1:A14)+1</f>
        <v>4</v>
      </c>
      <c r="B15" t="s">
        <v>204</v>
      </c>
      <c r="C15" t="s">
        <v>534</v>
      </c>
      <c r="D15" t="s">
        <v>291</v>
      </c>
      <c r="E15" s="29">
        <v>360</v>
      </c>
      <c r="F15" s="14">
        <v>1758.7962</v>
      </c>
      <c r="G15" s="15">
        <f t="shared" si="1"/>
        <v>3.4099999999999998E-2</v>
      </c>
      <c r="H15" s="16">
        <v>43269</v>
      </c>
      <c r="I15" s="100"/>
      <c r="J15" s="15" t="s">
        <v>633</v>
      </c>
      <c r="K15" s="49">
        <f t="shared" si="0"/>
        <v>4.8399999999999999E-2</v>
      </c>
      <c r="M15" s="15"/>
      <c r="N15" s="37"/>
      <c r="O15" s="15"/>
    </row>
    <row r="16" spans="1:16" ht="12.75" customHeight="1" x14ac:dyDescent="0.2">
      <c r="A16">
        <f>+MAX($A$1:A15)+1</f>
        <v>5</v>
      </c>
      <c r="B16" t="s">
        <v>559</v>
      </c>
      <c r="C16" t="s">
        <v>708</v>
      </c>
      <c r="D16" t="s">
        <v>560</v>
      </c>
      <c r="E16" s="29">
        <v>340</v>
      </c>
      <c r="F16" s="14">
        <v>1658.1732</v>
      </c>
      <c r="G16" s="15">
        <f t="shared" si="1"/>
        <v>3.2199999999999999E-2</v>
      </c>
      <c r="H16" s="16">
        <v>43245</v>
      </c>
      <c r="I16" s="100"/>
      <c r="J16" s="15" t="s">
        <v>449</v>
      </c>
      <c r="K16" s="49">
        <f t="shared" si="0"/>
        <v>4.8099999999999997E-2</v>
      </c>
      <c r="M16" s="15"/>
      <c r="N16" s="37"/>
      <c r="O16" s="15"/>
      <c r="P16" s="15"/>
    </row>
    <row r="17" spans="1:16" ht="12.75" customHeight="1" x14ac:dyDescent="0.2">
      <c r="A17">
        <f>+MAX($A$1:A16)+1</f>
        <v>6</v>
      </c>
      <c r="B17" s="66" t="s">
        <v>292</v>
      </c>
      <c r="C17" t="s">
        <v>557</v>
      </c>
      <c r="D17" t="s">
        <v>571</v>
      </c>
      <c r="E17" s="29">
        <v>82</v>
      </c>
      <c r="F17" s="14">
        <v>391.72958</v>
      </c>
      <c r="G17" s="15">
        <f t="shared" si="1"/>
        <v>7.6E-3</v>
      </c>
      <c r="H17" s="16">
        <v>43350</v>
      </c>
      <c r="I17" s="100"/>
      <c r="J17" s="15" t="s">
        <v>571</v>
      </c>
      <c r="K17" s="49">
        <f t="shared" si="0"/>
        <v>4.7600000000000003E-2</v>
      </c>
      <c r="M17" s="15"/>
      <c r="N17" s="37"/>
      <c r="O17" s="15"/>
      <c r="P17" s="15"/>
    </row>
    <row r="18" spans="1:16" ht="12.75" customHeight="1" x14ac:dyDescent="0.2">
      <c r="A18">
        <f>+MAX($A$1:A17)+1</f>
        <v>7</v>
      </c>
      <c r="B18" t="s">
        <v>572</v>
      </c>
      <c r="C18" t="s">
        <v>573</v>
      </c>
      <c r="D18" t="s">
        <v>291</v>
      </c>
      <c r="E18" s="29">
        <v>80</v>
      </c>
      <c r="F18" s="14">
        <v>390.43079999999998</v>
      </c>
      <c r="G18" s="15">
        <f t="shared" si="1"/>
        <v>7.6E-3</v>
      </c>
      <c r="H18" s="16">
        <v>43265</v>
      </c>
      <c r="I18" s="100"/>
      <c r="J18" s="15" t="s">
        <v>532</v>
      </c>
      <c r="K18" s="49">
        <f t="shared" si="0"/>
        <v>4.7100000000000003E-2</v>
      </c>
      <c r="M18" s="15"/>
      <c r="N18" s="37"/>
      <c r="O18" s="15"/>
      <c r="P18" s="15"/>
    </row>
    <row r="19" spans="1:16" ht="12.75" customHeight="1" x14ac:dyDescent="0.2">
      <c r="A19">
        <f>+MAX($A$1:A18)+1</f>
        <v>8</v>
      </c>
      <c r="B19" t="s">
        <v>572</v>
      </c>
      <c r="C19" t="s">
        <v>645</v>
      </c>
      <c r="D19" t="s">
        <v>291</v>
      </c>
      <c r="E19" s="29">
        <v>50</v>
      </c>
      <c r="F19" s="14">
        <v>249.81100000000001</v>
      </c>
      <c r="G19" s="15">
        <f t="shared" si="1"/>
        <v>4.7999999999999996E-3</v>
      </c>
      <c r="H19" s="16">
        <v>43164</v>
      </c>
      <c r="I19" s="100"/>
      <c r="J19" s="15" t="s">
        <v>291</v>
      </c>
      <c r="K19" s="49">
        <f t="shared" si="0"/>
        <v>4.65E-2</v>
      </c>
      <c r="M19" s="15"/>
      <c r="N19" s="37"/>
      <c r="O19" s="15"/>
      <c r="P19" s="15"/>
    </row>
    <row r="20" spans="1:16" ht="12.75" customHeight="1" x14ac:dyDescent="0.2">
      <c r="A20">
        <f>+MAX($A$1:A19)+1</f>
        <v>9</v>
      </c>
      <c r="B20" t="s">
        <v>349</v>
      </c>
      <c r="C20" t="s">
        <v>535</v>
      </c>
      <c r="D20" t="s">
        <v>160</v>
      </c>
      <c r="E20" s="29">
        <v>18</v>
      </c>
      <c r="F20" s="14">
        <v>87.879239999999996</v>
      </c>
      <c r="G20" s="15">
        <f t="shared" si="1"/>
        <v>1.6999999999999999E-3</v>
      </c>
      <c r="H20" s="16">
        <v>43273</v>
      </c>
      <c r="I20" s="100"/>
      <c r="J20" s="15" t="s">
        <v>174</v>
      </c>
      <c r="K20" s="49">
        <f t="shared" si="0"/>
        <v>4.5600000000000002E-2</v>
      </c>
      <c r="M20" s="15"/>
      <c r="N20" s="37"/>
      <c r="O20" s="15"/>
      <c r="P20" s="15"/>
    </row>
    <row r="21" spans="1:16" ht="12.75" customHeight="1" x14ac:dyDescent="0.2">
      <c r="B21" s="19" t="s">
        <v>85</v>
      </c>
      <c r="C21" s="19"/>
      <c r="D21" s="19"/>
      <c r="E21" s="30"/>
      <c r="F21" s="20">
        <f>SUM(F13:F20)</f>
        <v>9532.1235199999992</v>
      </c>
      <c r="G21" s="21">
        <f>SUM(G13:G20)</f>
        <v>0.18490000000000001</v>
      </c>
      <c r="H21" s="22"/>
      <c r="J21" s="15" t="s">
        <v>488</v>
      </c>
      <c r="K21" s="49">
        <f t="shared" si="0"/>
        <v>3.4700000000000002E-2</v>
      </c>
      <c r="L21" s="55"/>
      <c r="N21" s="37"/>
      <c r="O21" s="15"/>
      <c r="P21" s="15"/>
    </row>
    <row r="22" spans="1:16" ht="12.75" customHeight="1" x14ac:dyDescent="0.2">
      <c r="F22" s="14"/>
      <c r="G22" s="15"/>
      <c r="H22" s="16"/>
      <c r="J22" s="15" t="s">
        <v>294</v>
      </c>
      <c r="K22" s="49">
        <f t="shared" ref="K22:K24" si="2">SUMIFS($G$5:$G$311,$D$5:$D$311,J22)</f>
        <v>2.7400000000000001E-2</v>
      </c>
      <c r="M22" s="91"/>
      <c r="N22" s="37"/>
      <c r="O22" s="15"/>
      <c r="P22" s="15"/>
    </row>
    <row r="23" spans="1:16" ht="12.75" customHeight="1" x14ac:dyDescent="0.2">
      <c r="B23" s="17" t="s">
        <v>167</v>
      </c>
      <c r="C23" s="17"/>
      <c r="F23" s="14"/>
      <c r="G23" s="15"/>
      <c r="H23" s="16"/>
      <c r="I23" s="36"/>
      <c r="J23" s="15" t="s">
        <v>632</v>
      </c>
      <c r="K23" s="49">
        <f t="shared" si="2"/>
        <v>2.6599999999999999E-2</v>
      </c>
      <c r="M23" s="15"/>
      <c r="N23" s="37"/>
      <c r="O23" s="15"/>
      <c r="P23" s="15"/>
    </row>
    <row r="24" spans="1:16" ht="12.75" customHeight="1" x14ac:dyDescent="0.2">
      <c r="A24">
        <f>+MAX($A$1:A23)+1</f>
        <v>10</v>
      </c>
      <c r="B24" s="66" t="s">
        <v>589</v>
      </c>
      <c r="C24" t="s">
        <v>590</v>
      </c>
      <c r="D24" t="s">
        <v>404</v>
      </c>
      <c r="E24" s="29">
        <v>357000</v>
      </c>
      <c r="F24" s="14">
        <v>356.28707100000003</v>
      </c>
      <c r="G24" s="15">
        <f>+ROUND(F24/VLOOKUP("Grand Total",$B$4:$F$278,5,0),4)</f>
        <v>6.8999999999999999E-3</v>
      </c>
      <c r="H24" s="16">
        <v>43172</v>
      </c>
      <c r="I24" s="100"/>
      <c r="J24" s="15" t="s">
        <v>404</v>
      </c>
      <c r="K24" s="49">
        <f t="shared" si="2"/>
        <v>6.8999999999999999E-3</v>
      </c>
      <c r="N24" s="37"/>
      <c r="O24" s="15"/>
      <c r="P24" s="15"/>
    </row>
    <row r="25" spans="1:16" ht="12.75" customHeight="1" x14ac:dyDescent="0.2">
      <c r="B25" s="19" t="s">
        <v>85</v>
      </c>
      <c r="C25" s="19"/>
      <c r="D25" s="19"/>
      <c r="E25" s="30"/>
      <c r="F25" s="20">
        <f>SUM(F24:F24)</f>
        <v>356.28707100000003</v>
      </c>
      <c r="G25" s="21">
        <f>SUM(G24:G24)</f>
        <v>6.8999999999999999E-3</v>
      </c>
      <c r="H25" s="22"/>
      <c r="J25" s="15" t="s">
        <v>64</v>
      </c>
      <c r="K25" s="49">
        <f>+SUMIFS($G$5:$G$996,$B$5:$B$996,"CBLO / Reverse Repo Investments")+SUMIFS($G$5:$G$996,$B$5:$B$996,"Net Receivable/Payable")</f>
        <v>6.9900000000000004E-2</v>
      </c>
      <c r="L25" s="55"/>
      <c r="M25" s="15"/>
      <c r="N25" s="37"/>
      <c r="O25" s="15"/>
      <c r="P25" s="15"/>
    </row>
    <row r="26" spans="1:16" ht="12.75" customHeight="1" x14ac:dyDescent="0.2">
      <c r="F26" s="14"/>
      <c r="G26" s="15"/>
      <c r="H26" s="16"/>
      <c r="J26" s="15"/>
      <c r="K26" s="49"/>
      <c r="M26" s="91"/>
      <c r="N26" s="37"/>
      <c r="O26" s="15"/>
      <c r="P26" s="15"/>
    </row>
    <row r="27" spans="1:16" ht="12.75" customHeight="1" x14ac:dyDescent="0.2">
      <c r="B27" s="17" t="s">
        <v>125</v>
      </c>
      <c r="C27" s="17"/>
      <c r="F27" s="14"/>
      <c r="G27" s="15"/>
      <c r="H27" s="16"/>
      <c r="I27" s="36"/>
      <c r="N27" s="37"/>
      <c r="P27" s="15"/>
    </row>
    <row r="28" spans="1:16" ht="12.75" customHeight="1" x14ac:dyDescent="0.2">
      <c r="B28" s="32" t="s">
        <v>407</v>
      </c>
      <c r="C28" s="17"/>
      <c r="F28" s="14"/>
      <c r="G28" s="15"/>
      <c r="H28" s="16"/>
      <c r="N28" s="37"/>
      <c r="P28" s="15"/>
    </row>
    <row r="29" spans="1:16" ht="12.75" customHeight="1" x14ac:dyDescent="0.2">
      <c r="A29">
        <f>+MAX($A$1:A28)+1</f>
        <v>11</v>
      </c>
      <c r="B29" t="s">
        <v>734</v>
      </c>
      <c r="C29" t="s">
        <v>396</v>
      </c>
      <c r="D29" t="s">
        <v>364</v>
      </c>
      <c r="E29" s="29">
        <v>500</v>
      </c>
      <c r="F29" s="14">
        <v>5000.68</v>
      </c>
      <c r="G29" s="15">
        <f t="shared" ref="G29:G41" si="3">+ROUND(F29/VLOOKUP("Grand Total",$B$4:$F$278,5,0),4)</f>
        <v>9.7000000000000003E-2</v>
      </c>
      <c r="H29" s="16">
        <v>43892</v>
      </c>
      <c r="I29" s="100"/>
    </row>
    <row r="30" spans="1:16" s="66" customFormat="1" ht="12.75" customHeight="1" x14ac:dyDescent="0.2">
      <c r="A30">
        <f>+MAX($A$1:A29)+1</f>
        <v>12</v>
      </c>
      <c r="B30" s="66" t="s">
        <v>735</v>
      </c>
      <c r="C30" s="66" t="s">
        <v>487</v>
      </c>
      <c r="D30" s="66" t="s">
        <v>293</v>
      </c>
      <c r="E30" s="86">
        <v>480</v>
      </c>
      <c r="F30" s="87">
        <v>4776.7776000000003</v>
      </c>
      <c r="G30" s="91">
        <f t="shared" si="3"/>
        <v>9.2600000000000002E-2</v>
      </c>
      <c r="H30" s="90">
        <v>43630</v>
      </c>
      <c r="I30" s="100"/>
      <c r="N30" s="85"/>
      <c r="P30" s="91"/>
    </row>
    <row r="31" spans="1:16" ht="12.75" customHeight="1" x14ac:dyDescent="0.2">
      <c r="A31">
        <f>+MAX($A$1:A30)+1</f>
        <v>13</v>
      </c>
      <c r="B31" s="66" t="s">
        <v>675</v>
      </c>
      <c r="C31" t="s">
        <v>466</v>
      </c>
      <c r="D31" t="s">
        <v>633</v>
      </c>
      <c r="E31" s="29">
        <v>250</v>
      </c>
      <c r="F31" s="14">
        <v>2497.0025000000001</v>
      </c>
      <c r="G31" s="15">
        <f t="shared" si="3"/>
        <v>4.8399999999999999E-2</v>
      </c>
      <c r="H31" s="16">
        <v>43469</v>
      </c>
      <c r="I31" s="100"/>
      <c r="N31" s="37"/>
      <c r="P31" s="15"/>
    </row>
    <row r="32" spans="1:16" ht="12.75" customHeight="1" x14ac:dyDescent="0.2">
      <c r="A32">
        <f>+MAX($A$1:A31)+1</f>
        <v>14</v>
      </c>
      <c r="B32" t="s">
        <v>736</v>
      </c>
      <c r="C32" s="66" t="s">
        <v>512</v>
      </c>
      <c r="D32" s="66" t="s">
        <v>449</v>
      </c>
      <c r="E32" s="86">
        <v>250</v>
      </c>
      <c r="F32" s="87">
        <v>2478.7950000000001</v>
      </c>
      <c r="G32" s="91">
        <f t="shared" si="3"/>
        <v>4.8099999999999997E-2</v>
      </c>
      <c r="H32" s="16">
        <v>43671</v>
      </c>
      <c r="I32" s="100"/>
    </row>
    <row r="33" spans="1:16" ht="12.75" customHeight="1" x14ac:dyDescent="0.2">
      <c r="A33">
        <f>+MAX($A$1:A32)+1</f>
        <v>15</v>
      </c>
      <c r="B33" s="66" t="s">
        <v>671</v>
      </c>
      <c r="C33" t="s">
        <v>575</v>
      </c>
      <c r="D33" t="s">
        <v>108</v>
      </c>
      <c r="E33" s="29">
        <v>25</v>
      </c>
      <c r="F33" s="14">
        <v>2470.2275</v>
      </c>
      <c r="G33" s="15">
        <f t="shared" si="3"/>
        <v>4.7899999999999998E-2</v>
      </c>
      <c r="H33" s="16">
        <v>43787</v>
      </c>
      <c r="I33" s="100"/>
      <c r="N33" s="37"/>
      <c r="P33" s="15"/>
    </row>
    <row r="34" spans="1:16" ht="12.75" customHeight="1" x14ac:dyDescent="0.2">
      <c r="A34">
        <f>+MAX($A$1:A33)+1</f>
        <v>16</v>
      </c>
      <c r="B34" s="66" t="s">
        <v>737</v>
      </c>
      <c r="C34" t="s">
        <v>422</v>
      </c>
      <c r="D34" t="s">
        <v>364</v>
      </c>
      <c r="E34" s="29">
        <v>243000</v>
      </c>
      <c r="F34" s="14">
        <v>2440.2691799999998</v>
      </c>
      <c r="G34" s="15">
        <f t="shared" si="3"/>
        <v>4.7300000000000002E-2</v>
      </c>
      <c r="H34" s="16">
        <v>43717</v>
      </c>
      <c r="I34" s="100"/>
      <c r="N34" s="37"/>
      <c r="P34" s="15"/>
    </row>
    <row r="35" spans="1:16" ht="12.75" customHeight="1" x14ac:dyDescent="0.2">
      <c r="A35">
        <f>+MAX($A$1:A34)+1</f>
        <v>17</v>
      </c>
      <c r="B35" s="66" t="s">
        <v>738</v>
      </c>
      <c r="C35" t="s">
        <v>352</v>
      </c>
      <c r="D35" t="s">
        <v>532</v>
      </c>
      <c r="E35" s="29">
        <v>242</v>
      </c>
      <c r="F35" s="14">
        <v>2430.9190400000002</v>
      </c>
      <c r="G35" s="15">
        <f t="shared" si="3"/>
        <v>4.7100000000000003E-2</v>
      </c>
      <c r="H35" s="16">
        <v>43309</v>
      </c>
      <c r="I35" s="100"/>
    </row>
    <row r="36" spans="1:16" ht="12.75" customHeight="1" x14ac:dyDescent="0.2">
      <c r="A36">
        <f>+MAX($A$1:A35)+1</f>
        <v>18</v>
      </c>
      <c r="B36" s="66" t="s">
        <v>739</v>
      </c>
      <c r="C36" t="s">
        <v>353</v>
      </c>
      <c r="D36" t="s">
        <v>174</v>
      </c>
      <c r="E36" s="29">
        <v>235</v>
      </c>
      <c r="F36" s="14">
        <v>2348.5664999999999</v>
      </c>
      <c r="G36" s="15">
        <f t="shared" si="3"/>
        <v>4.5600000000000002E-2</v>
      </c>
      <c r="H36" s="16">
        <v>43299</v>
      </c>
      <c r="I36" s="100"/>
    </row>
    <row r="37" spans="1:16" ht="12.75" customHeight="1" x14ac:dyDescent="0.2">
      <c r="A37">
        <f>+MAX($A$1:A36)+1</f>
        <v>19</v>
      </c>
      <c r="B37" t="s">
        <v>683</v>
      </c>
      <c r="C37" t="s">
        <v>515</v>
      </c>
      <c r="D37" t="s">
        <v>488</v>
      </c>
      <c r="E37" s="29">
        <v>182</v>
      </c>
      <c r="F37" s="14">
        <v>1789.6733400000001</v>
      </c>
      <c r="G37" s="15">
        <f t="shared" si="3"/>
        <v>3.4700000000000002E-2</v>
      </c>
      <c r="H37" s="16">
        <v>44026</v>
      </c>
      <c r="I37" s="100"/>
    </row>
    <row r="38" spans="1:16" ht="12.75" customHeight="1" x14ac:dyDescent="0.2">
      <c r="A38">
        <f>+MAX($A$1:A37)+1</f>
        <v>20</v>
      </c>
      <c r="B38" s="66" t="s">
        <v>709</v>
      </c>
      <c r="C38" t="s">
        <v>710</v>
      </c>
      <c r="D38" t="s">
        <v>108</v>
      </c>
      <c r="E38" s="29">
        <v>150</v>
      </c>
      <c r="F38" s="14">
        <v>1493.55</v>
      </c>
      <c r="G38" s="15">
        <f t="shared" si="3"/>
        <v>2.9000000000000001E-2</v>
      </c>
      <c r="H38" s="16">
        <v>44270</v>
      </c>
      <c r="I38" s="100"/>
    </row>
    <row r="39" spans="1:16" ht="12.75" customHeight="1" x14ac:dyDescent="0.2">
      <c r="A39">
        <f>+MAX($A$1:A38)+1</f>
        <v>21</v>
      </c>
      <c r="B39" t="s">
        <v>685</v>
      </c>
      <c r="C39" t="s">
        <v>335</v>
      </c>
      <c r="D39" t="s">
        <v>294</v>
      </c>
      <c r="E39" s="29">
        <v>140</v>
      </c>
      <c r="F39" s="14">
        <v>1414.413</v>
      </c>
      <c r="G39" s="15">
        <f t="shared" si="3"/>
        <v>2.7400000000000001E-2</v>
      </c>
      <c r="H39" s="16">
        <v>43621</v>
      </c>
      <c r="I39" s="100"/>
    </row>
    <row r="40" spans="1:16" ht="12.75" customHeight="1" x14ac:dyDescent="0.2">
      <c r="A40">
        <f>+MAX($A$1:A39)+1</f>
        <v>22</v>
      </c>
      <c r="B40" s="66" t="s">
        <v>678</v>
      </c>
      <c r="C40" t="s">
        <v>647</v>
      </c>
      <c r="D40" t="s">
        <v>632</v>
      </c>
      <c r="E40" s="29">
        <v>150</v>
      </c>
      <c r="F40" s="14">
        <v>1373.7270000000001</v>
      </c>
      <c r="G40" s="15">
        <f t="shared" si="3"/>
        <v>2.6599999999999999E-2</v>
      </c>
      <c r="H40" s="16">
        <v>43826</v>
      </c>
      <c r="I40" s="100"/>
    </row>
    <row r="41" spans="1:16" ht="12.75" customHeight="1" x14ac:dyDescent="0.2">
      <c r="A41">
        <f>+MAX($A$1:A40)+1</f>
        <v>23</v>
      </c>
      <c r="B41" s="66" t="s">
        <v>674</v>
      </c>
      <c r="C41" t="s">
        <v>421</v>
      </c>
      <c r="D41" t="s">
        <v>364</v>
      </c>
      <c r="E41" s="29">
        <v>92</v>
      </c>
      <c r="F41" s="14">
        <v>920.28427999999997</v>
      </c>
      <c r="G41" s="15">
        <f t="shared" si="3"/>
        <v>1.78E-2</v>
      </c>
      <c r="H41" s="16">
        <v>43322</v>
      </c>
      <c r="I41" s="100"/>
    </row>
    <row r="42" spans="1:16" ht="12.75" customHeight="1" x14ac:dyDescent="0.2">
      <c r="B42" s="19" t="s">
        <v>85</v>
      </c>
      <c r="C42" s="19"/>
      <c r="D42" s="19"/>
      <c r="E42" s="30"/>
      <c r="F42" s="20">
        <f>SUM(F29:F41)</f>
        <v>31434.884940000004</v>
      </c>
      <c r="G42" s="21">
        <f>SUM(G29:G41)</f>
        <v>0.60949999999999993</v>
      </c>
      <c r="H42" s="22"/>
      <c r="J42" s="53"/>
      <c r="K42"/>
    </row>
    <row r="43" spans="1:16" ht="12.75" customHeight="1" x14ac:dyDescent="0.2">
      <c r="F43" s="14"/>
      <c r="G43" s="15"/>
      <c r="H43" s="16"/>
      <c r="M43" s="91"/>
      <c r="N43" s="37"/>
      <c r="O43" s="15"/>
      <c r="P43" s="15"/>
    </row>
    <row r="44" spans="1:16" ht="12.75" customHeight="1" x14ac:dyDescent="0.2">
      <c r="B44" s="17" t="s">
        <v>541</v>
      </c>
      <c r="C44" s="17"/>
      <c r="F44" s="14"/>
      <c r="G44" s="15"/>
      <c r="H44" s="16"/>
      <c r="I44" s="36"/>
      <c r="J44" s="15"/>
      <c r="M44" s="15"/>
      <c r="N44" s="37"/>
      <c r="O44" s="15"/>
      <c r="P44" s="15"/>
    </row>
    <row r="45" spans="1:16" ht="12.75" customHeight="1" x14ac:dyDescent="0.2">
      <c r="A45">
        <f>+MAX($A$1:A44)+1</f>
        <v>24</v>
      </c>
      <c r="B45" s="66" t="s">
        <v>537</v>
      </c>
      <c r="C45" t="s">
        <v>538</v>
      </c>
      <c r="D45" t="s">
        <v>367</v>
      </c>
      <c r="E45" s="29">
        <v>400</v>
      </c>
      <c r="F45" s="14">
        <v>4187.3879999999999</v>
      </c>
      <c r="G45" s="15">
        <f>+ROUND(F45/VLOOKUP("Grand Total",$B$4:$F$278,5,0),4)</f>
        <v>8.1199999999999994E-2</v>
      </c>
      <c r="H45" s="16">
        <v>43321</v>
      </c>
      <c r="I45" s="100"/>
      <c r="J45" s="15"/>
      <c r="N45" s="37"/>
      <c r="O45" s="15"/>
      <c r="P45" s="15"/>
    </row>
    <row r="46" spans="1:16" ht="12.75" customHeight="1" x14ac:dyDescent="0.2">
      <c r="B46" s="19" t="s">
        <v>85</v>
      </c>
      <c r="C46" s="19"/>
      <c r="D46" s="19"/>
      <c r="E46" s="30"/>
      <c r="F46" s="20">
        <f>SUM(F45:F45)</f>
        <v>4187.3879999999999</v>
      </c>
      <c r="G46" s="21">
        <f>SUM(G45:G45)</f>
        <v>8.1199999999999994E-2</v>
      </c>
      <c r="H46" s="22"/>
      <c r="L46" s="55"/>
      <c r="M46" s="15"/>
      <c r="N46" s="37"/>
      <c r="O46" s="15"/>
      <c r="P46" s="15"/>
    </row>
    <row r="47" spans="1:16" ht="12.75" customHeight="1" x14ac:dyDescent="0.2">
      <c r="F47" s="14"/>
      <c r="G47" s="15"/>
      <c r="H47" s="16"/>
      <c r="M47" s="91"/>
      <c r="N47" s="37"/>
      <c r="O47" s="15"/>
      <c r="P47" s="15"/>
    </row>
    <row r="48" spans="1:16" ht="12.75" customHeight="1" x14ac:dyDescent="0.2">
      <c r="A48" s="96" t="s">
        <v>371</v>
      </c>
      <c r="B48" s="17" t="s">
        <v>93</v>
      </c>
      <c r="C48" s="17"/>
      <c r="F48" s="14">
        <v>3541.9007200000001</v>
      </c>
      <c r="G48" s="15">
        <f>+ROUND(F48/VLOOKUP("Grand Total",$B$4:$F$278,5,0),4)</f>
        <v>6.8699999999999997E-2</v>
      </c>
      <c r="H48" s="16">
        <v>43160</v>
      </c>
      <c r="I48" s="100"/>
      <c r="J48" s="53"/>
      <c r="K48"/>
    </row>
    <row r="49" spans="2:11" ht="12.75" customHeight="1" x14ac:dyDescent="0.2">
      <c r="B49" s="19" t="s">
        <v>85</v>
      </c>
      <c r="C49" s="19"/>
      <c r="D49" s="19"/>
      <c r="E49" s="30"/>
      <c r="F49" s="20">
        <f>SUM(F48)</f>
        <v>3541.9007200000001</v>
      </c>
      <c r="G49" s="21">
        <f>SUM(G48)</f>
        <v>6.8699999999999997E-2</v>
      </c>
      <c r="H49" s="22"/>
      <c r="K49"/>
    </row>
    <row r="50" spans="2:11" ht="12.75" customHeight="1" x14ac:dyDescent="0.2">
      <c r="F50" s="14"/>
      <c r="G50" s="15"/>
      <c r="H50" s="16"/>
      <c r="K50"/>
    </row>
    <row r="51" spans="2:11" ht="12.75" customHeight="1" x14ac:dyDescent="0.2">
      <c r="B51" s="17" t="s">
        <v>94</v>
      </c>
      <c r="C51" s="17"/>
      <c r="F51" s="14"/>
      <c r="G51" s="15"/>
      <c r="H51" s="16"/>
      <c r="I51" s="36"/>
      <c r="K51"/>
    </row>
    <row r="52" spans="2:11" ht="12.75" customHeight="1" x14ac:dyDescent="0.2">
      <c r="B52" s="17" t="s">
        <v>95</v>
      </c>
      <c r="C52" s="17"/>
      <c r="F52" s="14">
        <v>51.265111900014745</v>
      </c>
      <c r="G52" s="15">
        <f>+ROUND(F52/VLOOKUP("Grand Total",$B$4:$F$278,5,0),4)+0.02%</f>
        <v>1.2000000000000001E-3</v>
      </c>
      <c r="H52" s="16"/>
      <c r="K52"/>
    </row>
    <row r="53" spans="2:11" ht="12.75" customHeight="1" x14ac:dyDescent="0.2">
      <c r="B53" s="19" t="s">
        <v>85</v>
      </c>
      <c r="C53" s="19"/>
      <c r="D53" s="19"/>
      <c r="E53" s="30"/>
      <c r="F53" s="20">
        <f>SUM(F52)</f>
        <v>51.265111900014745</v>
      </c>
      <c r="G53" s="21">
        <f>SUM(G52)</f>
        <v>1.2000000000000001E-3</v>
      </c>
      <c r="H53" s="22"/>
      <c r="K53"/>
    </row>
    <row r="54" spans="2:11" ht="12.75" customHeight="1" x14ac:dyDescent="0.2">
      <c r="B54" s="23" t="s">
        <v>96</v>
      </c>
      <c r="C54" s="23"/>
      <c r="D54" s="23"/>
      <c r="E54" s="31"/>
      <c r="F54" s="24">
        <f>+SUMIF($B$5:B53,"Total",$F$5:F53)</f>
        <v>51559.821862900011</v>
      </c>
      <c r="G54" s="25">
        <f>+SUMIF($B$5:B53,"Total",$G$5:G53)</f>
        <v>0.99999999999999989</v>
      </c>
      <c r="H54" s="26"/>
      <c r="K54"/>
    </row>
    <row r="55" spans="2:11" ht="12.75" customHeight="1" x14ac:dyDescent="0.2">
      <c r="I55" s="36"/>
      <c r="K55"/>
    </row>
    <row r="56" spans="2:11" ht="12.75" customHeight="1" x14ac:dyDescent="0.2">
      <c r="B56" s="17" t="s">
        <v>634</v>
      </c>
      <c r="C56" s="17"/>
      <c r="F56" s="43"/>
      <c r="I56" s="36"/>
      <c r="K56"/>
    </row>
    <row r="57" spans="2:11" ht="12.75" customHeight="1" x14ac:dyDescent="0.2">
      <c r="B57" s="17" t="s">
        <v>188</v>
      </c>
      <c r="C57" s="17"/>
      <c r="F57" s="43"/>
      <c r="K57"/>
    </row>
    <row r="58" spans="2:11" ht="12.75" customHeight="1" x14ac:dyDescent="0.2">
      <c r="B58" s="17" t="s">
        <v>763</v>
      </c>
      <c r="C58" s="17"/>
      <c r="K58"/>
    </row>
    <row r="59" spans="2:11" ht="12.75" customHeight="1" x14ac:dyDescent="0.2">
      <c r="K59"/>
    </row>
    <row r="60" spans="2:11" ht="12.75" customHeight="1" x14ac:dyDescent="0.2">
      <c r="K60"/>
    </row>
    <row r="61" spans="2:11" ht="12.75" customHeight="1" x14ac:dyDescent="0.2">
      <c r="K61"/>
    </row>
    <row r="62" spans="2:11" ht="12.75" customHeight="1" x14ac:dyDescent="0.2">
      <c r="K62"/>
    </row>
    <row r="63" spans="2:11" ht="12.75" customHeight="1" x14ac:dyDescent="0.2">
      <c r="E63"/>
      <c r="I63"/>
      <c r="K63"/>
    </row>
    <row r="64" spans="2:11" ht="12.75" customHeight="1" x14ac:dyDescent="0.2">
      <c r="E64"/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x14ac:dyDescent="0.2">
      <c r="E97"/>
      <c r="I97"/>
      <c r="K97"/>
    </row>
    <row r="98" spans="5:11" x14ac:dyDescent="0.2">
      <c r="E98"/>
      <c r="I98"/>
      <c r="K98"/>
    </row>
    <row r="99" spans="5:11" x14ac:dyDescent="0.2">
      <c r="E99"/>
      <c r="I99"/>
      <c r="K99"/>
    </row>
  </sheetData>
  <sheetProtection password="EDB3" sheet="1" objects="1" scenarios="1"/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95" t="s">
        <v>382</v>
      </c>
      <c r="B1" s="126" t="s">
        <v>333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91</v>
      </c>
      <c r="C7" s="17"/>
      <c r="F7" s="14"/>
      <c r="G7" s="15"/>
      <c r="H7" s="16"/>
    </row>
    <row r="8" spans="1:16" ht="12.75" customHeight="1" x14ac:dyDescent="0.2">
      <c r="B8" s="17" t="s">
        <v>307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+MAX($A$8:A8)+1</f>
        <v>1</v>
      </c>
      <c r="B9" s="66" t="s">
        <v>559</v>
      </c>
      <c r="C9" t="s">
        <v>646</v>
      </c>
      <c r="D9" t="s">
        <v>560</v>
      </c>
      <c r="E9" s="29">
        <v>110</v>
      </c>
      <c r="F9" s="14">
        <v>546.78689999999995</v>
      </c>
      <c r="G9" s="15">
        <f t="shared" ref="G9:G14" si="0">+ROUND(F9/VLOOKUP("Grand Total",$B$4:$F$306,5,0),4)</f>
        <v>6.3100000000000003E-2</v>
      </c>
      <c r="H9" s="16">
        <v>43181</v>
      </c>
      <c r="I9" s="65"/>
      <c r="J9" s="15" t="s">
        <v>108</v>
      </c>
      <c r="K9" s="49">
        <f t="shared" ref="K9:K21" si="1">SUMIFS($G$5:$G$329,$D$5:$D$329,J9)</f>
        <v>0.27560000000000001</v>
      </c>
    </row>
    <row r="10" spans="1:16" ht="12.75" customHeight="1" x14ac:dyDescent="0.2">
      <c r="A10">
        <f>+MAX($A$8:A9)+1</f>
        <v>2</v>
      </c>
      <c r="B10" s="1" t="s">
        <v>572</v>
      </c>
      <c r="C10" t="s">
        <v>645</v>
      </c>
      <c r="D10" t="s">
        <v>291</v>
      </c>
      <c r="E10" s="29">
        <v>100</v>
      </c>
      <c r="F10" s="14">
        <v>499.62200000000001</v>
      </c>
      <c r="G10" s="15">
        <f t="shared" si="0"/>
        <v>5.7700000000000001E-2</v>
      </c>
      <c r="H10" s="16">
        <v>43164</v>
      </c>
      <c r="I10" s="65"/>
      <c r="J10" s="15" t="s">
        <v>560</v>
      </c>
      <c r="K10" s="49">
        <f t="shared" si="1"/>
        <v>9.69E-2</v>
      </c>
    </row>
    <row r="11" spans="1:16" ht="12.75" customHeight="1" x14ac:dyDescent="0.2">
      <c r="A11">
        <f>+MAX($A$8:A10)+1</f>
        <v>3</v>
      </c>
      <c r="B11" s="1" t="s">
        <v>648</v>
      </c>
      <c r="C11" t="s">
        <v>649</v>
      </c>
      <c r="D11" t="s">
        <v>328</v>
      </c>
      <c r="E11" s="29">
        <v>100</v>
      </c>
      <c r="F11" s="14">
        <v>497.59649999999999</v>
      </c>
      <c r="G11" s="15">
        <f t="shared" si="0"/>
        <v>5.7500000000000002E-2</v>
      </c>
      <c r="H11" s="16">
        <v>43185</v>
      </c>
      <c r="I11" s="65"/>
      <c r="J11" s="15" t="s">
        <v>364</v>
      </c>
      <c r="K11" s="49">
        <f t="shared" si="1"/>
        <v>9.3899999999999997E-2</v>
      </c>
    </row>
    <row r="12" spans="1:16" ht="12.75" customHeight="1" x14ac:dyDescent="0.2">
      <c r="A12">
        <f>+MAX($A$8:A11)+1</f>
        <v>4</v>
      </c>
      <c r="B12" s="1" t="s">
        <v>292</v>
      </c>
      <c r="C12" t="s">
        <v>595</v>
      </c>
      <c r="D12" t="s">
        <v>571</v>
      </c>
      <c r="E12" s="29">
        <v>80</v>
      </c>
      <c r="F12" s="14">
        <v>375.35399999999998</v>
      </c>
      <c r="G12" s="15">
        <f t="shared" si="0"/>
        <v>4.3299999999999998E-2</v>
      </c>
      <c r="H12" s="16">
        <v>43426</v>
      </c>
      <c r="I12" s="65"/>
      <c r="J12" s="15" t="s">
        <v>293</v>
      </c>
      <c r="K12" s="49">
        <f t="shared" si="1"/>
        <v>8.6199999999999999E-2</v>
      </c>
    </row>
    <row r="13" spans="1:16" ht="12.75" customHeight="1" x14ac:dyDescent="0.2">
      <c r="A13">
        <f>+MAX($A$8:A12)+1</f>
        <v>5</v>
      </c>
      <c r="B13" s="1" t="s">
        <v>559</v>
      </c>
      <c r="C13" t="s">
        <v>708</v>
      </c>
      <c r="D13" t="s">
        <v>560</v>
      </c>
      <c r="E13" s="29">
        <v>60</v>
      </c>
      <c r="F13" s="14">
        <v>292.61880000000002</v>
      </c>
      <c r="G13" s="15">
        <f t="shared" si="0"/>
        <v>3.3799999999999997E-2</v>
      </c>
      <c r="H13" s="16">
        <v>43245</v>
      </c>
      <c r="I13" s="65"/>
      <c r="J13" s="15" t="s">
        <v>571</v>
      </c>
      <c r="K13" s="49">
        <f t="shared" si="1"/>
        <v>7.6399999999999996E-2</v>
      </c>
    </row>
    <row r="14" spans="1:16" ht="12.75" customHeight="1" x14ac:dyDescent="0.2">
      <c r="A14">
        <f>+MAX($A$8:A13)+1</f>
        <v>6</v>
      </c>
      <c r="B14" s="1" t="s">
        <v>292</v>
      </c>
      <c r="C14" t="s">
        <v>557</v>
      </c>
      <c r="D14" t="s">
        <v>571</v>
      </c>
      <c r="E14" s="29">
        <v>60</v>
      </c>
      <c r="F14" s="14">
        <v>286.63139999999999</v>
      </c>
      <c r="G14" s="15">
        <f t="shared" si="0"/>
        <v>3.3099999999999997E-2</v>
      </c>
      <c r="H14" s="16">
        <v>43350</v>
      </c>
      <c r="I14" s="65"/>
      <c r="J14" s="15" t="s">
        <v>632</v>
      </c>
      <c r="K14" s="49">
        <f t="shared" si="1"/>
        <v>7.3999999999999996E-2</v>
      </c>
    </row>
    <row r="15" spans="1:16" ht="12.75" customHeight="1" x14ac:dyDescent="0.2">
      <c r="B15" s="19" t="s">
        <v>85</v>
      </c>
      <c r="C15" s="19"/>
      <c r="D15" s="19"/>
      <c r="E15" s="30"/>
      <c r="F15" s="20">
        <f>SUM(F9:F14)</f>
        <v>2498.6095999999998</v>
      </c>
      <c r="G15" s="21">
        <f>SUM(G9:G14)</f>
        <v>0.28850000000000003</v>
      </c>
      <c r="H15" s="22"/>
      <c r="J15" t="s">
        <v>367</v>
      </c>
      <c r="K15" s="49">
        <f t="shared" si="1"/>
        <v>6.0400000000000002E-2</v>
      </c>
      <c r="M15" s="15"/>
      <c r="N15" s="37"/>
      <c r="P15" s="15"/>
    </row>
    <row r="16" spans="1:16" ht="12.75" customHeight="1" x14ac:dyDescent="0.2">
      <c r="B16" s="17"/>
      <c r="C16" s="17"/>
      <c r="F16" s="14"/>
      <c r="G16" s="15"/>
      <c r="H16" s="16"/>
      <c r="J16" t="s">
        <v>291</v>
      </c>
      <c r="K16" s="49">
        <f t="shared" si="1"/>
        <v>5.7700000000000001E-2</v>
      </c>
    </row>
    <row r="17" spans="1:16" ht="12.75" customHeight="1" x14ac:dyDescent="0.2">
      <c r="B17" s="17" t="s">
        <v>167</v>
      </c>
      <c r="C17" s="17"/>
      <c r="F17" s="14"/>
      <c r="G17" s="15"/>
      <c r="H17" s="16"/>
      <c r="J17" s="82" t="s">
        <v>328</v>
      </c>
      <c r="K17" s="49">
        <f t="shared" si="1"/>
        <v>5.7500000000000002E-2</v>
      </c>
    </row>
    <row r="18" spans="1:16" ht="12.75" customHeight="1" x14ac:dyDescent="0.2">
      <c r="A18">
        <f>+MAX($A$8:A17)+1</f>
        <v>7</v>
      </c>
      <c r="B18" s="66" t="s">
        <v>589</v>
      </c>
      <c r="C18" t="s">
        <v>590</v>
      </c>
      <c r="D18" t="s">
        <v>404</v>
      </c>
      <c r="E18" s="29">
        <v>12000</v>
      </c>
      <c r="F18" s="14">
        <v>11.976036000000001</v>
      </c>
      <c r="G18" s="15">
        <f>+ROUND(F18/VLOOKUP("Grand Total",$B$4:$F$306,5,0),4)</f>
        <v>1.4E-3</v>
      </c>
      <c r="H18" s="16">
        <v>43172</v>
      </c>
      <c r="I18" s="65"/>
      <c r="J18" s="15" t="s">
        <v>470</v>
      </c>
      <c r="K18" s="49">
        <f t="shared" si="1"/>
        <v>5.7299999999999997E-2</v>
      </c>
    </row>
    <row r="19" spans="1:16" ht="12.75" customHeight="1" x14ac:dyDescent="0.2">
      <c r="B19" s="19" t="s">
        <v>85</v>
      </c>
      <c r="C19" s="19"/>
      <c r="D19" s="19"/>
      <c r="E19" s="30"/>
      <c r="F19" s="20">
        <f>SUM(F18:F18)</f>
        <v>11.976036000000001</v>
      </c>
      <c r="G19" s="21">
        <f>SUM(G18:G18)</f>
        <v>1.4E-3</v>
      </c>
      <c r="H19" s="22"/>
      <c r="J19" t="s">
        <v>169</v>
      </c>
      <c r="K19" s="49">
        <f t="shared" si="1"/>
        <v>1.1599999999999999E-2</v>
      </c>
      <c r="M19" s="15"/>
      <c r="N19" s="37"/>
      <c r="P19" s="15"/>
    </row>
    <row r="20" spans="1:16" ht="12.75" customHeight="1" x14ac:dyDescent="0.2">
      <c r="B20" s="17"/>
      <c r="C20" s="17"/>
      <c r="F20" s="14"/>
      <c r="G20" s="15"/>
      <c r="H20" s="16"/>
      <c r="J20" s="15" t="s">
        <v>532</v>
      </c>
      <c r="K20" s="49">
        <f t="shared" si="1"/>
        <v>1.1599999999999999E-2</v>
      </c>
    </row>
    <row r="21" spans="1:16" ht="12.75" customHeight="1" x14ac:dyDescent="0.2">
      <c r="B21" s="17" t="s">
        <v>125</v>
      </c>
      <c r="C21" s="17"/>
      <c r="F21" s="14"/>
      <c r="G21" s="15"/>
      <c r="H21" s="16"/>
      <c r="I21" s="36"/>
      <c r="J21" s="15" t="s">
        <v>404</v>
      </c>
      <c r="K21" s="49">
        <f t="shared" si="1"/>
        <v>1.4E-3</v>
      </c>
      <c r="N21" s="37"/>
      <c r="P21" s="15"/>
    </row>
    <row r="22" spans="1:16" ht="12.75" customHeight="1" x14ac:dyDescent="0.2">
      <c r="B22" s="32" t="s">
        <v>407</v>
      </c>
      <c r="C22" s="17"/>
      <c r="F22" s="14"/>
      <c r="G22" s="15"/>
      <c r="H22" s="16"/>
      <c r="J22" s="15" t="s">
        <v>64</v>
      </c>
      <c r="K22" s="49">
        <f>+SUMIFS($G$5:$G$996,$B$5:$B$996,"CBLO / Reverse Repo Investments")+SUMIFS($G$5:$G$996,$B$5:$B$996,"Net Receivable/Payable")</f>
        <v>3.9499999999999993E-2</v>
      </c>
      <c r="M22" s="15"/>
      <c r="N22" s="37"/>
      <c r="P22" s="15"/>
    </row>
    <row r="23" spans="1:16" ht="12.75" customHeight="1" x14ac:dyDescent="0.2">
      <c r="A23">
        <f>+MAX($A$8:A22)+1</f>
        <v>8</v>
      </c>
      <c r="B23" s="66" t="s">
        <v>678</v>
      </c>
      <c r="C23" s="122" t="s">
        <v>647</v>
      </c>
      <c r="D23" t="s">
        <v>632</v>
      </c>
      <c r="E23" s="29">
        <v>70</v>
      </c>
      <c r="F23" s="14">
        <v>641.07259999999997</v>
      </c>
      <c r="G23" s="15">
        <f t="shared" ref="G23:G35" si="2">+ROUND(F23/VLOOKUP("Grand Total",$B$4:$F$299,5,0),4)</f>
        <v>7.3999999999999996E-2</v>
      </c>
      <c r="H23" s="16">
        <v>43826</v>
      </c>
      <c r="I23" s="65"/>
      <c r="J23" s="15"/>
      <c r="K23" s="49"/>
      <c r="L23" s="55"/>
      <c r="M23" s="15"/>
    </row>
    <row r="24" spans="1:16" s="1" customFormat="1" ht="12.75" customHeight="1" x14ac:dyDescent="0.2">
      <c r="A24">
        <f>+MAX($A$8:A23)+1</f>
        <v>9</v>
      </c>
      <c r="B24" s="1" t="s">
        <v>735</v>
      </c>
      <c r="C24" s="1" t="s">
        <v>487</v>
      </c>
      <c r="D24" s="1" t="s">
        <v>293</v>
      </c>
      <c r="E24" s="58">
        <v>55</v>
      </c>
      <c r="F24" s="59">
        <v>547.33910000000003</v>
      </c>
      <c r="G24" s="15">
        <f t="shared" si="2"/>
        <v>6.3200000000000006E-2</v>
      </c>
      <c r="H24" s="61">
        <v>43630</v>
      </c>
      <c r="I24" s="65"/>
      <c r="J24" s="15"/>
      <c r="K24" s="37"/>
      <c r="L24" s="55"/>
      <c r="M24" s="15"/>
      <c r="N24" s="62"/>
      <c r="P24" s="60"/>
    </row>
    <row r="25" spans="1:16" s="1" customFormat="1" ht="12.75" customHeight="1" x14ac:dyDescent="0.2">
      <c r="A25">
        <f>+MAX($A$8:A24)+1</f>
        <v>10</v>
      </c>
      <c r="B25" s="1" t="s">
        <v>737</v>
      </c>
      <c r="C25" s="1" t="s">
        <v>422</v>
      </c>
      <c r="D25" s="1" t="s">
        <v>364</v>
      </c>
      <c r="E25" s="58">
        <v>51000</v>
      </c>
      <c r="F25" s="59">
        <v>512.15526</v>
      </c>
      <c r="G25" s="15">
        <f t="shared" si="2"/>
        <v>5.91E-2</v>
      </c>
      <c r="H25" s="61">
        <v>43717</v>
      </c>
      <c r="I25" s="65"/>
      <c r="J25"/>
      <c r="K25" s="37"/>
      <c r="M25" s="60"/>
      <c r="N25" s="62"/>
      <c r="P25" s="60"/>
    </row>
    <row r="26" spans="1:16" s="1" customFormat="1" ht="12.75" customHeight="1" x14ac:dyDescent="0.2">
      <c r="A26">
        <f>+MAX($A$8:A25)+1</f>
        <v>11</v>
      </c>
      <c r="B26" s="66" t="s">
        <v>740</v>
      </c>
      <c r="C26" s="1" t="s">
        <v>615</v>
      </c>
      <c r="D26" s="1" t="s">
        <v>108</v>
      </c>
      <c r="E26" s="58">
        <v>50</v>
      </c>
      <c r="F26" s="59">
        <v>500.94299999999998</v>
      </c>
      <c r="G26" s="15">
        <f t="shared" si="2"/>
        <v>5.7799999999999997E-2</v>
      </c>
      <c r="H26" s="61">
        <v>43584</v>
      </c>
      <c r="I26" s="65"/>
      <c r="N26" s="62"/>
      <c r="P26" s="60"/>
    </row>
    <row r="27" spans="1:16" s="1" customFormat="1" ht="12.75" customHeight="1" x14ac:dyDescent="0.2">
      <c r="A27">
        <f>+MAX($A$8:A26)+1</f>
        <v>12</v>
      </c>
      <c r="B27" s="66" t="s">
        <v>711</v>
      </c>
      <c r="C27" s="1" t="s">
        <v>469</v>
      </c>
      <c r="D27" s="1" t="s">
        <v>470</v>
      </c>
      <c r="E27" s="58">
        <v>50</v>
      </c>
      <c r="F27" s="59">
        <v>496.524</v>
      </c>
      <c r="G27" s="15">
        <f t="shared" si="2"/>
        <v>5.7299999999999997E-2</v>
      </c>
      <c r="H27" s="61">
        <v>44693</v>
      </c>
      <c r="I27" s="65"/>
      <c r="N27" s="62"/>
      <c r="P27" s="60"/>
    </row>
    <row r="28" spans="1:16" s="1" customFormat="1" ht="12.75" customHeight="1" x14ac:dyDescent="0.2">
      <c r="A28">
        <f>+MAX($A$8:A27)+1</f>
        <v>13</v>
      </c>
      <c r="B28" s="1" t="s">
        <v>677</v>
      </c>
      <c r="C28" s="1" t="s">
        <v>563</v>
      </c>
      <c r="D28" s="1" t="s">
        <v>108</v>
      </c>
      <c r="E28" s="58">
        <v>50</v>
      </c>
      <c r="F28" s="59">
        <v>489.82650000000001</v>
      </c>
      <c r="G28" s="15">
        <f t="shared" si="2"/>
        <v>5.6599999999999998E-2</v>
      </c>
      <c r="H28" s="61">
        <v>44104</v>
      </c>
      <c r="I28" s="65"/>
      <c r="N28" s="62"/>
      <c r="P28" s="60"/>
    </row>
    <row r="29" spans="1:16" s="1" customFormat="1" ht="12.75" customHeight="1" x14ac:dyDescent="0.2">
      <c r="A29">
        <f>+MAX($A$8:A28)+1</f>
        <v>14</v>
      </c>
      <c r="B29" s="1" t="s">
        <v>741</v>
      </c>
      <c r="C29" s="1" t="s">
        <v>712</v>
      </c>
      <c r="D29" s="1" t="s">
        <v>108</v>
      </c>
      <c r="E29" s="58">
        <v>50</v>
      </c>
      <c r="F29" s="59">
        <v>487.24700000000001</v>
      </c>
      <c r="G29" s="15">
        <f t="shared" si="2"/>
        <v>5.6300000000000003E-2</v>
      </c>
      <c r="H29" s="61">
        <v>44090</v>
      </c>
      <c r="I29" s="65"/>
      <c r="N29" s="62"/>
      <c r="P29" s="60"/>
    </row>
    <row r="30" spans="1:16" s="1" customFormat="1" ht="12.75" customHeight="1" x14ac:dyDescent="0.2">
      <c r="A30">
        <f>+MAX($A$8:A29)+1</f>
        <v>15</v>
      </c>
      <c r="B30" s="1" t="s">
        <v>742</v>
      </c>
      <c r="C30" s="1" t="s">
        <v>511</v>
      </c>
      <c r="D30" s="1" t="s">
        <v>108</v>
      </c>
      <c r="E30" s="58">
        <v>32</v>
      </c>
      <c r="F30" s="59">
        <v>406.22039999999998</v>
      </c>
      <c r="G30" s="15">
        <f t="shared" si="2"/>
        <v>4.6899999999999997E-2</v>
      </c>
      <c r="H30" s="61">
        <v>43757</v>
      </c>
      <c r="I30" s="65"/>
      <c r="N30" s="62"/>
      <c r="P30" s="60"/>
    </row>
    <row r="31" spans="1:16" s="1" customFormat="1" ht="12.75" customHeight="1" x14ac:dyDescent="0.2">
      <c r="A31">
        <f>+MAX($A$8:A30)+1</f>
        <v>16</v>
      </c>
      <c r="B31" s="1" t="s">
        <v>670</v>
      </c>
      <c r="C31" s="1" t="s">
        <v>533</v>
      </c>
      <c r="D31" s="1" t="s">
        <v>364</v>
      </c>
      <c r="E31" s="58">
        <v>30000</v>
      </c>
      <c r="F31" s="59">
        <v>301.47239999999999</v>
      </c>
      <c r="G31" s="15">
        <f t="shared" si="2"/>
        <v>3.4799999999999998E-2</v>
      </c>
      <c r="H31" s="61">
        <v>43717</v>
      </c>
      <c r="I31" s="65"/>
      <c r="N31" s="62"/>
      <c r="P31" s="60"/>
    </row>
    <row r="32" spans="1:16" s="1" customFormat="1" ht="12.75" customHeight="1" x14ac:dyDescent="0.2">
      <c r="A32">
        <f>+MAX($A$8:A31)+1</f>
        <v>17</v>
      </c>
      <c r="B32" s="66" t="s">
        <v>513</v>
      </c>
      <c r="C32" s="1" t="s">
        <v>514</v>
      </c>
      <c r="D32" s="1" t="s">
        <v>108</v>
      </c>
      <c r="E32" s="58">
        <v>30</v>
      </c>
      <c r="F32" s="59">
        <v>297.30329999999998</v>
      </c>
      <c r="G32" s="15">
        <f t="shared" si="2"/>
        <v>3.4299999999999997E-2</v>
      </c>
      <c r="H32" s="61">
        <v>44091</v>
      </c>
      <c r="I32" s="65"/>
      <c r="N32" s="62"/>
      <c r="P32" s="60"/>
    </row>
    <row r="33" spans="1:16" s="1" customFormat="1" ht="12.75" customHeight="1" x14ac:dyDescent="0.2">
      <c r="A33">
        <f>+MAX($A$8:A32)+1</f>
        <v>18</v>
      </c>
      <c r="B33" s="1" t="s">
        <v>679</v>
      </c>
      <c r="C33" s="1" t="s">
        <v>650</v>
      </c>
      <c r="D33" s="1" t="s">
        <v>293</v>
      </c>
      <c r="E33" s="58">
        <v>20</v>
      </c>
      <c r="F33" s="59">
        <v>198.9528</v>
      </c>
      <c r="G33" s="15">
        <f t="shared" si="2"/>
        <v>2.3E-2</v>
      </c>
      <c r="H33" s="61">
        <v>43643</v>
      </c>
      <c r="I33" s="65"/>
      <c r="N33" s="62"/>
      <c r="P33" s="60"/>
    </row>
    <row r="34" spans="1:16" s="1" customFormat="1" ht="12.75" customHeight="1" x14ac:dyDescent="0.2">
      <c r="A34">
        <f>+MAX($A$8:A33)+1</f>
        <v>19</v>
      </c>
      <c r="B34" s="1" t="s">
        <v>743</v>
      </c>
      <c r="C34" s="1" t="s">
        <v>596</v>
      </c>
      <c r="D34" s="1" t="s">
        <v>108</v>
      </c>
      <c r="E34" s="58">
        <v>10</v>
      </c>
      <c r="F34" s="59">
        <v>104.3676</v>
      </c>
      <c r="G34" s="15">
        <f t="shared" si="2"/>
        <v>1.21E-2</v>
      </c>
      <c r="H34" s="61">
        <v>44418</v>
      </c>
      <c r="I34" s="65"/>
      <c r="N34" s="62"/>
      <c r="P34" s="60"/>
    </row>
    <row r="35" spans="1:16" s="1" customFormat="1" ht="12.75" customHeight="1" x14ac:dyDescent="0.2">
      <c r="A35">
        <f>+MAX($A$8:A34)+1</f>
        <v>20</v>
      </c>
      <c r="B35" s="1" t="s">
        <v>744</v>
      </c>
      <c r="C35" s="1" t="s">
        <v>616</v>
      </c>
      <c r="D35" s="1" t="s">
        <v>108</v>
      </c>
      <c r="E35" s="58">
        <v>10</v>
      </c>
      <c r="F35" s="59">
        <v>100.7841</v>
      </c>
      <c r="G35" s="15">
        <f t="shared" si="2"/>
        <v>1.1599999999999999E-2</v>
      </c>
      <c r="H35" s="61">
        <v>43480</v>
      </c>
      <c r="I35" s="65"/>
      <c r="N35" s="62"/>
      <c r="P35" s="60"/>
    </row>
    <row r="36" spans="1:16" s="1" customFormat="1" ht="12.75" customHeight="1" x14ac:dyDescent="0.2">
      <c r="A36">
        <f>+MAX($A$8:A35)+1</f>
        <v>21</v>
      </c>
      <c r="B36" s="1" t="s">
        <v>738</v>
      </c>
      <c r="C36" s="1" t="s">
        <v>352</v>
      </c>
      <c r="D36" s="1" t="s">
        <v>532</v>
      </c>
      <c r="E36" s="58">
        <v>10</v>
      </c>
      <c r="F36" s="59">
        <v>100.4512</v>
      </c>
      <c r="G36" s="15">
        <f t="shared" ref="G36:G37" si="3">+ROUND(F36/VLOOKUP("Grand Total",$B$4:$F$299,5,0),4)</f>
        <v>1.1599999999999999E-2</v>
      </c>
      <c r="H36" s="61">
        <v>43309</v>
      </c>
      <c r="I36" s="65"/>
      <c r="N36" s="62"/>
      <c r="P36" s="60"/>
    </row>
    <row r="37" spans="1:16" s="1" customFormat="1" ht="12.75" customHeight="1" x14ac:dyDescent="0.2">
      <c r="A37">
        <f>+MAX($A$8:A36)+1</f>
        <v>22</v>
      </c>
      <c r="B37" s="1" t="s">
        <v>676</v>
      </c>
      <c r="C37" s="1" t="s">
        <v>170</v>
      </c>
      <c r="D37" s="1" t="s">
        <v>169</v>
      </c>
      <c r="E37" s="58">
        <v>10</v>
      </c>
      <c r="F37" s="59">
        <v>100.14409999999999</v>
      </c>
      <c r="G37" s="15">
        <f t="shared" si="3"/>
        <v>1.1599999999999999E-2</v>
      </c>
      <c r="H37" s="61">
        <v>43259</v>
      </c>
      <c r="I37" s="65"/>
      <c r="N37" s="62"/>
      <c r="P37" s="60"/>
    </row>
    <row r="38" spans="1:16" ht="12.75" customHeight="1" x14ac:dyDescent="0.2">
      <c r="B38" s="19" t="s">
        <v>85</v>
      </c>
      <c r="C38" s="19"/>
      <c r="D38" s="19"/>
      <c r="E38" s="30"/>
      <c r="F38" s="20">
        <f>SUM(F23:F37)</f>
        <v>5284.8033599999999</v>
      </c>
      <c r="G38" s="21">
        <f>SUM(G23:G37)</f>
        <v>0.61020000000000008</v>
      </c>
      <c r="H38" s="22"/>
      <c r="I38" s="36"/>
    </row>
    <row r="39" spans="1:16" s="47" customFormat="1" ht="12.75" customHeight="1" x14ac:dyDescent="0.2">
      <c r="B39" s="68"/>
      <c r="C39" s="68"/>
      <c r="D39" s="68"/>
      <c r="E39" s="69"/>
      <c r="F39" s="70"/>
      <c r="G39" s="71"/>
      <c r="H39" s="72"/>
      <c r="I39" s="72"/>
      <c r="K39" s="49"/>
    </row>
    <row r="40" spans="1:16" ht="12.75" customHeight="1" x14ac:dyDescent="0.2">
      <c r="B40" s="17" t="s">
        <v>541</v>
      </c>
      <c r="C40" s="17"/>
      <c r="F40" s="14"/>
      <c r="G40" s="15"/>
      <c r="H40" s="16"/>
      <c r="J40" s="18"/>
      <c r="K40" s="38"/>
    </row>
    <row r="41" spans="1:16" ht="12.75" customHeight="1" x14ac:dyDescent="0.2">
      <c r="A41">
        <f>+MAX($A$8:A40)+1</f>
        <v>23</v>
      </c>
      <c r="B41" s="66" t="s">
        <v>537</v>
      </c>
      <c r="C41" t="s">
        <v>538</v>
      </c>
      <c r="D41" t="s">
        <v>367</v>
      </c>
      <c r="E41" s="29">
        <v>50</v>
      </c>
      <c r="F41" s="14">
        <v>523.42349999999999</v>
      </c>
      <c r="G41" s="15">
        <f>+ROUND(F41/VLOOKUP("Grand Total",$B$4:$F$306,5,0),4)</f>
        <v>6.0400000000000002E-2</v>
      </c>
      <c r="H41" s="16">
        <v>43321</v>
      </c>
      <c r="I41" s="65"/>
      <c r="J41" s="15"/>
      <c r="K41" s="49"/>
    </row>
    <row r="42" spans="1:16" ht="12.75" customHeight="1" x14ac:dyDescent="0.2">
      <c r="B42" s="19" t="s">
        <v>85</v>
      </c>
      <c r="C42" s="19"/>
      <c r="D42" s="19"/>
      <c r="E42" s="30"/>
      <c r="F42" s="20">
        <f>SUM(F41:F41)</f>
        <v>523.42349999999999</v>
      </c>
      <c r="G42" s="21">
        <f>SUM(G41:G41)</f>
        <v>6.0400000000000002E-2</v>
      </c>
      <c r="H42" s="22"/>
      <c r="K42" s="49"/>
      <c r="M42" s="15"/>
      <c r="N42" s="37"/>
      <c r="P42" s="15"/>
    </row>
    <row r="43" spans="1:16" s="47" customFormat="1" ht="12.75" customHeight="1" x14ac:dyDescent="0.2">
      <c r="B43" s="68"/>
      <c r="C43" s="68"/>
      <c r="D43" s="68"/>
      <c r="E43" s="69"/>
      <c r="F43" s="70"/>
      <c r="G43" s="71"/>
      <c r="H43" s="72"/>
      <c r="I43" s="72"/>
      <c r="K43" s="49"/>
    </row>
    <row r="44" spans="1:16" ht="12.75" customHeight="1" x14ac:dyDescent="0.2">
      <c r="A44" s="96" t="s">
        <v>371</v>
      </c>
      <c r="B44" s="17" t="s">
        <v>93</v>
      </c>
      <c r="C44" s="17"/>
      <c r="F44" s="14">
        <v>100.16428000000001</v>
      </c>
      <c r="G44" s="15">
        <f>+ROUND(F44/VLOOKUP("Grand Total",$B$4:$F$306,5,0),4)</f>
        <v>1.1599999999999999E-2</v>
      </c>
      <c r="H44" s="16">
        <v>43160</v>
      </c>
    </row>
    <row r="45" spans="1:16" ht="12.75" customHeight="1" x14ac:dyDescent="0.2">
      <c r="B45" s="19" t="s">
        <v>85</v>
      </c>
      <c r="C45" s="19"/>
      <c r="D45" s="19"/>
      <c r="E45" s="30"/>
      <c r="F45" s="20">
        <f>SUM(F44)</f>
        <v>100.16428000000001</v>
      </c>
      <c r="G45" s="21">
        <f>SUM(G44)</f>
        <v>1.1599999999999999E-2</v>
      </c>
      <c r="H45" s="22"/>
    </row>
    <row r="46" spans="1:16" ht="12.75" customHeight="1" x14ac:dyDescent="0.2">
      <c r="F46" s="14"/>
      <c r="G46" s="15"/>
      <c r="H46" s="16"/>
      <c r="I46" s="36"/>
    </row>
    <row r="47" spans="1:16" ht="12.75" customHeight="1" x14ac:dyDescent="0.2">
      <c r="B47" s="17" t="s">
        <v>94</v>
      </c>
      <c r="C47" s="17"/>
      <c r="F47" s="14"/>
      <c r="G47" s="15"/>
      <c r="H47" s="16"/>
    </row>
    <row r="48" spans="1:16" ht="12.75" customHeight="1" x14ac:dyDescent="0.2">
      <c r="B48" s="17" t="s">
        <v>95</v>
      </c>
      <c r="C48" s="17"/>
      <c r="F48" s="14">
        <v>240.79227159999937</v>
      </c>
      <c r="G48" s="15">
        <f>+ROUND(F48/VLOOKUP("Grand Total",$B$4:$F$306,5,0),4)+0.01%</f>
        <v>2.7899999999999998E-2</v>
      </c>
      <c r="H48" s="16"/>
    </row>
    <row r="49" spans="2:9" ht="12.75" customHeight="1" x14ac:dyDescent="0.2">
      <c r="B49" s="19" t="s">
        <v>85</v>
      </c>
      <c r="C49" s="19"/>
      <c r="D49" s="19"/>
      <c r="E49" s="30"/>
      <c r="F49" s="20">
        <f>SUM(F48)</f>
        <v>240.79227159999937</v>
      </c>
      <c r="G49" s="21">
        <f>SUM(G48)</f>
        <v>2.7899999999999998E-2</v>
      </c>
      <c r="H49" s="22"/>
      <c r="I49" s="36"/>
    </row>
    <row r="50" spans="2:9" ht="12.75" customHeight="1" x14ac:dyDescent="0.2">
      <c r="B50" s="23" t="s">
        <v>96</v>
      </c>
      <c r="C50" s="23"/>
      <c r="D50" s="23"/>
      <c r="E50" s="31"/>
      <c r="F50" s="24">
        <f>+SUMIF($B$5:B49,"Total",$F$5:F49)</f>
        <v>8659.7690476000007</v>
      </c>
      <c r="G50" s="25">
        <f>+SUMIF($B$5:B49,"Total",$G$5:G49)</f>
        <v>1.0000000000000002</v>
      </c>
      <c r="H50" s="26"/>
    </row>
    <row r="51" spans="2:9" ht="12.75" customHeight="1" x14ac:dyDescent="0.2"/>
    <row r="52" spans="2:9" ht="12.75" customHeight="1" x14ac:dyDescent="0.2">
      <c r="B52" s="17" t="s">
        <v>634</v>
      </c>
      <c r="C52" s="17"/>
    </row>
    <row r="53" spans="2:9" ht="12.75" customHeight="1" x14ac:dyDescent="0.2">
      <c r="B53" s="17" t="s">
        <v>188</v>
      </c>
      <c r="C53" s="17"/>
      <c r="I53" s="36"/>
    </row>
    <row r="54" spans="2:9" ht="12.75" customHeight="1" x14ac:dyDescent="0.2">
      <c r="B54" s="17" t="s">
        <v>760</v>
      </c>
      <c r="C54" s="17"/>
      <c r="I54" s="36"/>
    </row>
    <row r="55" spans="2:9" ht="12.75" customHeight="1" x14ac:dyDescent="0.2">
      <c r="B55" s="17"/>
      <c r="C55" s="17"/>
    </row>
    <row r="56" spans="2:9" ht="12.75" customHeight="1" x14ac:dyDescent="0.2">
      <c r="B56" s="17"/>
      <c r="C56" s="17"/>
    </row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</sheetData>
  <sheetProtection password="EDB3" sheet="1" objects="1" scenarios="1"/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7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95" t="s">
        <v>383</v>
      </c>
      <c r="B1" s="126" t="s">
        <v>193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91</v>
      </c>
      <c r="F7" s="14"/>
      <c r="G7" s="15"/>
      <c r="H7" s="16"/>
    </row>
    <row r="8" spans="1:16" ht="12.75" customHeight="1" x14ac:dyDescent="0.2">
      <c r="B8" s="17" t="s">
        <v>307</v>
      </c>
      <c r="C8" s="17"/>
      <c r="F8" s="14"/>
      <c r="G8" s="15"/>
      <c r="H8" s="16"/>
      <c r="I8" s="65"/>
      <c r="L8" s="55"/>
      <c r="M8" s="15"/>
      <c r="N8" s="37"/>
      <c r="P8" s="15"/>
    </row>
    <row r="9" spans="1:16" ht="12.75" customHeight="1" x14ac:dyDescent="0.2">
      <c r="A9">
        <f>+MAX($A8:A$8)+1</f>
        <v>1</v>
      </c>
      <c r="B9" s="1" t="s">
        <v>292</v>
      </c>
      <c r="C9" t="s">
        <v>557</v>
      </c>
      <c r="D9" t="s">
        <v>571</v>
      </c>
      <c r="E9" s="29">
        <v>100</v>
      </c>
      <c r="F9" s="14">
        <v>477.71899999999999</v>
      </c>
      <c r="G9" s="15">
        <f>+ROUND(F9/VLOOKUP("Grand Total",$B$4:$F$298,5,0),4)</f>
        <v>4.2299999999999997E-2</v>
      </c>
      <c r="H9" s="16">
        <v>43350</v>
      </c>
      <c r="I9" s="65"/>
      <c r="J9" s="18" t="s">
        <v>699</v>
      </c>
      <c r="K9" s="38" t="s">
        <v>13</v>
      </c>
    </row>
    <row r="10" spans="1:16" ht="12.75" customHeight="1" x14ac:dyDescent="0.2">
      <c r="B10" s="19" t="s">
        <v>85</v>
      </c>
      <c r="C10" s="19"/>
      <c r="D10" s="19"/>
      <c r="E10" s="30"/>
      <c r="F10" s="20">
        <f>SUM(F9:F9)</f>
        <v>477.71899999999999</v>
      </c>
      <c r="G10" s="21">
        <f>SUM(G9:G9)</f>
        <v>4.2299999999999997E-2</v>
      </c>
      <c r="H10" s="22"/>
      <c r="I10" s="65"/>
      <c r="J10" s="15" t="s">
        <v>404</v>
      </c>
      <c r="K10" s="49">
        <f t="shared" ref="K10:K17" si="0">SUMIFS($G$5:$G$335,$D$5:$D$335,J10)</f>
        <v>0.57930000000000004</v>
      </c>
    </row>
    <row r="11" spans="1:16" ht="12.75" customHeight="1" x14ac:dyDescent="0.2">
      <c r="F11" s="14"/>
      <c r="G11" s="15"/>
      <c r="H11" s="16"/>
      <c r="J11" s="91" t="s">
        <v>108</v>
      </c>
      <c r="K11" s="49">
        <f t="shared" si="0"/>
        <v>0.17660000000000001</v>
      </c>
    </row>
    <row r="12" spans="1:16" ht="12.75" customHeight="1" x14ac:dyDescent="0.2">
      <c r="B12" s="17" t="s">
        <v>168</v>
      </c>
      <c r="C12" s="17"/>
      <c r="F12" s="14"/>
      <c r="G12" s="15"/>
      <c r="H12" s="16"/>
      <c r="I12" s="65"/>
      <c r="J12" t="s">
        <v>364</v>
      </c>
      <c r="K12" s="49">
        <f t="shared" si="0"/>
        <v>6.2100000000000002E-2</v>
      </c>
      <c r="L12" s="55"/>
      <c r="M12" s="15"/>
      <c r="N12" s="37"/>
      <c r="P12" s="15"/>
    </row>
    <row r="13" spans="1:16" ht="12.75" customHeight="1" x14ac:dyDescent="0.2">
      <c r="A13">
        <f>+MAX($A$8:A12)+1</f>
        <v>2</v>
      </c>
      <c r="B13" s="1" t="s">
        <v>597</v>
      </c>
      <c r="C13" t="s">
        <v>598</v>
      </c>
      <c r="D13" t="s">
        <v>404</v>
      </c>
      <c r="E13" s="29">
        <v>1800000</v>
      </c>
      <c r="F13" s="14">
        <v>1749.9780000000001</v>
      </c>
      <c r="G13" s="15">
        <f t="shared" ref="G13:G21" si="1">+ROUND(F13/VLOOKUP("Grand Total",$B$4:$F$298,5,0),4)</f>
        <v>0.15479999999999999</v>
      </c>
      <c r="H13" s="16">
        <v>47197</v>
      </c>
      <c r="I13" s="65"/>
      <c r="J13" t="s">
        <v>470</v>
      </c>
      <c r="K13" s="49">
        <f t="shared" si="0"/>
        <v>4.3900000000000002E-2</v>
      </c>
    </row>
    <row r="14" spans="1:16" ht="12.75" customHeight="1" x14ac:dyDescent="0.2">
      <c r="A14">
        <f>+MAX($A$8:A13)+1</f>
        <v>3</v>
      </c>
      <c r="B14" s="1" t="s">
        <v>592</v>
      </c>
      <c r="C14" t="s">
        <v>593</v>
      </c>
      <c r="D14" t="s">
        <v>404</v>
      </c>
      <c r="E14" s="29">
        <v>850000</v>
      </c>
      <c r="F14" s="14">
        <v>789.14</v>
      </c>
      <c r="G14" s="15">
        <f t="shared" si="1"/>
        <v>6.9800000000000001E-2</v>
      </c>
      <c r="H14" s="16">
        <v>46522</v>
      </c>
      <c r="I14" s="65"/>
      <c r="J14" t="s">
        <v>174</v>
      </c>
      <c r="K14" s="49">
        <f t="shared" si="0"/>
        <v>4.3099999999999999E-2</v>
      </c>
    </row>
    <row r="15" spans="1:16" ht="12.75" customHeight="1" x14ac:dyDescent="0.2">
      <c r="A15">
        <f>+MAX($A$8:A14)+1</f>
        <v>4</v>
      </c>
      <c r="B15" s="1" t="s">
        <v>484</v>
      </c>
      <c r="C15" t="s">
        <v>485</v>
      </c>
      <c r="D15" t="s">
        <v>404</v>
      </c>
      <c r="E15" s="29">
        <v>700000</v>
      </c>
      <c r="F15" s="14">
        <v>702.45</v>
      </c>
      <c r="G15" s="15">
        <f t="shared" si="1"/>
        <v>6.2199999999999998E-2</v>
      </c>
      <c r="H15" s="16">
        <v>45275</v>
      </c>
      <c r="I15" s="65"/>
      <c r="J15" t="s">
        <v>571</v>
      </c>
      <c r="K15" s="49">
        <f t="shared" si="0"/>
        <v>4.2299999999999997E-2</v>
      </c>
    </row>
    <row r="16" spans="1:16" ht="12.75" customHeight="1" x14ac:dyDescent="0.2">
      <c r="A16">
        <f>+MAX($A$8:A15)+1</f>
        <v>5</v>
      </c>
      <c r="B16" s="1" t="s">
        <v>467</v>
      </c>
      <c r="C16" t="s">
        <v>468</v>
      </c>
      <c r="D16" t="s">
        <v>404</v>
      </c>
      <c r="E16" s="29">
        <v>700000</v>
      </c>
      <c r="F16" s="14">
        <v>682.71</v>
      </c>
      <c r="G16" s="15">
        <f t="shared" si="1"/>
        <v>6.0400000000000002E-2</v>
      </c>
      <c r="H16" s="16">
        <v>44914</v>
      </c>
      <c r="I16" s="65"/>
      <c r="J16" s="15" t="s">
        <v>633</v>
      </c>
      <c r="K16" s="49">
        <f t="shared" si="0"/>
        <v>1.77E-2</v>
      </c>
    </row>
    <row r="17" spans="1:16" ht="12.75" customHeight="1" x14ac:dyDescent="0.2">
      <c r="A17">
        <f>+MAX($A$8:A16)+1</f>
        <v>6</v>
      </c>
      <c r="B17" s="1" t="s">
        <v>600</v>
      </c>
      <c r="C17" t="s">
        <v>601</v>
      </c>
      <c r="D17" t="s">
        <v>404</v>
      </c>
      <c r="E17" s="29">
        <v>500000</v>
      </c>
      <c r="F17" s="14">
        <v>499.55</v>
      </c>
      <c r="G17" s="15">
        <f t="shared" si="1"/>
        <v>4.4200000000000003E-2</v>
      </c>
      <c r="H17" s="16">
        <v>45802</v>
      </c>
      <c r="I17" s="65"/>
      <c r="J17" t="s">
        <v>169</v>
      </c>
      <c r="K17" s="49">
        <f t="shared" si="0"/>
        <v>8.0000000000000002E-3</v>
      </c>
    </row>
    <row r="18" spans="1:16" ht="12.75" customHeight="1" x14ac:dyDescent="0.2">
      <c r="A18">
        <f>+MAX($A$8:A17)+1</f>
        <v>7</v>
      </c>
      <c r="B18" s="1" t="s">
        <v>597</v>
      </c>
      <c r="C18" t="s">
        <v>651</v>
      </c>
      <c r="D18" t="s">
        <v>404</v>
      </c>
      <c r="E18" s="29">
        <v>500000</v>
      </c>
      <c r="F18" s="14">
        <v>489.75</v>
      </c>
      <c r="G18" s="15">
        <f t="shared" si="1"/>
        <v>4.3299999999999998E-2</v>
      </c>
      <c r="H18" s="16">
        <v>46033</v>
      </c>
      <c r="I18" s="65"/>
      <c r="J18" s="15" t="s">
        <v>64</v>
      </c>
      <c r="K18" s="49">
        <f>+SUMIFS($G$5:$G$996,$B$5:$B$996,"CBLO / Reverse Repo Investments")+SUMIFS($G$5:$G$996,$B$5:$B$996,"Net Receivable/Payable")</f>
        <v>2.7E-2</v>
      </c>
    </row>
    <row r="19" spans="1:16" ht="12.75" customHeight="1" x14ac:dyDescent="0.2">
      <c r="A19">
        <f>+MAX($A$8:A18)+1</f>
        <v>8</v>
      </c>
      <c r="B19" s="1" t="s">
        <v>657</v>
      </c>
      <c r="C19" t="s">
        <v>658</v>
      </c>
      <c r="D19" t="s">
        <v>404</v>
      </c>
      <c r="E19" s="29">
        <v>500000</v>
      </c>
      <c r="F19" s="14">
        <v>481</v>
      </c>
      <c r="G19" s="15">
        <f t="shared" si="1"/>
        <v>4.2599999999999999E-2</v>
      </c>
      <c r="H19" s="16">
        <v>46760</v>
      </c>
      <c r="I19" s="65"/>
      <c r="K19" s="49"/>
    </row>
    <row r="20" spans="1:16" ht="12.75" customHeight="1" x14ac:dyDescent="0.2">
      <c r="A20">
        <f>+MAX($A$8:A19)+1</f>
        <v>9</v>
      </c>
      <c r="B20" s="1" t="s">
        <v>561</v>
      </c>
      <c r="C20" t="s">
        <v>562</v>
      </c>
      <c r="D20" t="s">
        <v>404</v>
      </c>
      <c r="E20" s="29">
        <v>500000</v>
      </c>
      <c r="F20" s="14">
        <v>446.75</v>
      </c>
      <c r="G20" s="15">
        <f t="shared" si="1"/>
        <v>3.95E-2</v>
      </c>
      <c r="H20" s="16">
        <v>48108</v>
      </c>
      <c r="I20" s="65"/>
      <c r="K20" s="49"/>
    </row>
    <row r="21" spans="1:16" ht="12.75" customHeight="1" x14ac:dyDescent="0.2">
      <c r="A21">
        <f>+MAX($A$8:A20)+1</f>
        <v>10</v>
      </c>
      <c r="B21" s="1" t="s">
        <v>713</v>
      </c>
      <c r="C21" t="s">
        <v>714</v>
      </c>
      <c r="D21" t="s">
        <v>404</v>
      </c>
      <c r="E21" s="29">
        <v>200000</v>
      </c>
      <c r="F21" s="14">
        <v>204.4</v>
      </c>
      <c r="G21" s="15">
        <f t="shared" si="1"/>
        <v>1.8100000000000002E-2</v>
      </c>
      <c r="H21" s="16">
        <v>46212</v>
      </c>
      <c r="I21" s="65"/>
      <c r="K21" s="49"/>
    </row>
    <row r="22" spans="1:16" ht="12.75" customHeight="1" x14ac:dyDescent="0.2">
      <c r="B22" s="19" t="s">
        <v>85</v>
      </c>
      <c r="C22" s="19"/>
      <c r="D22" s="19"/>
      <c r="E22" s="30"/>
      <c r="F22" s="20">
        <f>SUM(F13:F21)</f>
        <v>6045.7280000000001</v>
      </c>
      <c r="G22" s="21">
        <f>SUM(G13:G21)</f>
        <v>0.53490000000000004</v>
      </c>
      <c r="H22" s="22"/>
      <c r="I22" s="65"/>
      <c r="J22" s="15"/>
      <c r="K22" s="49"/>
    </row>
    <row r="23" spans="1:16" ht="12.75" customHeight="1" x14ac:dyDescent="0.2">
      <c r="F23" s="14"/>
      <c r="G23" s="15"/>
      <c r="H23" s="16"/>
      <c r="I23" s="65"/>
    </row>
    <row r="24" spans="1:16" ht="12.75" customHeight="1" x14ac:dyDescent="0.2">
      <c r="B24" s="17" t="s">
        <v>438</v>
      </c>
      <c r="C24" s="17"/>
      <c r="F24" s="14"/>
      <c r="G24" s="15"/>
      <c r="H24" s="16"/>
      <c r="I24" s="65"/>
      <c r="K24" s="49"/>
      <c r="L24" s="55"/>
      <c r="M24" s="15"/>
      <c r="N24" s="37"/>
      <c r="P24" s="15"/>
    </row>
    <row r="25" spans="1:16" ht="12.75" customHeight="1" x14ac:dyDescent="0.2">
      <c r="A25">
        <f>+MAX($A$8:A24)+1</f>
        <v>11</v>
      </c>
      <c r="B25" s="1" t="s">
        <v>715</v>
      </c>
      <c r="C25" t="s">
        <v>716</v>
      </c>
      <c r="D25" t="s">
        <v>404</v>
      </c>
      <c r="E25" s="29">
        <v>500000</v>
      </c>
      <c r="F25" s="14">
        <v>502</v>
      </c>
      <c r="G25" s="15">
        <f>+ROUND(F25/VLOOKUP("Grand Total",$B$4:$F$298,5,0),4)</f>
        <v>4.4400000000000002E-2</v>
      </c>
      <c r="H25" s="16">
        <v>46811</v>
      </c>
      <c r="I25" s="65"/>
      <c r="K25" s="49"/>
    </row>
    <row r="26" spans="1:16" ht="12.75" customHeight="1" x14ac:dyDescent="0.2">
      <c r="B26" s="19" t="s">
        <v>85</v>
      </c>
      <c r="C26" s="19"/>
      <c r="D26" s="19"/>
      <c r="E26" s="30"/>
      <c r="F26" s="20">
        <f>SUM(F25:F25)</f>
        <v>502</v>
      </c>
      <c r="G26" s="21">
        <f>SUM(G25:G25)</f>
        <v>4.4400000000000002E-2</v>
      </c>
      <c r="H26" s="22"/>
      <c r="I26" s="65"/>
      <c r="J26" s="15"/>
      <c r="K26" s="49"/>
    </row>
    <row r="27" spans="1:16" ht="12.75" customHeight="1" x14ac:dyDescent="0.2">
      <c r="F27" s="14"/>
      <c r="G27" s="15"/>
      <c r="H27" s="16"/>
      <c r="I27" s="65"/>
    </row>
    <row r="28" spans="1:16" ht="12.75" customHeight="1" x14ac:dyDescent="0.2">
      <c r="B28" s="17" t="s">
        <v>125</v>
      </c>
      <c r="C28" s="17"/>
      <c r="F28" s="14"/>
      <c r="G28" s="15"/>
      <c r="H28" s="16"/>
      <c r="I28" s="65"/>
      <c r="J28" s="15"/>
      <c r="K28" s="49"/>
    </row>
    <row r="29" spans="1:16" ht="12.75" customHeight="1" x14ac:dyDescent="0.2">
      <c r="B29" s="32" t="s">
        <v>407</v>
      </c>
      <c r="C29" s="17"/>
      <c r="F29" s="14"/>
      <c r="G29" s="15"/>
      <c r="H29" s="16"/>
      <c r="I29" s="65"/>
      <c r="J29" s="15"/>
    </row>
    <row r="30" spans="1:16" ht="12.75" customHeight="1" x14ac:dyDescent="0.2">
      <c r="A30">
        <f>+MAX($A$8:A29)+1</f>
        <v>12</v>
      </c>
      <c r="B30" s="66" t="s">
        <v>668</v>
      </c>
      <c r="C30" t="s">
        <v>439</v>
      </c>
      <c r="D30" t="s">
        <v>108</v>
      </c>
      <c r="E30" s="29">
        <v>50</v>
      </c>
      <c r="F30" s="14">
        <v>515.81200000000001</v>
      </c>
      <c r="G30" s="15">
        <f>+ROUND(F30/VLOOKUP("Grand Total",$B$4:$F$298,5,0),4)</f>
        <v>4.5600000000000002E-2</v>
      </c>
      <c r="H30" s="16">
        <v>44852</v>
      </c>
      <c r="I30" s="65"/>
    </row>
    <row r="31" spans="1:16" ht="12.75" customHeight="1" x14ac:dyDescent="0.2">
      <c r="A31">
        <f>+MAX($A$8:A30)+1</f>
        <v>13</v>
      </c>
      <c r="B31" s="66" t="s">
        <v>669</v>
      </c>
      <c r="C31" t="s">
        <v>599</v>
      </c>
      <c r="D31" t="s">
        <v>108</v>
      </c>
      <c r="E31" s="29">
        <v>50</v>
      </c>
      <c r="F31" s="14">
        <v>506.74549999999999</v>
      </c>
      <c r="G31" s="15">
        <f>+ROUND(F31/VLOOKUP("Grand Total",$B$4:$F$298,5,0),4)</f>
        <v>4.48E-2</v>
      </c>
      <c r="H31" s="16">
        <v>45042</v>
      </c>
      <c r="I31" s="65"/>
    </row>
    <row r="32" spans="1:16" ht="12.75" customHeight="1" x14ac:dyDescent="0.2">
      <c r="A32">
        <f>+MAX($A$8:A31)+1</f>
        <v>14</v>
      </c>
      <c r="B32" s="66" t="s">
        <v>670</v>
      </c>
      <c r="C32" s="66" t="s">
        <v>437</v>
      </c>
      <c r="D32" t="s">
        <v>364</v>
      </c>
      <c r="E32" s="29">
        <v>50000</v>
      </c>
      <c r="F32" s="14">
        <v>502.32600000000002</v>
      </c>
      <c r="G32" s="15">
        <f t="shared" ref="G32:G39" si="2">+ROUND(F32/VLOOKUP("Grand Total",$B$4:$F$301,5,0),4)</f>
        <v>4.4400000000000002E-2</v>
      </c>
      <c r="H32" s="16">
        <v>43693</v>
      </c>
      <c r="I32" s="65"/>
    </row>
    <row r="33" spans="1:10" ht="12.75" customHeight="1" x14ac:dyDescent="0.2">
      <c r="A33">
        <f>+MAX($A$8:A32)+1</f>
        <v>15</v>
      </c>
      <c r="B33" s="66" t="s">
        <v>711</v>
      </c>
      <c r="C33" s="66" t="s">
        <v>469</v>
      </c>
      <c r="D33" t="s">
        <v>470</v>
      </c>
      <c r="E33" s="29">
        <v>50</v>
      </c>
      <c r="F33" s="14">
        <v>496.524</v>
      </c>
      <c r="G33" s="15">
        <f t="shared" si="2"/>
        <v>4.3900000000000002E-2</v>
      </c>
      <c r="H33" s="16">
        <v>44693</v>
      </c>
      <c r="I33" s="65"/>
    </row>
    <row r="34" spans="1:10" ht="12.75" customHeight="1" x14ac:dyDescent="0.2">
      <c r="A34">
        <f>+MAX($A$8:A33)+1</f>
        <v>16</v>
      </c>
      <c r="B34" s="66" t="s">
        <v>671</v>
      </c>
      <c r="C34" s="66" t="s">
        <v>575</v>
      </c>
      <c r="D34" t="s">
        <v>108</v>
      </c>
      <c r="E34" s="29">
        <v>5</v>
      </c>
      <c r="F34" s="14">
        <v>494.0455</v>
      </c>
      <c r="G34" s="15">
        <f t="shared" si="2"/>
        <v>4.3700000000000003E-2</v>
      </c>
      <c r="H34" s="16">
        <v>43787</v>
      </c>
      <c r="I34" s="65"/>
    </row>
    <row r="35" spans="1:10" ht="12.75" customHeight="1" x14ac:dyDescent="0.2">
      <c r="A35">
        <f>+MAX($A$8:A34)+1</f>
        <v>17</v>
      </c>
      <c r="B35" s="66" t="s">
        <v>672</v>
      </c>
      <c r="C35" s="66" t="s">
        <v>539</v>
      </c>
      <c r="D35" t="s">
        <v>174</v>
      </c>
      <c r="E35" s="29">
        <v>50</v>
      </c>
      <c r="F35" s="14">
        <v>487.15550000000002</v>
      </c>
      <c r="G35" s="15">
        <f t="shared" si="2"/>
        <v>4.3099999999999999E-2</v>
      </c>
      <c r="H35" s="16">
        <v>44376</v>
      </c>
      <c r="I35" s="65"/>
    </row>
    <row r="36" spans="1:10" ht="12.75" customHeight="1" x14ac:dyDescent="0.2">
      <c r="A36">
        <f>+MAX($A$8:A35)+1</f>
        <v>18</v>
      </c>
      <c r="B36" s="66" t="s">
        <v>745</v>
      </c>
      <c r="C36" s="66" t="s">
        <v>564</v>
      </c>
      <c r="D36" t="s">
        <v>108</v>
      </c>
      <c r="E36" s="29">
        <v>50</v>
      </c>
      <c r="F36" s="14">
        <v>480.55950000000001</v>
      </c>
      <c r="G36" s="15">
        <f t="shared" si="2"/>
        <v>4.2500000000000003E-2</v>
      </c>
      <c r="H36" s="16">
        <v>44804</v>
      </c>
      <c r="I36" s="65"/>
    </row>
    <row r="37" spans="1:10" ht="12.75" customHeight="1" x14ac:dyDescent="0.2">
      <c r="A37">
        <f>+MAX($A$8:A36)+1</f>
        <v>19</v>
      </c>
      <c r="B37" s="66" t="s">
        <v>674</v>
      </c>
      <c r="C37" s="66" t="s">
        <v>421</v>
      </c>
      <c r="D37" t="s">
        <v>364</v>
      </c>
      <c r="E37" s="29">
        <v>20</v>
      </c>
      <c r="F37" s="14">
        <v>200.06180000000001</v>
      </c>
      <c r="G37" s="15">
        <f t="shared" si="2"/>
        <v>1.77E-2</v>
      </c>
      <c r="H37" s="16">
        <v>43322</v>
      </c>
      <c r="I37" s="65"/>
    </row>
    <row r="38" spans="1:10" ht="12.75" customHeight="1" x14ac:dyDescent="0.2">
      <c r="A38">
        <f>+MAX($A$8:A37)+1</f>
        <v>20</v>
      </c>
      <c r="B38" s="66" t="s">
        <v>675</v>
      </c>
      <c r="C38" s="66" t="s">
        <v>466</v>
      </c>
      <c r="D38" t="s">
        <v>633</v>
      </c>
      <c r="E38" s="29">
        <v>20</v>
      </c>
      <c r="F38" s="14">
        <v>199.7602</v>
      </c>
      <c r="G38" s="15">
        <f t="shared" si="2"/>
        <v>1.77E-2</v>
      </c>
      <c r="H38" s="16">
        <v>43469</v>
      </c>
      <c r="I38" s="65"/>
    </row>
    <row r="39" spans="1:10" ht="12.75" customHeight="1" x14ac:dyDescent="0.2">
      <c r="A39">
        <f>+MAX($A$8:A38)+1</f>
        <v>21</v>
      </c>
      <c r="B39" s="66" t="s">
        <v>676</v>
      </c>
      <c r="C39" s="66" t="s">
        <v>170</v>
      </c>
      <c r="D39" t="s">
        <v>169</v>
      </c>
      <c r="E39" s="29">
        <v>9</v>
      </c>
      <c r="F39" s="14">
        <v>90.129689999999997</v>
      </c>
      <c r="G39" s="15">
        <f t="shared" si="2"/>
        <v>8.0000000000000002E-3</v>
      </c>
      <c r="H39" s="16">
        <v>43259</v>
      </c>
      <c r="I39" s="65"/>
    </row>
    <row r="40" spans="1:10" ht="12.75" customHeight="1" x14ac:dyDescent="0.2">
      <c r="B40" s="19" t="s">
        <v>85</v>
      </c>
      <c r="C40" s="19"/>
      <c r="D40" s="19"/>
      <c r="E40" s="30"/>
      <c r="F40" s="20">
        <f>SUM(F30:F39)</f>
        <v>3973.11969</v>
      </c>
      <c r="G40" s="21">
        <f>SUM(G30:G39)</f>
        <v>0.35139999999999993</v>
      </c>
      <c r="H40" s="22"/>
      <c r="J40" s="53"/>
    </row>
    <row r="41" spans="1:10" ht="12.75" customHeight="1" x14ac:dyDescent="0.2">
      <c r="F41" s="14"/>
      <c r="G41" s="15"/>
      <c r="H41" s="16"/>
    </row>
    <row r="42" spans="1:10" ht="12.75" customHeight="1" x14ac:dyDescent="0.2">
      <c r="A42" s="96" t="s">
        <v>371</v>
      </c>
      <c r="B42" s="17" t="s">
        <v>93</v>
      </c>
      <c r="C42" s="17"/>
      <c r="F42" s="14">
        <v>16.777270000000001</v>
      </c>
      <c r="G42" s="15">
        <f>+ROUND(F42/VLOOKUP("Grand Total",$B$4:$F$298,5,0),4)</f>
        <v>1.5E-3</v>
      </c>
      <c r="H42" s="16">
        <v>43160</v>
      </c>
    </row>
    <row r="43" spans="1:10" ht="12.75" customHeight="1" x14ac:dyDescent="0.2">
      <c r="B43" s="19" t="s">
        <v>85</v>
      </c>
      <c r="C43" s="19"/>
      <c r="D43" s="19"/>
      <c r="E43" s="30"/>
      <c r="F43" s="20">
        <f>SUM(F42)</f>
        <v>16.777270000000001</v>
      </c>
      <c r="G43" s="21">
        <f>SUM(G42)</f>
        <v>1.5E-3</v>
      </c>
      <c r="H43" s="22"/>
      <c r="I43" s="36"/>
    </row>
    <row r="44" spans="1:10" ht="12.75" customHeight="1" x14ac:dyDescent="0.2">
      <c r="F44" s="14"/>
      <c r="G44" s="15"/>
      <c r="H44" s="16"/>
    </row>
    <row r="45" spans="1:10" ht="12.75" customHeight="1" x14ac:dyDescent="0.2">
      <c r="B45" s="17" t="s">
        <v>94</v>
      </c>
      <c r="C45" s="17"/>
      <c r="F45" s="14"/>
      <c r="G45" s="15"/>
      <c r="H45" s="16"/>
    </row>
    <row r="46" spans="1:10" ht="12.75" customHeight="1" x14ac:dyDescent="0.2">
      <c r="B46" s="17" t="s">
        <v>95</v>
      </c>
      <c r="C46" s="17"/>
      <c r="F46" s="44">
        <v>286.89891349999925</v>
      </c>
      <c r="G46" s="15">
        <f>+ROUND(F46/VLOOKUP("Grand Total",$B$4:$F$298,5,0),4)+0.01%</f>
        <v>2.5499999999999998E-2</v>
      </c>
      <c r="H46" s="16"/>
    </row>
    <row r="47" spans="1:10" ht="12.75" customHeight="1" x14ac:dyDescent="0.2">
      <c r="B47" s="19" t="s">
        <v>85</v>
      </c>
      <c r="C47" s="19"/>
      <c r="D47" s="19"/>
      <c r="E47" s="30"/>
      <c r="F47" s="51">
        <f>SUM(F46)</f>
        <v>286.89891349999925</v>
      </c>
      <c r="G47" s="21">
        <f>SUM(G46)</f>
        <v>2.5499999999999998E-2</v>
      </c>
      <c r="H47" s="22"/>
      <c r="I47" s="36"/>
    </row>
    <row r="48" spans="1:10" ht="12.75" customHeight="1" x14ac:dyDescent="0.2">
      <c r="B48" s="23" t="s">
        <v>96</v>
      </c>
      <c r="C48" s="23"/>
      <c r="D48" s="23"/>
      <c r="E48" s="31"/>
      <c r="F48" s="24">
        <f>+SUMIF($B$5:B47,"Total",$F$5:F47)</f>
        <v>11302.242873499999</v>
      </c>
      <c r="G48" s="25">
        <f>+SUMIF($B$5:B47,"Total",$G$5:G47)</f>
        <v>0.99999999999999989</v>
      </c>
      <c r="H48" s="26"/>
      <c r="I48" s="36"/>
    </row>
    <row r="49" spans="2:3" ht="12.75" customHeight="1" x14ac:dyDescent="0.2"/>
    <row r="50" spans="2:3" ht="12.75" customHeight="1" x14ac:dyDescent="0.2">
      <c r="B50" s="17" t="s">
        <v>634</v>
      </c>
      <c r="C50" s="17"/>
    </row>
    <row r="51" spans="2:3" ht="12.75" customHeight="1" x14ac:dyDescent="0.2">
      <c r="B51" s="17" t="s">
        <v>188</v>
      </c>
      <c r="C51" s="17"/>
    </row>
    <row r="52" spans="2:3" ht="12.75" customHeight="1" x14ac:dyDescent="0.2">
      <c r="B52" s="17"/>
      <c r="C52" s="17"/>
    </row>
    <row r="53" spans="2:3" ht="12.75" customHeight="1" x14ac:dyDescent="0.2">
      <c r="B53" s="17"/>
      <c r="C53" s="17"/>
    </row>
    <row r="54" spans="2:3" ht="12.75" customHeight="1" x14ac:dyDescent="0.2">
      <c r="B54" s="17"/>
      <c r="C54" s="17"/>
    </row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</sheetData>
  <sheetProtection password="EDB3" sheet="1" objects="1" scenarios="1"/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8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65" customWidth="1"/>
    <col min="10" max="10" width="16.28515625" bestFit="1" customWidth="1"/>
    <col min="11" max="11" width="8" style="37" customWidth="1"/>
  </cols>
  <sheetData>
    <row r="1" spans="1:16" ht="18.75" x14ac:dyDescent="0.2">
      <c r="A1" s="95" t="s">
        <v>384</v>
      </c>
      <c r="B1" s="126" t="s">
        <v>334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84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91</v>
      </c>
      <c r="F7" s="14"/>
      <c r="G7" s="15"/>
      <c r="H7" s="16"/>
      <c r="J7" s="18" t="s">
        <v>699</v>
      </c>
      <c r="K7" s="38" t="s">
        <v>13</v>
      </c>
    </row>
    <row r="8" spans="1:16" ht="12.75" customHeight="1" x14ac:dyDescent="0.2">
      <c r="B8" s="17" t="s">
        <v>307</v>
      </c>
      <c r="C8" s="17"/>
      <c r="F8" s="14"/>
      <c r="G8" s="15"/>
      <c r="H8" s="16"/>
      <c r="J8" s="15" t="s">
        <v>108</v>
      </c>
      <c r="K8" s="49">
        <f t="shared" ref="K8:K18" si="0">SUMIFS($G$5:$G$328,$D$5:$D$328,J8)</f>
        <v>0.24229999999999999</v>
      </c>
      <c r="M8" s="15"/>
      <c r="N8" s="37"/>
      <c r="P8" s="15"/>
    </row>
    <row r="9" spans="1:16" ht="12.75" customHeight="1" x14ac:dyDescent="0.2">
      <c r="A9">
        <f>+MAX($A$8:A8)+1</f>
        <v>1</v>
      </c>
      <c r="B9" t="s">
        <v>292</v>
      </c>
      <c r="C9" t="s">
        <v>595</v>
      </c>
      <c r="D9" t="s">
        <v>571</v>
      </c>
      <c r="E9" s="29">
        <v>380</v>
      </c>
      <c r="F9" s="14">
        <v>1782.9314999999999</v>
      </c>
      <c r="G9" s="15">
        <f>+ROUND(F9/VLOOKUP("Grand Total",$B$4:$F$270,5,0),4)</f>
        <v>5.5100000000000003E-2</v>
      </c>
      <c r="H9" s="90">
        <v>43426</v>
      </c>
      <c r="J9" s="15" t="s">
        <v>293</v>
      </c>
      <c r="K9" s="49">
        <f t="shared" si="0"/>
        <v>0.13219999999999998</v>
      </c>
      <c r="M9" s="15"/>
      <c r="N9" s="37"/>
      <c r="P9" s="15"/>
    </row>
    <row r="10" spans="1:16" ht="12.75" customHeight="1" x14ac:dyDescent="0.2">
      <c r="B10" s="19" t="s">
        <v>85</v>
      </c>
      <c r="C10" s="19"/>
      <c r="D10" s="19"/>
      <c r="E10" s="30"/>
      <c r="F10" s="20">
        <f>SUM(F9:F9)</f>
        <v>1782.9314999999999</v>
      </c>
      <c r="G10" s="21">
        <f>SUM(G9:G9)</f>
        <v>5.5100000000000003E-2</v>
      </c>
      <c r="H10" s="22"/>
      <c r="J10" t="s">
        <v>364</v>
      </c>
      <c r="K10" s="49">
        <f t="shared" si="0"/>
        <v>0.1255</v>
      </c>
    </row>
    <row r="11" spans="1:16" ht="12.75" customHeight="1" x14ac:dyDescent="0.2">
      <c r="F11" s="14"/>
      <c r="G11" s="15"/>
      <c r="H11" s="16"/>
      <c r="J11" s="15" t="s">
        <v>166</v>
      </c>
      <c r="K11" s="49">
        <f t="shared" si="0"/>
        <v>7.6399999999999996E-2</v>
      </c>
    </row>
    <row r="12" spans="1:16" ht="12.75" customHeight="1" x14ac:dyDescent="0.2">
      <c r="B12" s="17" t="s">
        <v>168</v>
      </c>
      <c r="C12" s="17"/>
      <c r="F12" s="14"/>
      <c r="G12" s="15"/>
      <c r="H12" s="16"/>
      <c r="J12" s="15" t="s">
        <v>404</v>
      </c>
      <c r="K12" s="49">
        <f t="shared" si="0"/>
        <v>7.4699999999999989E-2</v>
      </c>
      <c r="M12" s="15"/>
      <c r="N12" s="37"/>
      <c r="P12" s="15"/>
    </row>
    <row r="13" spans="1:16" ht="12.75" customHeight="1" x14ac:dyDescent="0.2">
      <c r="A13">
        <f>+MAX($A$8:A12)+1</f>
        <v>2</v>
      </c>
      <c r="B13" t="s">
        <v>467</v>
      </c>
      <c r="C13" t="s">
        <v>468</v>
      </c>
      <c r="D13" t="s">
        <v>404</v>
      </c>
      <c r="E13" s="29">
        <v>1025300</v>
      </c>
      <c r="F13" s="14">
        <v>999.97509000000002</v>
      </c>
      <c r="G13" s="15">
        <f>+ROUND(F13/VLOOKUP("Grand Total",$B$4:$F$270,5,0),4)</f>
        <v>3.09E-2</v>
      </c>
      <c r="H13" s="90">
        <v>44914</v>
      </c>
      <c r="J13" s="15" t="s">
        <v>449</v>
      </c>
      <c r="K13" s="49">
        <f t="shared" si="0"/>
        <v>6.4299999999999996E-2</v>
      </c>
      <c r="M13" s="15"/>
      <c r="N13" s="37"/>
      <c r="P13" s="15"/>
    </row>
    <row r="14" spans="1:16" ht="12.75" customHeight="1" x14ac:dyDescent="0.2">
      <c r="A14">
        <f>+MAX($A$8:A13)+1</f>
        <v>3</v>
      </c>
      <c r="B14" t="s">
        <v>315</v>
      </c>
      <c r="C14" t="s">
        <v>295</v>
      </c>
      <c r="D14" t="s">
        <v>404</v>
      </c>
      <c r="E14" s="29">
        <v>500000</v>
      </c>
      <c r="F14" s="14">
        <v>513.42499999999995</v>
      </c>
      <c r="G14" s="15">
        <f>+ROUND(F14/VLOOKUP("Grand Total",$B$4:$F$270,5,0),4)</f>
        <v>1.5900000000000001E-2</v>
      </c>
      <c r="H14" s="90">
        <v>44175</v>
      </c>
      <c r="J14" s="15" t="s">
        <v>174</v>
      </c>
      <c r="K14" s="49">
        <f t="shared" si="0"/>
        <v>6.1699999999999998E-2</v>
      </c>
      <c r="M14" s="15"/>
      <c r="N14" s="37"/>
      <c r="P14" s="15"/>
    </row>
    <row r="15" spans="1:16" ht="12.75" customHeight="1" x14ac:dyDescent="0.2">
      <c r="A15">
        <f>+MAX($A$8:A14)+1</f>
        <v>4</v>
      </c>
      <c r="B15" t="s">
        <v>484</v>
      </c>
      <c r="C15" t="s">
        <v>485</v>
      </c>
      <c r="D15" t="s">
        <v>404</v>
      </c>
      <c r="E15" s="29">
        <v>300000</v>
      </c>
      <c r="F15" s="14">
        <v>301.05</v>
      </c>
      <c r="G15" s="15">
        <f>+ROUND(F15/VLOOKUP("Grand Total",$B$4:$F$270,5,0),4)</f>
        <v>9.2999999999999992E-3</v>
      </c>
      <c r="H15" s="90">
        <v>45275</v>
      </c>
      <c r="J15" s="15" t="s">
        <v>633</v>
      </c>
      <c r="K15" s="49">
        <f t="shared" si="0"/>
        <v>6.1699999999999998E-2</v>
      </c>
      <c r="M15" s="15"/>
      <c r="N15" s="37"/>
      <c r="P15" s="15"/>
    </row>
    <row r="16" spans="1:16" ht="12.75" customHeight="1" x14ac:dyDescent="0.2">
      <c r="B16" s="19" t="s">
        <v>85</v>
      </c>
      <c r="C16" s="19"/>
      <c r="D16" s="19"/>
      <c r="E16" s="30"/>
      <c r="F16" s="20">
        <f>SUM(F13:F15)</f>
        <v>1814.45009</v>
      </c>
      <c r="G16" s="21">
        <f>SUM(G13:G15)</f>
        <v>5.6099999999999997E-2</v>
      </c>
      <c r="H16" s="22"/>
      <c r="J16" s="15" t="s">
        <v>571</v>
      </c>
      <c r="K16" s="49">
        <f t="shared" si="0"/>
        <v>5.5100000000000003E-2</v>
      </c>
    </row>
    <row r="17" spans="1:16" ht="12.75" customHeight="1" x14ac:dyDescent="0.2">
      <c r="F17" s="14"/>
      <c r="G17" s="15"/>
      <c r="H17" s="16"/>
      <c r="J17" s="15" t="s">
        <v>169</v>
      </c>
      <c r="K17" s="49">
        <f t="shared" si="0"/>
        <v>3.4000000000000002E-2</v>
      </c>
    </row>
    <row r="18" spans="1:16" ht="12.75" customHeight="1" x14ac:dyDescent="0.2">
      <c r="B18" s="17" t="s">
        <v>438</v>
      </c>
      <c r="C18" s="17"/>
      <c r="F18" s="14"/>
      <c r="G18" s="15"/>
      <c r="H18" s="16"/>
      <c r="J18" t="s">
        <v>532</v>
      </c>
      <c r="K18" s="49">
        <f t="shared" si="0"/>
        <v>3.1E-2</v>
      </c>
      <c r="M18" s="15"/>
      <c r="N18" s="37"/>
      <c r="P18" s="15"/>
    </row>
    <row r="19" spans="1:16" ht="12.75" customHeight="1" x14ac:dyDescent="0.2">
      <c r="A19">
        <f>+MAX($A$8:A18)+1</f>
        <v>5</v>
      </c>
      <c r="B19" t="s">
        <v>715</v>
      </c>
      <c r="C19" t="s">
        <v>716</v>
      </c>
      <c r="D19" t="s">
        <v>404</v>
      </c>
      <c r="E19" s="29">
        <v>600000</v>
      </c>
      <c r="F19" s="14">
        <v>602.4</v>
      </c>
      <c r="G19" s="15">
        <f>+ROUND(F19/VLOOKUP("Grand Total",$B$4:$F$270,5,0),4)</f>
        <v>1.8599999999999998E-2</v>
      </c>
      <c r="H19" s="90">
        <v>46811</v>
      </c>
      <c r="J19" s="15" t="s">
        <v>64</v>
      </c>
      <c r="K19" s="49">
        <f>+SUMIFS($G$5:$G$996,$B$5:$B$996,"CBLO / Reverse Repo Investments")+SUMIFS($G$5:$G$996,$B$5:$B$996,"Net Receivable/Payable")</f>
        <v>4.1099999999999998E-2</v>
      </c>
      <c r="L19" s="55"/>
      <c r="M19" s="15"/>
      <c r="N19" s="37"/>
      <c r="P19" s="15"/>
    </row>
    <row r="20" spans="1:16" ht="12.75" customHeight="1" x14ac:dyDescent="0.2">
      <c r="B20" s="19" t="s">
        <v>85</v>
      </c>
      <c r="C20" s="19"/>
      <c r="D20" s="19"/>
      <c r="E20" s="30"/>
      <c r="F20" s="20">
        <f>SUM(F19:F19)</f>
        <v>602.4</v>
      </c>
      <c r="G20" s="21">
        <f>SUM(G19:G19)</f>
        <v>1.8599999999999998E-2</v>
      </c>
      <c r="H20" s="22"/>
      <c r="J20" s="15"/>
      <c r="K20" s="49"/>
    </row>
    <row r="21" spans="1:16" ht="12.75" customHeight="1" x14ac:dyDescent="0.2">
      <c r="F21" s="14"/>
      <c r="G21" s="15"/>
      <c r="H21" s="16"/>
      <c r="J21" s="15"/>
      <c r="K21" s="49"/>
    </row>
    <row r="22" spans="1:16" ht="12.75" customHeight="1" x14ac:dyDescent="0.2">
      <c r="B22" s="17" t="s">
        <v>125</v>
      </c>
      <c r="C22" s="17"/>
      <c r="F22" s="14"/>
      <c r="G22" s="15"/>
      <c r="H22" s="16"/>
      <c r="J22" s="15"/>
      <c r="K22" s="49"/>
    </row>
    <row r="23" spans="1:16" ht="12.75" customHeight="1" x14ac:dyDescent="0.2">
      <c r="B23" s="32" t="s">
        <v>407</v>
      </c>
      <c r="C23" s="17"/>
      <c r="F23" s="14"/>
      <c r="G23" s="15"/>
      <c r="H23" s="16"/>
    </row>
    <row r="24" spans="1:16" ht="12.75" customHeight="1" x14ac:dyDescent="0.2">
      <c r="A24">
        <f>+MAX($A$8:A23)+1</f>
        <v>6</v>
      </c>
      <c r="B24" s="66" t="s">
        <v>737</v>
      </c>
      <c r="C24" t="s">
        <v>422</v>
      </c>
      <c r="D24" t="s">
        <v>364</v>
      </c>
      <c r="E24" s="29">
        <v>255000</v>
      </c>
      <c r="F24" s="14">
        <v>2560.7763</v>
      </c>
      <c r="G24" s="15">
        <f t="shared" ref="G24:G36" si="1">+ROUND(F24/VLOOKUP("Grand Total",$B$4:$F$270,5,0),4)</f>
        <v>7.9100000000000004E-2</v>
      </c>
      <c r="H24" s="16">
        <v>43717</v>
      </c>
    </row>
    <row r="25" spans="1:16" ht="12.75" customHeight="1" x14ac:dyDescent="0.2">
      <c r="A25">
        <f>+MAX($A$8:A24)+1</f>
        <v>7</v>
      </c>
      <c r="B25" s="66" t="s">
        <v>735</v>
      </c>
      <c r="C25" t="s">
        <v>487</v>
      </c>
      <c r="D25" t="s">
        <v>293</v>
      </c>
      <c r="E25" s="29">
        <v>250</v>
      </c>
      <c r="F25" s="14">
        <v>2487.9050000000002</v>
      </c>
      <c r="G25" s="15">
        <f t="shared" si="1"/>
        <v>7.6899999999999996E-2</v>
      </c>
      <c r="H25" s="16">
        <v>43630</v>
      </c>
    </row>
    <row r="26" spans="1:16" ht="12.75" customHeight="1" x14ac:dyDescent="0.2">
      <c r="A26">
        <f>+MAX($A$8:A25)+1</f>
        <v>8</v>
      </c>
      <c r="B26" s="66" t="s">
        <v>746</v>
      </c>
      <c r="C26" t="s">
        <v>405</v>
      </c>
      <c r="D26" t="s">
        <v>108</v>
      </c>
      <c r="E26" s="29">
        <v>25</v>
      </c>
      <c r="F26" s="14">
        <v>2482.3474999999999</v>
      </c>
      <c r="G26" s="15">
        <f t="shared" si="1"/>
        <v>7.6700000000000004E-2</v>
      </c>
      <c r="H26" s="16">
        <v>43780</v>
      </c>
    </row>
    <row r="27" spans="1:16" ht="12.75" customHeight="1" x14ac:dyDescent="0.2">
      <c r="A27">
        <f>+MAX($A$8:A26)+1</f>
        <v>9</v>
      </c>
      <c r="B27" t="s">
        <v>747</v>
      </c>
      <c r="C27" t="s">
        <v>436</v>
      </c>
      <c r="D27" t="s">
        <v>166</v>
      </c>
      <c r="E27" s="29">
        <v>250</v>
      </c>
      <c r="F27" s="14">
        <v>2471.855</v>
      </c>
      <c r="G27" s="15">
        <f t="shared" si="1"/>
        <v>7.6399999999999996E-2</v>
      </c>
      <c r="H27" s="16">
        <v>43951</v>
      </c>
      <c r="J27" s="47"/>
      <c r="K27" s="49"/>
    </row>
    <row r="28" spans="1:16" ht="12.75" customHeight="1" x14ac:dyDescent="0.2">
      <c r="A28">
        <f>+MAX($A$8:A27)+1</f>
        <v>10</v>
      </c>
      <c r="B28" s="66" t="s">
        <v>673</v>
      </c>
      <c r="C28" t="s">
        <v>408</v>
      </c>
      <c r="D28" t="s">
        <v>108</v>
      </c>
      <c r="E28" s="29">
        <v>240</v>
      </c>
      <c r="F28" s="14">
        <v>2414.712</v>
      </c>
      <c r="G28" s="15">
        <f t="shared" si="1"/>
        <v>7.46E-2</v>
      </c>
      <c r="H28" s="16">
        <v>44343</v>
      </c>
    </row>
    <row r="29" spans="1:16" ht="12.75" customHeight="1" x14ac:dyDescent="0.2">
      <c r="A29">
        <f>+MAX($A$8:A28)+1</f>
        <v>11</v>
      </c>
      <c r="B29" s="66" t="s">
        <v>736</v>
      </c>
      <c r="C29" t="s">
        <v>512</v>
      </c>
      <c r="D29" t="s">
        <v>449</v>
      </c>
      <c r="E29" s="29">
        <v>210</v>
      </c>
      <c r="F29" s="14">
        <v>2082.1878000000002</v>
      </c>
      <c r="G29" s="15">
        <f t="shared" si="1"/>
        <v>6.4299999999999996E-2</v>
      </c>
      <c r="H29" s="16">
        <v>43671</v>
      </c>
    </row>
    <row r="30" spans="1:16" ht="12.75" customHeight="1" x14ac:dyDescent="0.2">
      <c r="A30">
        <f>+MAX($A$8:A29)+1</f>
        <v>12</v>
      </c>
      <c r="B30" s="66" t="s">
        <v>675</v>
      </c>
      <c r="C30" t="s">
        <v>466</v>
      </c>
      <c r="D30" t="s">
        <v>633</v>
      </c>
      <c r="E30" s="29">
        <v>200</v>
      </c>
      <c r="F30" s="14">
        <v>1997.6020000000001</v>
      </c>
      <c r="G30" s="15">
        <f t="shared" si="1"/>
        <v>6.1699999999999998E-2</v>
      </c>
      <c r="H30" s="16">
        <v>43469</v>
      </c>
    </row>
    <row r="31" spans="1:16" s="47" customFormat="1" ht="12.75" customHeight="1" x14ac:dyDescent="0.2">
      <c r="A31">
        <f>+MAX($A$8:A30)+1</f>
        <v>13</v>
      </c>
      <c r="B31" s="66" t="s">
        <v>684</v>
      </c>
      <c r="C31" t="s">
        <v>448</v>
      </c>
      <c r="D31" t="s">
        <v>174</v>
      </c>
      <c r="E31" s="29">
        <v>200</v>
      </c>
      <c r="F31" s="14">
        <v>1996.2860000000001</v>
      </c>
      <c r="G31" s="15">
        <f t="shared" si="1"/>
        <v>6.1699999999999998E-2</v>
      </c>
      <c r="H31" s="16">
        <v>43678</v>
      </c>
      <c r="I31" s="65"/>
      <c r="J31"/>
      <c r="K31" s="37"/>
    </row>
    <row r="32" spans="1:16" ht="12.75" customHeight="1" x14ac:dyDescent="0.2">
      <c r="A32">
        <f>+MAX($A$8:A31)+1</f>
        <v>14</v>
      </c>
      <c r="B32" s="66" t="s">
        <v>741</v>
      </c>
      <c r="C32" t="s">
        <v>712</v>
      </c>
      <c r="D32" t="s">
        <v>108</v>
      </c>
      <c r="E32" s="29">
        <v>200</v>
      </c>
      <c r="F32" s="14">
        <v>1948.9880000000001</v>
      </c>
      <c r="G32" s="15">
        <f t="shared" si="1"/>
        <v>6.0199999999999997E-2</v>
      </c>
      <c r="H32" s="16">
        <v>44090</v>
      </c>
      <c r="J32" s="53"/>
    </row>
    <row r="33" spans="1:11" ht="12.75" customHeight="1" x14ac:dyDescent="0.2">
      <c r="A33">
        <f>+MAX($A$8:A32)+1</f>
        <v>15</v>
      </c>
      <c r="B33" s="66" t="s">
        <v>679</v>
      </c>
      <c r="C33" t="s">
        <v>650</v>
      </c>
      <c r="D33" t="s">
        <v>293</v>
      </c>
      <c r="E33" s="29">
        <v>180</v>
      </c>
      <c r="F33" s="14">
        <v>1790.5752</v>
      </c>
      <c r="G33" s="15">
        <f t="shared" si="1"/>
        <v>5.5300000000000002E-2</v>
      </c>
      <c r="H33" s="16">
        <v>43643</v>
      </c>
      <c r="J33" s="53"/>
    </row>
    <row r="34" spans="1:11" ht="12.75" customHeight="1" x14ac:dyDescent="0.2">
      <c r="A34">
        <f>+MAX($A$8:A33)+1</f>
        <v>16</v>
      </c>
      <c r="B34" s="66" t="s">
        <v>676</v>
      </c>
      <c r="C34" t="s">
        <v>170</v>
      </c>
      <c r="D34" t="s">
        <v>169</v>
      </c>
      <c r="E34" s="29">
        <v>110</v>
      </c>
      <c r="F34" s="14">
        <v>1101.5851</v>
      </c>
      <c r="G34" s="15">
        <f t="shared" si="1"/>
        <v>3.4000000000000002E-2</v>
      </c>
      <c r="H34" s="16">
        <v>43259</v>
      </c>
      <c r="J34" s="53"/>
    </row>
    <row r="35" spans="1:11" ht="12.75" customHeight="1" x14ac:dyDescent="0.2">
      <c r="A35">
        <f>+MAX($A$8:A34)+1</f>
        <v>17</v>
      </c>
      <c r="B35" s="66" t="s">
        <v>738</v>
      </c>
      <c r="C35" t="s">
        <v>352</v>
      </c>
      <c r="D35" t="s">
        <v>532</v>
      </c>
      <c r="E35" s="29">
        <v>100</v>
      </c>
      <c r="F35" s="14">
        <v>1004.5119999999999</v>
      </c>
      <c r="G35" s="15">
        <f t="shared" si="1"/>
        <v>3.1E-2</v>
      </c>
      <c r="H35" s="16">
        <v>43309</v>
      </c>
    </row>
    <row r="36" spans="1:11" ht="12.75" customHeight="1" x14ac:dyDescent="0.2">
      <c r="A36">
        <f>+MAX($A$8:A35)+1</f>
        <v>18</v>
      </c>
      <c r="B36" s="66" t="s">
        <v>734</v>
      </c>
      <c r="C36" t="s">
        <v>396</v>
      </c>
      <c r="D36" t="s">
        <v>364</v>
      </c>
      <c r="E36" s="29">
        <v>100</v>
      </c>
      <c r="F36" s="14">
        <v>1000.136</v>
      </c>
      <c r="G36" s="15">
        <f t="shared" si="1"/>
        <v>3.09E-2</v>
      </c>
      <c r="H36" s="16">
        <v>43892</v>
      </c>
      <c r="J36" s="53"/>
    </row>
    <row r="37" spans="1:11" ht="12.75" customHeight="1" x14ac:dyDescent="0.2">
      <c r="A37">
        <f>+MAX($A$8:A36)+1</f>
        <v>19</v>
      </c>
      <c r="B37" s="66" t="s">
        <v>709</v>
      </c>
      <c r="C37" t="s">
        <v>710</v>
      </c>
      <c r="D37" t="s">
        <v>108</v>
      </c>
      <c r="E37" s="29">
        <v>100</v>
      </c>
      <c r="F37" s="14">
        <v>995.7</v>
      </c>
      <c r="G37" s="15">
        <f t="shared" ref="G37:G38" si="2">+ROUND(F37/VLOOKUP("Grand Total",$B$4:$F$270,5,0),4)</f>
        <v>3.0800000000000001E-2</v>
      </c>
      <c r="H37" s="16">
        <v>44270</v>
      </c>
      <c r="J37" s="53"/>
    </row>
    <row r="38" spans="1:11" ht="12.75" customHeight="1" x14ac:dyDescent="0.2">
      <c r="A38">
        <f>+MAX($A$8:A37)+1</f>
        <v>20</v>
      </c>
      <c r="B38" s="66" t="s">
        <v>670</v>
      </c>
      <c r="C38" t="s">
        <v>363</v>
      </c>
      <c r="D38" t="s">
        <v>364</v>
      </c>
      <c r="E38" s="29">
        <v>50</v>
      </c>
      <c r="F38" s="14">
        <v>502.24650000000003</v>
      </c>
      <c r="G38" s="15">
        <f t="shared" si="2"/>
        <v>1.55E-2</v>
      </c>
      <c r="H38" s="16">
        <v>43542</v>
      </c>
      <c r="J38" s="53"/>
    </row>
    <row r="39" spans="1:11" ht="12.75" customHeight="1" x14ac:dyDescent="0.2">
      <c r="B39" s="19" t="s">
        <v>85</v>
      </c>
      <c r="C39" s="19"/>
      <c r="D39" s="19"/>
      <c r="E39" s="30"/>
      <c r="F39" s="20">
        <f>SUM(F24:F38)</f>
        <v>26837.414399999998</v>
      </c>
      <c r="G39" s="21">
        <f>SUM(G24:G38)</f>
        <v>0.82910000000000017</v>
      </c>
      <c r="H39" s="22"/>
      <c r="I39" s="34"/>
      <c r="J39" s="53"/>
    </row>
    <row r="40" spans="1:11" s="47" customFormat="1" ht="12.75" customHeight="1" x14ac:dyDescent="0.2">
      <c r="B40" s="68"/>
      <c r="C40" s="68"/>
      <c r="D40" s="68"/>
      <c r="E40" s="69"/>
      <c r="F40" s="70"/>
      <c r="G40" s="71"/>
      <c r="H40" s="72"/>
      <c r="I40" s="34"/>
      <c r="J40" s="98"/>
      <c r="K40" s="49"/>
    </row>
    <row r="41" spans="1:11" ht="12.75" customHeight="1" x14ac:dyDescent="0.2">
      <c r="A41" s="96" t="s">
        <v>371</v>
      </c>
      <c r="B41" s="17" t="s">
        <v>93</v>
      </c>
      <c r="C41" s="17"/>
      <c r="F41" s="14">
        <v>117.74046</v>
      </c>
      <c r="G41" s="15">
        <f>+ROUND(F41/VLOOKUP("Grand Total",$B$4:$F$270,5,0),4)</f>
        <v>3.5999999999999999E-3</v>
      </c>
      <c r="H41" s="16">
        <v>43160</v>
      </c>
    </row>
    <row r="42" spans="1:11" ht="12.75" customHeight="1" x14ac:dyDescent="0.2">
      <c r="B42" s="19" t="s">
        <v>85</v>
      </c>
      <c r="C42" s="19"/>
      <c r="D42" s="19"/>
      <c r="E42" s="30"/>
      <c r="F42" s="20">
        <f>SUM(F41)</f>
        <v>117.74046</v>
      </c>
      <c r="G42" s="21">
        <f>SUM(G41)</f>
        <v>3.5999999999999999E-3</v>
      </c>
      <c r="H42" s="22"/>
    </row>
    <row r="43" spans="1:11" ht="12.75" customHeight="1" x14ac:dyDescent="0.2">
      <c r="F43" s="14"/>
      <c r="G43" s="15"/>
      <c r="H43" s="16"/>
    </row>
    <row r="44" spans="1:11" ht="12.75" customHeight="1" x14ac:dyDescent="0.2">
      <c r="B44" s="17" t="s">
        <v>94</v>
      </c>
      <c r="C44" s="17"/>
      <c r="F44" s="14"/>
      <c r="G44" s="15"/>
      <c r="H44" s="16"/>
      <c r="I44" s="83"/>
    </row>
    <row r="45" spans="1:11" ht="12.75" customHeight="1" x14ac:dyDescent="0.2">
      <c r="B45" s="17" t="s">
        <v>95</v>
      </c>
      <c r="C45" s="17"/>
      <c r="F45" s="14">
        <v>1206.5532910999973</v>
      </c>
      <c r="G45" s="15">
        <f>+ROUND(F45/VLOOKUP("Grand Total",$B$4:$F$270,5,0),4)+0.02%</f>
        <v>3.7499999999999999E-2</v>
      </c>
      <c r="H45" s="16"/>
    </row>
    <row r="46" spans="1:11" ht="12.75" customHeight="1" x14ac:dyDescent="0.2">
      <c r="B46" s="19" t="s">
        <v>85</v>
      </c>
      <c r="C46" s="19"/>
      <c r="D46" s="19"/>
      <c r="E46" s="30"/>
      <c r="F46" s="20">
        <f>SUM(F45)</f>
        <v>1206.5532910999973</v>
      </c>
      <c r="G46" s="21">
        <f>SUM(G45)</f>
        <v>3.7499999999999999E-2</v>
      </c>
      <c r="H46" s="22"/>
    </row>
    <row r="47" spans="1:11" ht="12.75" customHeight="1" x14ac:dyDescent="0.2">
      <c r="B47" s="23" t="s">
        <v>96</v>
      </c>
      <c r="C47" s="23"/>
      <c r="D47" s="23"/>
      <c r="E47" s="31"/>
      <c r="F47" s="24">
        <f>+SUMIF($B$5:B46,"Total",$F$5:F46)</f>
        <v>32361.489741099995</v>
      </c>
      <c r="G47" s="25">
        <f>+SUMIF($B$5:B46,"Total",$G$5:G46)</f>
        <v>1.0000000000000002</v>
      </c>
      <c r="H47" s="26"/>
      <c r="I47" s="83"/>
    </row>
    <row r="48" spans="1:11" ht="12.75" customHeight="1" x14ac:dyDescent="0.2"/>
    <row r="49" spans="2:9" ht="12.75" customHeight="1" x14ac:dyDescent="0.2">
      <c r="B49" s="17" t="s">
        <v>634</v>
      </c>
      <c r="C49" s="17"/>
    </row>
    <row r="50" spans="2:9" ht="12.75" customHeight="1" x14ac:dyDescent="0.2">
      <c r="B50" s="17" t="s">
        <v>188</v>
      </c>
      <c r="C50" s="17"/>
      <c r="F50" s="43"/>
    </row>
    <row r="51" spans="2:9" ht="12.75" customHeight="1" x14ac:dyDescent="0.2">
      <c r="B51" s="17" t="s">
        <v>764</v>
      </c>
      <c r="C51" s="17"/>
      <c r="I51" s="83"/>
    </row>
    <row r="52" spans="2:9" ht="12.75" customHeight="1" x14ac:dyDescent="0.2">
      <c r="B52" s="17"/>
      <c r="C52" s="17"/>
    </row>
    <row r="53" spans="2:9" ht="12.75" customHeight="1" x14ac:dyDescent="0.2"/>
    <row r="54" spans="2:9" ht="12.75" customHeight="1" x14ac:dyDescent="0.2"/>
    <row r="55" spans="2:9" ht="12.75" customHeight="1" x14ac:dyDescent="0.2"/>
    <row r="56" spans="2:9" ht="12.75" customHeight="1" x14ac:dyDescent="0.2"/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</sheetData>
  <sheetProtection password="EDB3" sheet="1" objects="1" scenarios="1"/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7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7109375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4" customWidth="1"/>
    <col min="11" max="11" width="42.85546875" bestFit="1" customWidth="1"/>
    <col min="12" max="12" width="8" style="37" customWidth="1"/>
    <col min="14" max="14" width="23.7109375" bestFit="1" customWidth="1"/>
  </cols>
  <sheetData>
    <row r="1" spans="1:17" ht="18.75" x14ac:dyDescent="0.2">
      <c r="A1" s="95" t="s">
        <v>385</v>
      </c>
      <c r="B1" s="126" t="s">
        <v>343</v>
      </c>
      <c r="C1" s="127"/>
      <c r="D1" s="127"/>
      <c r="E1" s="127"/>
      <c r="F1" s="127"/>
      <c r="G1" s="127"/>
      <c r="H1" s="127"/>
      <c r="I1" s="128"/>
    </row>
    <row r="2" spans="1:17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  <c r="I2" s="7"/>
    </row>
    <row r="3" spans="1:17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17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125" t="s">
        <v>765</v>
      </c>
      <c r="I4" s="33" t="s">
        <v>7</v>
      </c>
      <c r="J4" s="35"/>
    </row>
    <row r="5" spans="1:17" ht="12.75" customHeight="1" x14ac:dyDescent="0.2">
      <c r="F5" s="14"/>
      <c r="G5" s="15"/>
      <c r="H5" s="15"/>
      <c r="I5" s="16"/>
    </row>
    <row r="6" spans="1:17" ht="12.75" customHeight="1" x14ac:dyDescent="0.2">
      <c r="F6" s="14"/>
      <c r="G6" s="15"/>
      <c r="H6" s="15"/>
      <c r="I6" s="16"/>
    </row>
    <row r="7" spans="1:17" ht="12.75" customHeight="1" x14ac:dyDescent="0.2">
      <c r="B7" s="17" t="s">
        <v>9</v>
      </c>
      <c r="C7" s="17"/>
      <c r="F7" s="14"/>
      <c r="G7" s="15"/>
      <c r="H7" s="15"/>
      <c r="I7" s="16"/>
    </row>
    <row r="8" spans="1:17" ht="12.75" customHeight="1" x14ac:dyDescent="0.2">
      <c r="B8" s="17" t="s">
        <v>407</v>
      </c>
      <c r="C8" s="17"/>
      <c r="F8" s="14"/>
      <c r="G8" s="15"/>
      <c r="H8" s="15"/>
      <c r="I8" s="61"/>
      <c r="K8" s="18" t="s">
        <v>699</v>
      </c>
      <c r="L8" s="38" t="s">
        <v>13</v>
      </c>
    </row>
    <row r="9" spans="1:17" s="66" customFormat="1" ht="12.75" customHeight="1" x14ac:dyDescent="0.2">
      <c r="A9" s="66">
        <f>+MAX($A$7:A8)+1</f>
        <v>1</v>
      </c>
      <c r="B9" s="78" t="s">
        <v>227</v>
      </c>
      <c r="C9" s="78" t="s">
        <v>71</v>
      </c>
      <c r="D9" s="78" t="s">
        <v>28</v>
      </c>
      <c r="E9" s="75">
        <v>10200</v>
      </c>
      <c r="F9" s="76">
        <v>134.4513</v>
      </c>
      <c r="G9" s="77">
        <f t="shared" ref="G9:G35" si="0">+ROUND(F9/VLOOKUP("Grand Total",$B$4:$F$304,5,0),4)</f>
        <v>1.9099999999999999E-2</v>
      </c>
      <c r="H9" s="77"/>
      <c r="I9" s="92" t="s">
        <v>372</v>
      </c>
      <c r="J9" s="102"/>
      <c r="K9" s="15" t="s">
        <v>21</v>
      </c>
      <c r="L9" s="104">
        <f t="shared" ref="L9:L38" si="1">SUMIFS($G$5:$G$373,$D$5:$D$373,K9)</f>
        <v>0.11979999999999999</v>
      </c>
      <c r="M9" s="85"/>
      <c r="N9" s="91"/>
      <c r="O9" s="91"/>
      <c r="Q9" s="91"/>
    </row>
    <row r="10" spans="1:17" s="66" customFormat="1" ht="12.75" customHeight="1" x14ac:dyDescent="0.2">
      <c r="A10" s="66">
        <f>+MAX($A$7:A9)+1</f>
        <v>2</v>
      </c>
      <c r="B10" s="78" t="s">
        <v>580</v>
      </c>
      <c r="C10" s="78" t="s">
        <v>581</v>
      </c>
      <c r="D10" s="78" t="s">
        <v>26</v>
      </c>
      <c r="E10" s="75">
        <v>1809</v>
      </c>
      <c r="F10" s="76">
        <v>121.14692099999999</v>
      </c>
      <c r="G10" s="77">
        <f t="shared" si="0"/>
        <v>1.72E-2</v>
      </c>
      <c r="H10" s="77"/>
      <c r="I10" s="92" t="s">
        <v>372</v>
      </c>
      <c r="J10" s="102"/>
      <c r="K10" s="91" t="s">
        <v>24</v>
      </c>
      <c r="L10" s="104">
        <f t="shared" si="1"/>
        <v>7.6100000000000001E-2</v>
      </c>
      <c r="M10" s="85"/>
      <c r="N10" s="91"/>
      <c r="O10" s="91"/>
      <c r="Q10" s="91"/>
    </row>
    <row r="11" spans="1:17" ht="12.75" customHeight="1" x14ac:dyDescent="0.2">
      <c r="A11" s="66">
        <f>+MAX($A$7:A10)+1</f>
        <v>3</v>
      </c>
      <c r="B11" s="78" t="s">
        <v>200</v>
      </c>
      <c r="C11" s="78" t="s">
        <v>27</v>
      </c>
      <c r="D11" s="78" t="s">
        <v>24</v>
      </c>
      <c r="E11" s="75">
        <v>6600</v>
      </c>
      <c r="F11" s="76">
        <v>119.3742</v>
      </c>
      <c r="G11" s="46">
        <f t="shared" si="0"/>
        <v>1.7000000000000001E-2</v>
      </c>
      <c r="H11" s="46"/>
      <c r="I11" s="43" t="s">
        <v>372</v>
      </c>
      <c r="J11" s="42"/>
      <c r="K11" s="91" t="s">
        <v>26</v>
      </c>
      <c r="L11" s="104">
        <f t="shared" si="1"/>
        <v>7.4799999999999991E-2</v>
      </c>
      <c r="M11" s="37"/>
      <c r="N11" s="15"/>
      <c r="O11" s="15"/>
      <c r="Q11" s="15"/>
    </row>
    <row r="12" spans="1:17" ht="12.75" customHeight="1" x14ac:dyDescent="0.2">
      <c r="A12" s="66">
        <f>+MAX($A$7:A11)+1</f>
        <v>4</v>
      </c>
      <c r="B12" s="78" t="s">
        <v>230</v>
      </c>
      <c r="C12" s="78" t="s">
        <v>79</v>
      </c>
      <c r="D12" s="78" t="s">
        <v>51</v>
      </c>
      <c r="E12" s="75">
        <v>38030</v>
      </c>
      <c r="F12" s="76">
        <v>117.569745</v>
      </c>
      <c r="G12" s="46">
        <f t="shared" si="0"/>
        <v>1.67E-2</v>
      </c>
      <c r="H12" s="46"/>
      <c r="I12" s="43" t="s">
        <v>372</v>
      </c>
      <c r="J12" s="42"/>
      <c r="K12" s="91" t="s">
        <v>36</v>
      </c>
      <c r="L12" s="104">
        <f t="shared" si="1"/>
        <v>7.1099999999999997E-2</v>
      </c>
      <c r="M12" s="37"/>
      <c r="N12" s="15"/>
      <c r="O12" s="15"/>
      <c r="Q12" s="15"/>
    </row>
    <row r="13" spans="1:17" s="66" customFormat="1" ht="12.75" customHeight="1" x14ac:dyDescent="0.2">
      <c r="A13" s="66">
        <f>+MAX($A$7:A12)+1</f>
        <v>5</v>
      </c>
      <c r="B13" s="78" t="s">
        <v>194</v>
      </c>
      <c r="C13" s="78" t="s">
        <v>14</v>
      </c>
      <c r="D13" s="78" t="s">
        <v>10</v>
      </c>
      <c r="E13" s="75">
        <v>5200</v>
      </c>
      <c r="F13" s="76">
        <v>97.978399999999993</v>
      </c>
      <c r="G13" s="77">
        <f t="shared" si="0"/>
        <v>1.3899999999999999E-2</v>
      </c>
      <c r="H13" s="77"/>
      <c r="I13" s="92" t="s">
        <v>372</v>
      </c>
      <c r="J13" s="102"/>
      <c r="K13" s="91" t="s">
        <v>560</v>
      </c>
      <c r="L13" s="104">
        <f t="shared" si="1"/>
        <v>6.989999999999999E-2</v>
      </c>
      <c r="M13" s="85"/>
      <c r="N13" s="91"/>
      <c r="O13" s="91"/>
      <c r="Q13" s="91"/>
    </row>
    <row r="14" spans="1:17" ht="12.75" customHeight="1" x14ac:dyDescent="0.2">
      <c r="A14" s="66">
        <f>+MAX($A$7:A13)+1</f>
        <v>6</v>
      </c>
      <c r="B14" s="78" t="s">
        <v>242</v>
      </c>
      <c r="C14" s="78" t="s">
        <v>100</v>
      </c>
      <c r="D14" s="78" t="s">
        <v>21</v>
      </c>
      <c r="E14" s="75">
        <v>12656</v>
      </c>
      <c r="F14" s="76">
        <v>92.179975999999996</v>
      </c>
      <c r="G14" s="46">
        <f t="shared" si="0"/>
        <v>1.3100000000000001E-2</v>
      </c>
      <c r="H14" s="46"/>
      <c r="I14" s="43" t="s">
        <v>372</v>
      </c>
      <c r="J14" s="42"/>
      <c r="K14" s="91" t="s">
        <v>10</v>
      </c>
      <c r="L14" s="104">
        <f t="shared" si="1"/>
        <v>5.8400000000000001E-2</v>
      </c>
      <c r="M14" s="37"/>
      <c r="N14" s="15"/>
      <c r="O14" s="15"/>
      <c r="Q14" s="15"/>
    </row>
    <row r="15" spans="1:17" ht="12.75" customHeight="1" x14ac:dyDescent="0.2">
      <c r="A15" s="66">
        <f>+MAX($A$7:A14)+1</f>
        <v>7</v>
      </c>
      <c r="B15" s="78" t="s">
        <v>195</v>
      </c>
      <c r="C15" s="78" t="s">
        <v>16</v>
      </c>
      <c r="D15" s="78" t="s">
        <v>15</v>
      </c>
      <c r="E15" s="75">
        <v>6900</v>
      </c>
      <c r="F15" s="76">
        <v>80.909400000000005</v>
      </c>
      <c r="G15" s="46">
        <f t="shared" si="0"/>
        <v>1.15E-2</v>
      </c>
      <c r="H15" s="46"/>
      <c r="I15" s="43" t="s">
        <v>372</v>
      </c>
      <c r="J15" s="42"/>
      <c r="K15" s="91" t="s">
        <v>34</v>
      </c>
      <c r="L15" s="104">
        <f t="shared" si="1"/>
        <v>3.4200000000000001E-2</v>
      </c>
      <c r="M15" s="37"/>
      <c r="N15" s="15"/>
      <c r="O15" s="15"/>
      <c r="Q15" s="15"/>
    </row>
    <row r="16" spans="1:17" ht="12.75" customHeight="1" x14ac:dyDescent="0.2">
      <c r="A16" s="66">
        <f>+MAX($A$7:A15)+1</f>
        <v>8</v>
      </c>
      <c r="B16" s="78" t="s">
        <v>578</v>
      </c>
      <c r="C16" s="78" t="s">
        <v>579</v>
      </c>
      <c r="D16" s="78" t="s">
        <v>36</v>
      </c>
      <c r="E16" s="75">
        <v>90000</v>
      </c>
      <c r="F16" s="76">
        <v>76.05</v>
      </c>
      <c r="G16" s="46">
        <f t="shared" si="0"/>
        <v>1.0800000000000001E-2</v>
      </c>
      <c r="H16" s="46"/>
      <c r="I16" s="43" t="s">
        <v>372</v>
      </c>
      <c r="J16" s="42"/>
      <c r="K16" s="91" t="s">
        <v>15</v>
      </c>
      <c r="L16" s="104">
        <f t="shared" si="1"/>
        <v>3.1699999999999999E-2</v>
      </c>
      <c r="M16" s="37"/>
      <c r="N16" s="15"/>
      <c r="O16" s="15"/>
      <c r="Q16" s="15"/>
    </row>
    <row r="17" spans="1:17" s="66" customFormat="1" ht="12.75" customHeight="1" x14ac:dyDescent="0.2">
      <c r="A17" s="66">
        <f>+MAX($A$7:A16)+1</f>
        <v>9</v>
      </c>
      <c r="B17" s="78" t="s">
        <v>395</v>
      </c>
      <c r="C17" s="78" t="s">
        <v>394</v>
      </c>
      <c r="D17" s="78" t="s">
        <v>26</v>
      </c>
      <c r="E17" s="75">
        <v>22000</v>
      </c>
      <c r="F17" s="76">
        <v>71.510999999999996</v>
      </c>
      <c r="G17" s="77">
        <f t="shared" si="0"/>
        <v>1.0200000000000001E-2</v>
      </c>
      <c r="H17" s="77"/>
      <c r="I17" s="92" t="s">
        <v>372</v>
      </c>
      <c r="J17" s="102"/>
      <c r="K17" s="91" t="s">
        <v>291</v>
      </c>
      <c r="L17" s="104">
        <f t="shared" si="1"/>
        <v>2.8400000000000002E-2</v>
      </c>
      <c r="M17" s="85"/>
      <c r="N17" s="91"/>
      <c r="O17" s="91"/>
      <c r="Q17" s="91"/>
    </row>
    <row r="18" spans="1:17" ht="12.75" customHeight="1" x14ac:dyDescent="0.2">
      <c r="A18" s="66">
        <f>+MAX($A$7:A17)+1</f>
        <v>10</v>
      </c>
      <c r="B18" s="78" t="s">
        <v>218</v>
      </c>
      <c r="C18" s="78" t="s">
        <v>20</v>
      </c>
      <c r="D18" s="78" t="s">
        <v>15</v>
      </c>
      <c r="E18" s="75">
        <v>2350</v>
      </c>
      <c r="F18" s="76">
        <v>71.323674999999994</v>
      </c>
      <c r="G18" s="46">
        <f t="shared" si="0"/>
        <v>1.01E-2</v>
      </c>
      <c r="H18" s="46"/>
      <c r="I18" s="43" t="s">
        <v>372</v>
      </c>
      <c r="J18" s="42"/>
      <c r="K18" s="91" t="s">
        <v>32</v>
      </c>
      <c r="L18" s="104">
        <f t="shared" si="1"/>
        <v>2.7099999999999999E-2</v>
      </c>
      <c r="M18" s="37"/>
      <c r="N18" s="15"/>
      <c r="O18" s="15"/>
      <c r="Q18" s="15"/>
    </row>
    <row r="19" spans="1:17" ht="12.75" customHeight="1" x14ac:dyDescent="0.2">
      <c r="A19" s="66">
        <f>+MAX($A$7:A18)+1</f>
        <v>11</v>
      </c>
      <c r="B19" s="78" t="s">
        <v>199</v>
      </c>
      <c r="C19" s="78" t="s">
        <v>25</v>
      </c>
      <c r="D19" s="78" t="s">
        <v>15</v>
      </c>
      <c r="E19" s="75">
        <v>7550</v>
      </c>
      <c r="F19" s="76">
        <v>70.992649999999998</v>
      </c>
      <c r="G19" s="46">
        <f t="shared" si="0"/>
        <v>1.01E-2</v>
      </c>
      <c r="H19" s="46"/>
      <c r="I19" s="43" t="s">
        <v>372</v>
      </c>
      <c r="J19" s="42"/>
      <c r="K19" s="91" t="s">
        <v>571</v>
      </c>
      <c r="L19" s="104">
        <f t="shared" si="1"/>
        <v>2.6700000000000002E-2</v>
      </c>
      <c r="M19" s="37"/>
      <c r="N19" s="15"/>
      <c r="O19" s="15"/>
      <c r="Q19" s="15"/>
    </row>
    <row r="20" spans="1:17" s="66" customFormat="1" ht="12.75" customHeight="1" x14ac:dyDescent="0.2">
      <c r="A20" s="66">
        <f>+MAX($A$7:A19)+1</f>
        <v>12</v>
      </c>
      <c r="B20" s="78" t="s">
        <v>203</v>
      </c>
      <c r="C20" s="78" t="s">
        <v>46</v>
      </c>
      <c r="D20" s="78" t="s">
        <v>26</v>
      </c>
      <c r="E20" s="75">
        <v>25834</v>
      </c>
      <c r="F20" s="76">
        <v>68.473016999999999</v>
      </c>
      <c r="G20" s="77">
        <f t="shared" si="0"/>
        <v>9.7000000000000003E-3</v>
      </c>
      <c r="H20" s="77"/>
      <c r="I20" s="92" t="s">
        <v>372</v>
      </c>
      <c r="J20" s="102"/>
      <c r="K20" s="91" t="s">
        <v>19</v>
      </c>
      <c r="L20" s="104">
        <f t="shared" si="1"/>
        <v>2.4799999999999999E-2</v>
      </c>
      <c r="M20" s="85"/>
      <c r="N20" s="91"/>
      <c r="O20" s="91"/>
      <c r="Q20" s="91"/>
    </row>
    <row r="21" spans="1:17" ht="12.75" customHeight="1" x14ac:dyDescent="0.2">
      <c r="A21" s="66">
        <f>+MAX($A$7:A20)+1</f>
        <v>13</v>
      </c>
      <c r="B21" s="78" t="s">
        <v>700</v>
      </c>
      <c r="C21" s="78" t="s">
        <v>701</v>
      </c>
      <c r="D21" s="78" t="s">
        <v>37</v>
      </c>
      <c r="E21" s="75">
        <v>5032</v>
      </c>
      <c r="F21" s="76">
        <v>67.212423999999999</v>
      </c>
      <c r="G21" s="46">
        <f t="shared" si="0"/>
        <v>9.5999999999999992E-3</v>
      </c>
      <c r="H21" s="46"/>
      <c r="I21" s="43" t="s">
        <v>372</v>
      </c>
      <c r="J21" s="42"/>
      <c r="K21" s="91" t="s">
        <v>293</v>
      </c>
      <c r="L21" s="104">
        <f t="shared" si="1"/>
        <v>2.41E-2</v>
      </c>
      <c r="M21" s="37"/>
      <c r="N21" s="15"/>
      <c r="O21" s="15"/>
      <c r="Q21" s="15"/>
    </row>
    <row r="22" spans="1:17" ht="12.75" customHeight="1" x14ac:dyDescent="0.2">
      <c r="A22" s="66">
        <f>+MAX($A$7:A21)+1</f>
        <v>14</v>
      </c>
      <c r="B22" s="78" t="s">
        <v>252</v>
      </c>
      <c r="C22" s="78" t="s">
        <v>115</v>
      </c>
      <c r="D22" s="78" t="s">
        <v>36</v>
      </c>
      <c r="E22" s="75">
        <v>40514</v>
      </c>
      <c r="F22" s="76">
        <v>66.139105000000001</v>
      </c>
      <c r="G22" s="46">
        <f t="shared" si="0"/>
        <v>9.4000000000000004E-3</v>
      </c>
      <c r="H22" s="46"/>
      <c r="I22" s="43" t="s">
        <v>372</v>
      </c>
      <c r="J22" s="42"/>
      <c r="K22" s="91" t="s">
        <v>102</v>
      </c>
      <c r="L22" s="104">
        <f t="shared" si="1"/>
        <v>2.3600000000000003E-2</v>
      </c>
      <c r="M22" s="37"/>
      <c r="N22" s="15"/>
      <c r="O22" s="15"/>
      <c r="Q22" s="15"/>
    </row>
    <row r="23" spans="1:17" ht="12.75" customHeight="1" x14ac:dyDescent="0.2">
      <c r="A23" s="66">
        <f>+MAX($A$7:A22)+1</f>
        <v>15</v>
      </c>
      <c r="B23" s="78" t="s">
        <v>233</v>
      </c>
      <c r="C23" s="78" t="s">
        <v>78</v>
      </c>
      <c r="D23" s="78" t="s">
        <v>26</v>
      </c>
      <c r="E23" s="75">
        <v>1970</v>
      </c>
      <c r="F23" s="76">
        <v>64.851415000000003</v>
      </c>
      <c r="G23" s="46">
        <f t="shared" si="0"/>
        <v>9.1999999999999998E-3</v>
      </c>
      <c r="H23" s="46"/>
      <c r="I23" s="43" t="s">
        <v>372</v>
      </c>
      <c r="J23" s="42"/>
      <c r="K23" s="15" t="s">
        <v>321</v>
      </c>
      <c r="L23" s="104">
        <f t="shared" si="1"/>
        <v>2.3400000000000001E-2</v>
      </c>
      <c r="M23" s="37"/>
      <c r="N23" s="15"/>
      <c r="O23" s="15"/>
      <c r="Q23" s="15"/>
    </row>
    <row r="24" spans="1:17" ht="12.75" customHeight="1" x14ac:dyDescent="0.2">
      <c r="A24" s="66">
        <f>+MAX($A$7:A23)+1</f>
        <v>16</v>
      </c>
      <c r="B24" s="78" t="s">
        <v>249</v>
      </c>
      <c r="C24" s="78" t="s">
        <v>114</v>
      </c>
      <c r="D24" s="78" t="s">
        <v>36</v>
      </c>
      <c r="E24" s="75">
        <v>30000</v>
      </c>
      <c r="F24" s="76">
        <v>59.31</v>
      </c>
      <c r="G24" s="46">
        <f t="shared" si="0"/>
        <v>8.3999999999999995E-3</v>
      </c>
      <c r="H24" s="46"/>
      <c r="I24" s="43" t="s">
        <v>372</v>
      </c>
      <c r="J24" s="42"/>
      <c r="K24" s="91" t="s">
        <v>23</v>
      </c>
      <c r="L24" s="104">
        <f t="shared" si="1"/>
        <v>2.3E-2</v>
      </c>
      <c r="M24" s="37"/>
      <c r="N24" s="15"/>
      <c r="O24" s="15"/>
      <c r="Q24" s="15"/>
    </row>
    <row r="25" spans="1:17" ht="12.75" customHeight="1" x14ac:dyDescent="0.2">
      <c r="A25" s="66">
        <f>+MAX($A$7:A24)+1</f>
        <v>17</v>
      </c>
      <c r="B25" s="78" t="s">
        <v>255</v>
      </c>
      <c r="C25" s="78" t="s">
        <v>118</v>
      </c>
      <c r="D25" s="78" t="s">
        <v>102</v>
      </c>
      <c r="E25" s="75">
        <v>10400</v>
      </c>
      <c r="F25" s="76">
        <v>58.796399999999998</v>
      </c>
      <c r="G25" s="46">
        <f t="shared" si="0"/>
        <v>8.3999999999999995E-3</v>
      </c>
      <c r="H25" s="46"/>
      <c r="I25" s="43" t="s">
        <v>372</v>
      </c>
      <c r="J25" s="42"/>
      <c r="K25" s="91" t="s">
        <v>108</v>
      </c>
      <c r="L25" s="104">
        <f t="shared" si="1"/>
        <v>2.1499999999999998E-2</v>
      </c>
      <c r="M25" s="37"/>
      <c r="N25" s="15"/>
      <c r="O25" s="15"/>
      <c r="Q25" s="15"/>
    </row>
    <row r="26" spans="1:17" ht="12.75" customHeight="1" x14ac:dyDescent="0.2">
      <c r="A26" s="66">
        <f>+MAX($A$7:A25)+1</f>
        <v>18</v>
      </c>
      <c r="B26" s="78" t="s">
        <v>201</v>
      </c>
      <c r="C26" s="78" t="s">
        <v>39</v>
      </c>
      <c r="D26" s="78" t="s">
        <v>21</v>
      </c>
      <c r="E26" s="75">
        <v>1930</v>
      </c>
      <c r="F26" s="76">
        <v>58.297580000000004</v>
      </c>
      <c r="G26" s="46">
        <f t="shared" si="0"/>
        <v>8.3000000000000001E-3</v>
      </c>
      <c r="H26" s="46"/>
      <c r="I26" s="43" t="s">
        <v>372</v>
      </c>
      <c r="J26" s="42"/>
      <c r="K26" s="91" t="s">
        <v>28</v>
      </c>
      <c r="L26" s="104">
        <f t="shared" si="1"/>
        <v>1.9099999999999999E-2</v>
      </c>
      <c r="M26" s="37"/>
      <c r="N26" s="15"/>
      <c r="O26" s="15"/>
      <c r="Q26" s="15"/>
    </row>
    <row r="27" spans="1:17" ht="12.75" customHeight="1" x14ac:dyDescent="0.2">
      <c r="A27" s="66">
        <f>+MAX($A$7:A26)+1</f>
        <v>19</v>
      </c>
      <c r="B27" s="78" t="s">
        <v>507</v>
      </c>
      <c r="C27" s="78" t="s">
        <v>508</v>
      </c>
      <c r="D27" s="78" t="s">
        <v>24</v>
      </c>
      <c r="E27" s="75">
        <v>13400</v>
      </c>
      <c r="F27" s="76">
        <v>57.975099999999998</v>
      </c>
      <c r="G27" s="46">
        <f t="shared" si="0"/>
        <v>8.2000000000000007E-3</v>
      </c>
      <c r="H27" s="46"/>
      <c r="I27" s="43" t="s">
        <v>372</v>
      </c>
      <c r="J27" s="42"/>
      <c r="K27" s="91" t="s">
        <v>364</v>
      </c>
      <c r="L27" s="104">
        <f t="shared" si="1"/>
        <v>1.8499999999999999E-2</v>
      </c>
      <c r="M27" s="37"/>
      <c r="N27" s="15"/>
      <c r="O27" s="15"/>
      <c r="Q27" s="15"/>
    </row>
    <row r="28" spans="1:17" ht="12.75" customHeight="1" x14ac:dyDescent="0.2">
      <c r="A28" s="66">
        <f>+MAX($A$7:A27)+1</f>
        <v>20</v>
      </c>
      <c r="B28" s="78" t="s">
        <v>582</v>
      </c>
      <c r="C28" s="78" t="s">
        <v>583</v>
      </c>
      <c r="D28" s="78" t="s">
        <v>106</v>
      </c>
      <c r="E28" s="75">
        <v>66000</v>
      </c>
      <c r="F28" s="76">
        <v>54.911999999999999</v>
      </c>
      <c r="G28" s="46">
        <f t="shared" si="0"/>
        <v>7.7999999999999996E-3</v>
      </c>
      <c r="H28" s="46"/>
      <c r="I28" s="43" t="s">
        <v>372</v>
      </c>
      <c r="J28" s="42"/>
      <c r="K28" s="91" t="s">
        <v>51</v>
      </c>
      <c r="L28" s="104">
        <f t="shared" si="1"/>
        <v>1.67E-2</v>
      </c>
      <c r="M28" s="37"/>
      <c r="N28" s="15"/>
      <c r="O28" s="15"/>
      <c r="Q28" s="15"/>
    </row>
    <row r="29" spans="1:17" ht="12.75" customHeight="1" x14ac:dyDescent="0.2">
      <c r="A29" s="66">
        <f>+MAX($A$7:A28)+1</f>
        <v>21</v>
      </c>
      <c r="B29" s="78" t="s">
        <v>250</v>
      </c>
      <c r="C29" s="78" t="s">
        <v>112</v>
      </c>
      <c r="D29" s="78" t="s">
        <v>21</v>
      </c>
      <c r="E29" s="75">
        <v>1506</v>
      </c>
      <c r="F29" s="76">
        <v>54.166302000000002</v>
      </c>
      <c r="G29" s="46">
        <f t="shared" si="0"/>
        <v>7.7000000000000002E-3</v>
      </c>
      <c r="H29" s="46"/>
      <c r="I29" s="43" t="s">
        <v>372</v>
      </c>
      <c r="J29" s="42"/>
      <c r="K29" s="91" t="s">
        <v>41</v>
      </c>
      <c r="L29" s="104">
        <f t="shared" si="1"/>
        <v>1.6500000000000001E-2</v>
      </c>
      <c r="M29" s="37"/>
      <c r="N29" s="15"/>
      <c r="O29" s="15"/>
      <c r="Q29" s="15"/>
    </row>
    <row r="30" spans="1:17" ht="12.75" customHeight="1" x14ac:dyDescent="0.2">
      <c r="A30" s="66">
        <f>+MAX($A$7:A29)+1</f>
        <v>22</v>
      </c>
      <c r="B30" s="78" t="s">
        <v>205</v>
      </c>
      <c r="C30" s="78" t="s">
        <v>48</v>
      </c>
      <c r="D30" s="78" t="s">
        <v>26</v>
      </c>
      <c r="E30" s="75">
        <v>1027</v>
      </c>
      <c r="F30" s="76">
        <v>51.290947500000001</v>
      </c>
      <c r="G30" s="46">
        <f t="shared" si="0"/>
        <v>7.3000000000000001E-3</v>
      </c>
      <c r="H30" s="46"/>
      <c r="I30" s="43" t="s">
        <v>372</v>
      </c>
      <c r="J30" s="42"/>
      <c r="K30" s="15" t="s">
        <v>45</v>
      </c>
      <c r="L30" s="104">
        <f t="shared" si="1"/>
        <v>1.47E-2</v>
      </c>
      <c r="M30" s="37"/>
      <c r="N30" s="15"/>
      <c r="O30" s="15"/>
      <c r="Q30" s="15"/>
    </row>
    <row r="31" spans="1:17" ht="12.75" customHeight="1" x14ac:dyDescent="0.2">
      <c r="A31" s="66">
        <f>+MAX($A$7:A30)+1</f>
        <v>23</v>
      </c>
      <c r="B31" s="78" t="s">
        <v>197</v>
      </c>
      <c r="C31" s="78" t="s">
        <v>11</v>
      </c>
      <c r="D31" s="78" t="s">
        <v>10</v>
      </c>
      <c r="E31" s="75">
        <v>14966</v>
      </c>
      <c r="F31" s="76">
        <v>46.880994999999999</v>
      </c>
      <c r="G31" s="46">
        <f t="shared" si="0"/>
        <v>6.7000000000000002E-3</v>
      </c>
      <c r="H31" s="46"/>
      <c r="I31" s="43" t="s">
        <v>372</v>
      </c>
      <c r="J31" s="42"/>
      <c r="K31" s="15" t="s">
        <v>632</v>
      </c>
      <c r="L31" s="104">
        <f t="shared" si="1"/>
        <v>1.2999999999999999E-2</v>
      </c>
      <c r="M31" s="37"/>
      <c r="N31" s="15"/>
      <c r="O31" s="15"/>
      <c r="Q31" s="15"/>
    </row>
    <row r="32" spans="1:17" ht="12.75" customHeight="1" x14ac:dyDescent="0.2">
      <c r="A32" s="66">
        <f>+MAX($A$7:A31)+1</f>
        <v>24</v>
      </c>
      <c r="B32" s="78" t="s">
        <v>17</v>
      </c>
      <c r="C32" s="78" t="s">
        <v>18</v>
      </c>
      <c r="D32" s="78" t="s">
        <v>10</v>
      </c>
      <c r="E32" s="75">
        <v>13908</v>
      </c>
      <c r="F32" s="76">
        <v>37.273440000000001</v>
      </c>
      <c r="G32" s="46">
        <f t="shared" si="0"/>
        <v>5.3E-3</v>
      </c>
      <c r="H32" s="46"/>
      <c r="I32" s="43" t="s">
        <v>372</v>
      </c>
      <c r="J32" s="42"/>
      <c r="K32" s="91" t="s">
        <v>178</v>
      </c>
      <c r="L32" s="104">
        <f t="shared" si="1"/>
        <v>1.2699999999999999E-2</v>
      </c>
      <c r="M32" s="37"/>
      <c r="N32" s="15"/>
      <c r="O32" s="15"/>
      <c r="Q32" s="15"/>
    </row>
    <row r="33" spans="1:17" ht="12.75" customHeight="1" x14ac:dyDescent="0.2">
      <c r="A33" s="66">
        <f>+MAX($A$7:A32)+1</f>
        <v>25</v>
      </c>
      <c r="B33" s="78" t="s">
        <v>219</v>
      </c>
      <c r="C33" s="78" t="s">
        <v>29</v>
      </c>
      <c r="D33" s="78" t="s">
        <v>10</v>
      </c>
      <c r="E33" s="75">
        <v>6645</v>
      </c>
      <c r="F33" s="76">
        <v>35.135437500000002</v>
      </c>
      <c r="G33" s="46">
        <f t="shared" si="0"/>
        <v>5.0000000000000001E-3</v>
      </c>
      <c r="H33" s="46"/>
      <c r="I33" s="43" t="s">
        <v>372</v>
      </c>
      <c r="J33" s="42"/>
      <c r="K33" s="91" t="s">
        <v>143</v>
      </c>
      <c r="L33" s="104">
        <f t="shared" si="1"/>
        <v>1.03E-2</v>
      </c>
      <c r="M33" s="37"/>
      <c r="N33" s="15"/>
      <c r="O33" s="15"/>
      <c r="Q33" s="15"/>
    </row>
    <row r="34" spans="1:17" ht="12.75" customHeight="1" x14ac:dyDescent="0.2">
      <c r="A34" s="66">
        <f>+MAX($A$7:A33)+1</f>
        <v>26</v>
      </c>
      <c r="B34" s="78" t="s">
        <v>211</v>
      </c>
      <c r="C34" s="78" t="s">
        <v>49</v>
      </c>
      <c r="D34" s="78" t="s">
        <v>21</v>
      </c>
      <c r="E34" s="75">
        <v>378</v>
      </c>
      <c r="F34" s="76">
        <v>33.456591000000003</v>
      </c>
      <c r="G34" s="46">
        <f t="shared" si="0"/>
        <v>4.7999999999999996E-3</v>
      </c>
      <c r="H34" s="46"/>
      <c r="I34" s="43" t="s">
        <v>372</v>
      </c>
      <c r="J34" s="42"/>
      <c r="K34" s="91" t="s">
        <v>37</v>
      </c>
      <c r="L34" s="104">
        <f t="shared" si="1"/>
        <v>9.5999999999999992E-3</v>
      </c>
      <c r="M34" s="37"/>
      <c r="N34" s="15"/>
      <c r="O34" s="15"/>
      <c r="Q34" s="15"/>
    </row>
    <row r="35" spans="1:17" ht="12.75" customHeight="1" x14ac:dyDescent="0.2">
      <c r="A35" s="66">
        <f>+MAX($A$7:A34)+1</f>
        <v>27</v>
      </c>
      <c r="B35" s="78" t="s">
        <v>217</v>
      </c>
      <c r="C35" s="78" t="s">
        <v>61</v>
      </c>
      <c r="D35" s="78" t="s">
        <v>23</v>
      </c>
      <c r="E35" s="75">
        <v>2866</v>
      </c>
      <c r="F35" s="76">
        <v>17.594373999999998</v>
      </c>
      <c r="G35" s="46">
        <f t="shared" si="0"/>
        <v>2.5000000000000001E-3</v>
      </c>
      <c r="H35" s="46"/>
      <c r="I35" s="43" t="s">
        <v>372</v>
      </c>
      <c r="J35" s="42"/>
      <c r="K35" s="91" t="s">
        <v>38</v>
      </c>
      <c r="L35" s="104">
        <f t="shared" si="1"/>
        <v>9.4000000000000004E-3</v>
      </c>
      <c r="M35" s="37"/>
      <c r="N35" s="15"/>
      <c r="O35" s="15"/>
      <c r="Q35" s="15"/>
    </row>
    <row r="36" spans="1:17" ht="12.75" customHeight="1" x14ac:dyDescent="0.2">
      <c r="B36" s="19" t="s">
        <v>85</v>
      </c>
      <c r="C36" s="19"/>
      <c r="D36" s="19"/>
      <c r="E36" s="20"/>
      <c r="F36" s="20">
        <f>SUM(F9:F35)</f>
        <v>1885.2523950000002</v>
      </c>
      <c r="G36" s="21">
        <f>SUM(G9:G35)</f>
        <v>0.26800000000000007</v>
      </c>
      <c r="H36" s="21"/>
      <c r="I36" s="22"/>
      <c r="J36" s="50"/>
      <c r="K36" s="91" t="s">
        <v>106</v>
      </c>
      <c r="L36" s="104">
        <f t="shared" si="1"/>
        <v>7.7999999999999996E-3</v>
      </c>
    </row>
    <row r="37" spans="1:17" ht="12.75" customHeight="1" x14ac:dyDescent="0.2">
      <c r="F37" s="45"/>
      <c r="G37" s="15"/>
      <c r="H37" s="15"/>
      <c r="I37" s="16"/>
      <c r="K37" s="15" t="s">
        <v>169</v>
      </c>
      <c r="L37" s="104">
        <f t="shared" si="1"/>
        <v>1.4E-3</v>
      </c>
    </row>
    <row r="38" spans="1:17" ht="12.75" customHeight="1" x14ac:dyDescent="0.2">
      <c r="A38" s="47"/>
      <c r="B38" s="17" t="s">
        <v>731</v>
      </c>
      <c r="C38" s="17"/>
      <c r="E38" s="39"/>
      <c r="F38" s="45"/>
      <c r="G38" s="46"/>
      <c r="H38" s="46"/>
      <c r="I38" s="48"/>
      <c r="K38" s="91" t="s">
        <v>324</v>
      </c>
      <c r="L38" s="104">
        <f t="shared" si="1"/>
        <v>0</v>
      </c>
      <c r="O38" s="15"/>
    </row>
    <row r="39" spans="1:17" s="66" customFormat="1" ht="12.75" customHeight="1" x14ac:dyDescent="0.2">
      <c r="A39" s="66">
        <f>+MAX($A$7:A38)+1</f>
        <v>28</v>
      </c>
      <c r="B39" s="78" t="s">
        <v>204</v>
      </c>
      <c r="C39" s="78" t="s">
        <v>44</v>
      </c>
      <c r="D39" s="78" t="s">
        <v>24</v>
      </c>
      <c r="E39" s="75">
        <v>63000</v>
      </c>
      <c r="F39" s="76">
        <v>344.10599999999999</v>
      </c>
      <c r="G39" s="77">
        <f>+ROUND(F39/VLOOKUP("Grand Total",$B$4:$F$304,5,0),4)</f>
        <v>4.8899999999999999E-2</v>
      </c>
      <c r="H39" s="77"/>
      <c r="I39" s="92" t="s">
        <v>372</v>
      </c>
      <c r="J39" s="102"/>
      <c r="K39" s="15" t="s">
        <v>64</v>
      </c>
      <c r="L39" s="49">
        <f>+SUMIFS($G$5:$G$996,$B$5:$B$996,"CBLO / Reverse Repo Investments")+SUMIFS($G$5:$G$996,$B$5:$B$996,"Net Receivable/Payable")</f>
        <v>9.1700000000000004E-2</v>
      </c>
      <c r="M39" s="55"/>
      <c r="N39" s="91"/>
      <c r="O39" s="91"/>
      <c r="Q39" s="91"/>
    </row>
    <row r="40" spans="1:17" s="66" customFormat="1" ht="12.75" customHeight="1" x14ac:dyDescent="0.2">
      <c r="A40" s="66">
        <f>+MAX($A$7:A39)+1</f>
        <v>29</v>
      </c>
      <c r="B40" s="78" t="s">
        <v>204</v>
      </c>
      <c r="C40" s="122" t="s">
        <v>667</v>
      </c>
      <c r="D40" s="78" t="s">
        <v>324</v>
      </c>
      <c r="E40" s="75">
        <v>-63000</v>
      </c>
      <c r="F40" s="76">
        <v>-345.96449999999999</v>
      </c>
      <c r="G40" s="77"/>
      <c r="H40" s="77">
        <f>+ROUND(F40/VLOOKUP("Grand Total",$B$4:$F$304,5,0),4)</f>
        <v>-4.9200000000000001E-2</v>
      </c>
      <c r="I40" s="90">
        <v>43187</v>
      </c>
      <c r="J40" s="102"/>
      <c r="K40" s="91"/>
      <c r="L40" s="104"/>
      <c r="M40" s="85"/>
      <c r="N40" s="91"/>
      <c r="O40" s="91"/>
      <c r="Q40" s="91"/>
    </row>
    <row r="41" spans="1:17" s="66" customFormat="1" ht="12.75" customHeight="1" x14ac:dyDescent="0.2">
      <c r="A41" s="66">
        <f>+MAX($A$7:A40)+1</f>
        <v>30</v>
      </c>
      <c r="B41" s="78" t="s">
        <v>652</v>
      </c>
      <c r="C41" s="78" t="s">
        <v>653</v>
      </c>
      <c r="D41" s="78" t="s">
        <v>36</v>
      </c>
      <c r="E41" s="75">
        <v>28050</v>
      </c>
      <c r="F41" s="76">
        <v>287.07772499999999</v>
      </c>
      <c r="G41" s="77">
        <f>+ROUND(F41/VLOOKUP("Grand Total",$B$4:$F$304,5,0),4)</f>
        <v>4.0800000000000003E-2</v>
      </c>
      <c r="H41" s="77"/>
      <c r="I41" s="92" t="s">
        <v>372</v>
      </c>
      <c r="J41" s="102"/>
      <c r="K41" s="91"/>
      <c r="L41" s="104"/>
      <c r="M41" s="85"/>
      <c r="N41" s="91"/>
      <c r="O41" s="91"/>
      <c r="Q41" s="91"/>
    </row>
    <row r="42" spans="1:17" s="66" customFormat="1" ht="12.75" customHeight="1" x14ac:dyDescent="0.2">
      <c r="A42" s="66">
        <f>+MAX($A$7:A41)+1</f>
        <v>31</v>
      </c>
      <c r="B42" s="78" t="s">
        <v>652</v>
      </c>
      <c r="C42" s="122" t="s">
        <v>667</v>
      </c>
      <c r="D42" s="78" t="s">
        <v>324</v>
      </c>
      <c r="E42" s="75">
        <v>-28050</v>
      </c>
      <c r="F42" s="76">
        <v>-285.22642500000001</v>
      </c>
      <c r="G42" s="77"/>
      <c r="H42" s="77">
        <f>+ROUND(F42/VLOOKUP("Grand Total",$B$4:$F$304,5,0),4)</f>
        <v>-4.0599999999999997E-2</v>
      </c>
      <c r="I42" s="90">
        <v>43187</v>
      </c>
      <c r="J42" s="102"/>
      <c r="K42" s="91"/>
      <c r="L42" s="104"/>
      <c r="M42" s="85"/>
      <c r="N42" s="91"/>
      <c r="O42" s="91"/>
      <c r="Q42" s="91"/>
    </row>
    <row r="43" spans="1:17" s="66" customFormat="1" ht="12.75" customHeight="1" x14ac:dyDescent="0.2">
      <c r="A43" s="66">
        <f>+MAX($A$7:A42)+1</f>
        <v>32</v>
      </c>
      <c r="B43" s="78" t="s">
        <v>344</v>
      </c>
      <c r="C43" s="78" t="s">
        <v>345</v>
      </c>
      <c r="D43" s="78" t="s">
        <v>21</v>
      </c>
      <c r="E43" s="75">
        <v>189000</v>
      </c>
      <c r="F43" s="76">
        <v>267.435</v>
      </c>
      <c r="G43" s="77">
        <f>+ROUND(F43/VLOOKUP("Grand Total",$B$4:$F$304,5,0),4)</f>
        <v>3.7999999999999999E-2</v>
      </c>
      <c r="H43" s="77"/>
      <c r="I43" s="92" t="s">
        <v>372</v>
      </c>
      <c r="J43" s="102"/>
      <c r="K43" s="91"/>
      <c r="L43" s="104"/>
      <c r="M43" s="85"/>
      <c r="N43" s="91"/>
      <c r="O43" s="91"/>
      <c r="Q43" s="91"/>
    </row>
    <row r="44" spans="1:17" s="66" customFormat="1" ht="12.75" customHeight="1" x14ac:dyDescent="0.2">
      <c r="A44" s="66">
        <f>+MAX($A$7:A43)+1</f>
        <v>33</v>
      </c>
      <c r="B44" s="78" t="s">
        <v>344</v>
      </c>
      <c r="C44" s="122" t="s">
        <v>667</v>
      </c>
      <c r="D44" s="78" t="s">
        <v>324</v>
      </c>
      <c r="E44" s="75">
        <v>-189000</v>
      </c>
      <c r="F44" s="76">
        <v>-268.47449999999998</v>
      </c>
      <c r="G44" s="77"/>
      <c r="H44" s="77">
        <f>+ROUND(F44/VLOOKUP("Grand Total",$B$4:$F$304,5,0),4)</f>
        <v>-3.8199999999999998E-2</v>
      </c>
      <c r="I44" s="90">
        <v>43187</v>
      </c>
      <c r="J44" s="102"/>
      <c r="K44" s="91"/>
      <c r="L44" s="104"/>
      <c r="M44" s="85"/>
      <c r="N44" s="91"/>
      <c r="O44" s="91"/>
      <c r="Q44" s="91"/>
    </row>
    <row r="45" spans="1:17" s="66" customFormat="1" ht="12.75" customHeight="1" x14ac:dyDescent="0.2">
      <c r="A45" s="66">
        <f>+MAX($A$7:A44)+1</f>
        <v>34</v>
      </c>
      <c r="B45" s="78" t="s">
        <v>216</v>
      </c>
      <c r="C45" s="78" t="s">
        <v>65</v>
      </c>
      <c r="D45" s="78" t="s">
        <v>34</v>
      </c>
      <c r="E45" s="75">
        <v>56100</v>
      </c>
      <c r="F45" s="76">
        <v>240.41655</v>
      </c>
      <c r="G45" s="77">
        <f>+ROUND(F45/VLOOKUP("Grand Total",$B$4:$F$304,5,0),4)</f>
        <v>3.4200000000000001E-2</v>
      </c>
      <c r="H45" s="77"/>
      <c r="I45" s="92" t="s">
        <v>372</v>
      </c>
      <c r="J45" s="102"/>
      <c r="K45" s="91"/>
      <c r="L45" s="104"/>
      <c r="M45" s="85"/>
      <c r="N45" s="91"/>
      <c r="O45" s="91"/>
      <c r="Q45" s="91"/>
    </row>
    <row r="46" spans="1:17" s="66" customFormat="1" ht="12.75" customHeight="1" x14ac:dyDescent="0.2">
      <c r="A46" s="66">
        <f>+MAX($A$7:A45)+1</f>
        <v>35</v>
      </c>
      <c r="B46" s="78" t="s">
        <v>216</v>
      </c>
      <c r="C46" s="122" t="s">
        <v>667</v>
      </c>
      <c r="D46" s="78" t="s">
        <v>324</v>
      </c>
      <c r="E46" s="75">
        <v>-56100</v>
      </c>
      <c r="F46" s="76">
        <v>-241.51050000000001</v>
      </c>
      <c r="G46" s="77"/>
      <c r="H46" s="77">
        <f>+ROUND(F46/VLOOKUP("Grand Total",$B$4:$F$304,5,0),4)</f>
        <v>-3.4299999999999997E-2</v>
      </c>
      <c r="I46" s="90">
        <v>43187</v>
      </c>
      <c r="J46" s="102"/>
      <c r="K46" s="91"/>
      <c r="L46" s="104"/>
      <c r="M46" s="85"/>
      <c r="N46" s="91"/>
      <c r="O46" s="91"/>
      <c r="Q46" s="91"/>
    </row>
    <row r="47" spans="1:17" s="66" customFormat="1" ht="12.75" customHeight="1" x14ac:dyDescent="0.2">
      <c r="A47" s="66">
        <f>+MAX($A$7:A46)+1</f>
        <v>36</v>
      </c>
      <c r="B47" s="78" t="s">
        <v>202</v>
      </c>
      <c r="C47" s="78" t="s">
        <v>35</v>
      </c>
      <c r="D47" s="78" t="s">
        <v>19</v>
      </c>
      <c r="E47" s="75">
        <v>14300</v>
      </c>
      <c r="F47" s="76">
        <v>174.49574999999999</v>
      </c>
      <c r="G47" s="77">
        <f>+ROUND(F47/VLOOKUP("Grand Total",$B$4:$F$304,5,0),4)</f>
        <v>2.4799999999999999E-2</v>
      </c>
      <c r="H47" s="77"/>
      <c r="I47" s="92" t="s">
        <v>372</v>
      </c>
      <c r="J47" s="102"/>
      <c r="K47" s="91"/>
      <c r="L47" s="104"/>
      <c r="M47" s="85"/>
      <c r="N47" s="91"/>
      <c r="O47" s="91"/>
      <c r="Q47" s="91"/>
    </row>
    <row r="48" spans="1:17" s="66" customFormat="1" ht="12.75" customHeight="1" x14ac:dyDescent="0.2">
      <c r="A48" s="66">
        <f>+MAX($A$7:A47)+1</f>
        <v>37</v>
      </c>
      <c r="B48" s="78" t="s">
        <v>202</v>
      </c>
      <c r="C48" s="122" t="s">
        <v>667</v>
      </c>
      <c r="D48" s="78" t="s">
        <v>324</v>
      </c>
      <c r="E48" s="75">
        <v>-14300</v>
      </c>
      <c r="F48" s="76">
        <v>-175.11064999999999</v>
      </c>
      <c r="G48" s="77"/>
      <c r="H48" s="77">
        <f>+ROUND(F48/VLOOKUP("Grand Total",$B$4:$F$304,5,0),4)</f>
        <v>-2.4899999999999999E-2</v>
      </c>
      <c r="I48" s="90">
        <v>43187</v>
      </c>
      <c r="J48" s="102"/>
      <c r="K48" s="91"/>
      <c r="L48" s="104"/>
      <c r="M48" s="85"/>
      <c r="N48" s="91"/>
      <c r="O48" s="91"/>
      <c r="Q48" s="91"/>
    </row>
    <row r="49" spans="1:17" s="66" customFormat="1" ht="12.75" customHeight="1" x14ac:dyDescent="0.2">
      <c r="A49" s="66">
        <f>+MAX($A$7:A48)+1</f>
        <v>38</v>
      </c>
      <c r="B49" s="78" t="s">
        <v>397</v>
      </c>
      <c r="C49" s="78" t="s">
        <v>129</v>
      </c>
      <c r="D49" s="78" t="s">
        <v>21</v>
      </c>
      <c r="E49" s="75">
        <v>82500</v>
      </c>
      <c r="F49" s="76">
        <v>170.6925</v>
      </c>
      <c r="G49" s="77">
        <f>+ROUND(F49/VLOOKUP("Grand Total",$B$4:$F$304,5,0),4)</f>
        <v>2.4299999999999999E-2</v>
      </c>
      <c r="H49" s="77"/>
      <c r="I49" s="92" t="s">
        <v>372</v>
      </c>
      <c r="J49" s="102"/>
      <c r="K49" s="91"/>
      <c r="L49" s="104"/>
      <c r="M49" s="85"/>
      <c r="N49" s="91"/>
      <c r="O49" s="91"/>
      <c r="Q49" s="91"/>
    </row>
    <row r="50" spans="1:17" s="66" customFormat="1" ht="12.75" customHeight="1" x14ac:dyDescent="0.2">
      <c r="A50" s="66">
        <f>+MAX($A$7:A49)+1</f>
        <v>39</v>
      </c>
      <c r="B50" s="78" t="s">
        <v>397</v>
      </c>
      <c r="C50" s="122" t="s">
        <v>667</v>
      </c>
      <c r="D50" s="78" t="s">
        <v>324</v>
      </c>
      <c r="E50" s="75">
        <v>-82500</v>
      </c>
      <c r="F50" s="76">
        <v>-171.76499999999999</v>
      </c>
      <c r="G50" s="77"/>
      <c r="H50" s="77">
        <f>+ROUND(F50/VLOOKUP("Grand Total",$B$4:$F$304,5,0),4)</f>
        <v>-2.4400000000000002E-2</v>
      </c>
      <c r="I50" s="90">
        <v>43187</v>
      </c>
      <c r="J50" s="102"/>
      <c r="K50" s="91"/>
      <c r="L50" s="104"/>
      <c r="M50" s="85"/>
      <c r="N50" s="91"/>
      <c r="O50" s="91"/>
      <c r="Q50" s="91"/>
    </row>
    <row r="51" spans="1:17" s="66" customFormat="1" ht="12.75" customHeight="1" x14ac:dyDescent="0.2">
      <c r="A51" s="66">
        <f>+MAX($A$7:A50)+1</f>
        <v>40</v>
      </c>
      <c r="B51" s="78" t="s">
        <v>211</v>
      </c>
      <c r="C51" s="78" t="s">
        <v>49</v>
      </c>
      <c r="D51" s="78" t="s">
        <v>21</v>
      </c>
      <c r="E51" s="75">
        <v>1875</v>
      </c>
      <c r="F51" s="76">
        <v>165.95531250000002</v>
      </c>
      <c r="G51" s="77">
        <f>+ROUND(F51/VLOOKUP("Grand Total",$B$4:$F$304,5,0),4)</f>
        <v>2.3599999999999999E-2</v>
      </c>
      <c r="H51" s="77"/>
      <c r="I51" s="92" t="s">
        <v>372</v>
      </c>
      <c r="J51" s="102"/>
      <c r="K51" s="91"/>
      <c r="L51" s="104"/>
      <c r="M51" s="85"/>
      <c r="N51" s="91"/>
      <c r="O51" s="91"/>
      <c r="Q51" s="91"/>
    </row>
    <row r="52" spans="1:17" s="66" customFormat="1" ht="12.75" customHeight="1" x14ac:dyDescent="0.2">
      <c r="A52" s="66">
        <f>+MAX($A$7:A51)+1</f>
        <v>41</v>
      </c>
      <c r="B52" s="78" t="s">
        <v>211</v>
      </c>
      <c r="C52" s="122" t="s">
        <v>667</v>
      </c>
      <c r="D52" s="78" t="s">
        <v>324</v>
      </c>
      <c r="E52" s="75">
        <v>-1875</v>
      </c>
      <c r="F52" s="76">
        <v>-166.875</v>
      </c>
      <c r="G52" s="77"/>
      <c r="H52" s="77">
        <f>+ROUND(F52/VLOOKUP("Grand Total",$B$4:$F$304,5,0),4)</f>
        <v>-2.3699999999999999E-2</v>
      </c>
      <c r="I52" s="90">
        <v>43187</v>
      </c>
      <c r="J52" s="102"/>
      <c r="K52" s="91"/>
      <c r="L52" s="104"/>
      <c r="M52" s="85"/>
      <c r="N52" s="91"/>
      <c r="O52" s="91"/>
      <c r="Q52" s="91"/>
    </row>
    <row r="53" spans="1:17" s="66" customFormat="1" ht="12.75" customHeight="1" x14ac:dyDescent="0.2">
      <c r="A53" s="66">
        <f>+MAX($A$7:A52)+1</f>
        <v>42</v>
      </c>
      <c r="B53" s="78" t="s">
        <v>208</v>
      </c>
      <c r="C53" s="78" t="s">
        <v>52</v>
      </c>
      <c r="D53" s="78" t="s">
        <v>41</v>
      </c>
      <c r="E53" s="75">
        <v>99000</v>
      </c>
      <c r="F53" s="76">
        <v>115.7805</v>
      </c>
      <c r="G53" s="77">
        <f>+ROUND(F53/VLOOKUP("Grand Total",$B$4:$F$304,5,0),4)</f>
        <v>1.6500000000000001E-2</v>
      </c>
      <c r="H53" s="77"/>
      <c r="I53" s="92" t="s">
        <v>372</v>
      </c>
      <c r="J53" s="102"/>
      <c r="K53" s="91"/>
      <c r="L53" s="104"/>
      <c r="M53" s="85"/>
      <c r="N53" s="91"/>
      <c r="O53" s="91"/>
      <c r="Q53" s="91"/>
    </row>
    <row r="54" spans="1:17" s="66" customFormat="1" ht="12.75" customHeight="1" x14ac:dyDescent="0.2">
      <c r="A54" s="66">
        <f>+MAX($A$7:A53)+1</f>
        <v>43</v>
      </c>
      <c r="B54" s="78" t="s">
        <v>208</v>
      </c>
      <c r="C54" s="122" t="s">
        <v>667</v>
      </c>
      <c r="D54" s="78" t="s">
        <v>324</v>
      </c>
      <c r="E54" s="75">
        <v>-99000</v>
      </c>
      <c r="F54" s="76">
        <v>-116.42400000000001</v>
      </c>
      <c r="G54" s="77"/>
      <c r="H54" s="77">
        <f>+ROUND(F54/VLOOKUP("Grand Total",$B$4:$F$304,5,0),4)</f>
        <v>-1.66E-2</v>
      </c>
      <c r="I54" s="90">
        <v>43187</v>
      </c>
      <c r="J54" s="102"/>
      <c r="K54" s="91"/>
      <c r="L54" s="104"/>
      <c r="M54" s="85"/>
      <c r="N54" s="91"/>
      <c r="O54" s="91"/>
      <c r="Q54" s="91"/>
    </row>
    <row r="55" spans="1:17" s="66" customFormat="1" ht="12.75" customHeight="1" x14ac:dyDescent="0.2">
      <c r="A55" s="66">
        <f>+MAX($A$7:A54)+1</f>
        <v>44</v>
      </c>
      <c r="B55" s="78" t="s">
        <v>529</v>
      </c>
      <c r="C55" s="78" t="s">
        <v>530</v>
      </c>
      <c r="D55" s="78" t="s">
        <v>26</v>
      </c>
      <c r="E55" s="75">
        <v>91000</v>
      </c>
      <c r="F55" s="76">
        <v>108.9725</v>
      </c>
      <c r="G55" s="77">
        <f>+ROUND(F55/VLOOKUP("Grand Total",$B$4:$F$304,5,0),4)</f>
        <v>1.55E-2</v>
      </c>
      <c r="H55" s="77"/>
      <c r="I55" s="92" t="s">
        <v>372</v>
      </c>
      <c r="J55" s="102"/>
      <c r="K55" s="91"/>
      <c r="L55" s="104"/>
      <c r="M55" s="85"/>
      <c r="N55" s="91"/>
      <c r="O55" s="91"/>
      <c r="Q55" s="91"/>
    </row>
    <row r="56" spans="1:17" s="66" customFormat="1" ht="12.75" customHeight="1" x14ac:dyDescent="0.2">
      <c r="A56" s="66">
        <f>+MAX($A$7:A55)+1</f>
        <v>45</v>
      </c>
      <c r="B56" s="78" t="s">
        <v>529</v>
      </c>
      <c r="C56" s="122" t="s">
        <v>667</v>
      </c>
      <c r="D56" s="78" t="s">
        <v>324</v>
      </c>
      <c r="E56" s="75">
        <v>-91000</v>
      </c>
      <c r="F56" s="76">
        <v>-109.0635</v>
      </c>
      <c r="G56" s="77"/>
      <c r="H56" s="77">
        <f>+ROUND(F56/VLOOKUP("Grand Total",$B$4:$F$304,5,0),4)</f>
        <v>-1.55E-2</v>
      </c>
      <c r="I56" s="90">
        <v>43187</v>
      </c>
      <c r="J56" s="102"/>
      <c r="K56" s="91"/>
      <c r="L56" s="104"/>
      <c r="M56" s="85"/>
      <c r="N56" s="91"/>
      <c r="O56" s="91"/>
      <c r="Q56" s="91"/>
    </row>
    <row r="57" spans="1:17" s="66" customFormat="1" ht="12.75" customHeight="1" x14ac:dyDescent="0.2">
      <c r="A57" s="66">
        <f>+MAX($A$7:A56)+1</f>
        <v>46</v>
      </c>
      <c r="B57" s="78" t="s">
        <v>262</v>
      </c>
      <c r="C57" s="78" t="s">
        <v>124</v>
      </c>
      <c r="D57" s="78" t="s">
        <v>45</v>
      </c>
      <c r="E57" s="75">
        <v>42000</v>
      </c>
      <c r="F57" s="76">
        <v>103.068</v>
      </c>
      <c r="G57" s="77">
        <f>+ROUND(F57/VLOOKUP("Grand Total",$B$4:$F$304,5,0),4)</f>
        <v>1.47E-2</v>
      </c>
      <c r="H57" s="77"/>
      <c r="I57" s="92" t="s">
        <v>372</v>
      </c>
      <c r="J57" s="102"/>
      <c r="K57" s="91"/>
      <c r="L57" s="104"/>
      <c r="M57" s="85"/>
      <c r="N57" s="91"/>
      <c r="O57" s="91"/>
      <c r="Q57" s="91"/>
    </row>
    <row r="58" spans="1:17" s="66" customFormat="1" ht="12.75" customHeight="1" x14ac:dyDescent="0.2">
      <c r="A58" s="66">
        <f>+MAX($A$7:A57)+1</f>
        <v>47</v>
      </c>
      <c r="B58" s="78" t="s">
        <v>262</v>
      </c>
      <c r="C58" s="122" t="s">
        <v>667</v>
      </c>
      <c r="D58" s="78" t="s">
        <v>324</v>
      </c>
      <c r="E58" s="75">
        <v>-42000</v>
      </c>
      <c r="F58" s="76">
        <v>-103.36199999999999</v>
      </c>
      <c r="G58" s="77"/>
      <c r="H58" s="77">
        <f>+ROUND(F58/VLOOKUP("Grand Total",$B$4:$F$304,5,0),4)</f>
        <v>-1.47E-2</v>
      </c>
      <c r="I58" s="90">
        <v>43187</v>
      </c>
      <c r="J58" s="102"/>
      <c r="K58" s="91"/>
      <c r="L58" s="104"/>
      <c r="M58" s="85"/>
      <c r="N58" s="91"/>
      <c r="O58" s="91"/>
      <c r="Q58" s="91"/>
    </row>
    <row r="59" spans="1:17" s="66" customFormat="1" ht="12.75" customHeight="1" x14ac:dyDescent="0.2">
      <c r="A59" s="66">
        <f>+MAX($A$7:A58)+1</f>
        <v>48</v>
      </c>
      <c r="B59" s="78" t="s">
        <v>480</v>
      </c>
      <c r="C59" s="78" t="s">
        <v>481</v>
      </c>
      <c r="D59" s="78" t="s">
        <v>178</v>
      </c>
      <c r="E59" s="75">
        <v>56000</v>
      </c>
      <c r="F59" s="76">
        <v>89.488</v>
      </c>
      <c r="G59" s="77">
        <f>+ROUND(F59/VLOOKUP("Grand Total",$B$4:$F$304,5,0),4)</f>
        <v>1.2699999999999999E-2</v>
      </c>
      <c r="H59" s="77"/>
      <c r="I59" s="92" t="s">
        <v>372</v>
      </c>
      <c r="J59" s="102"/>
      <c r="K59" s="91"/>
      <c r="L59" s="104"/>
      <c r="M59" s="85"/>
      <c r="N59" s="91"/>
      <c r="O59" s="91"/>
      <c r="Q59" s="91"/>
    </row>
    <row r="60" spans="1:17" s="66" customFormat="1" ht="12.75" customHeight="1" x14ac:dyDescent="0.2">
      <c r="A60" s="66">
        <f>+MAX($A$7:A59)+1</f>
        <v>49</v>
      </c>
      <c r="B60" s="78" t="s">
        <v>480</v>
      </c>
      <c r="C60" s="122" t="s">
        <v>667</v>
      </c>
      <c r="D60" s="78" t="s">
        <v>324</v>
      </c>
      <c r="E60" s="75">
        <v>-56000</v>
      </c>
      <c r="F60" s="76">
        <v>-89.656000000000006</v>
      </c>
      <c r="G60" s="77"/>
      <c r="H60" s="77">
        <f>+ROUND(F60/VLOOKUP("Grand Total",$B$4:$F$304,5,0),4)</f>
        <v>-1.2699999999999999E-2</v>
      </c>
      <c r="I60" s="90">
        <v>43187</v>
      </c>
      <c r="J60" s="102"/>
      <c r="K60" s="91"/>
      <c r="L60" s="104"/>
      <c r="M60" s="85"/>
      <c r="N60" s="91"/>
      <c r="O60" s="91"/>
      <c r="Q60" s="91"/>
    </row>
    <row r="61" spans="1:17" s="66" customFormat="1" ht="12.75" customHeight="1" x14ac:dyDescent="0.2">
      <c r="A61" s="66">
        <f>+MAX($A$7:A60)+1</f>
        <v>50</v>
      </c>
      <c r="B61" s="78" t="s">
        <v>341</v>
      </c>
      <c r="C61" s="78" t="s">
        <v>342</v>
      </c>
      <c r="D61" s="78" t="s">
        <v>32</v>
      </c>
      <c r="E61" s="75">
        <v>45000</v>
      </c>
      <c r="F61" s="76">
        <v>88.38</v>
      </c>
      <c r="G61" s="77">
        <f>+ROUND(F61/VLOOKUP("Grand Total",$B$4:$F$304,5,0),4)</f>
        <v>1.26E-2</v>
      </c>
      <c r="H61" s="77"/>
      <c r="I61" s="92" t="s">
        <v>372</v>
      </c>
      <c r="J61" s="102"/>
      <c r="K61" s="91"/>
      <c r="L61" s="104"/>
      <c r="M61" s="85"/>
      <c r="N61" s="91"/>
      <c r="O61" s="91"/>
      <c r="Q61" s="91"/>
    </row>
    <row r="62" spans="1:17" s="66" customFormat="1" ht="12.75" customHeight="1" x14ac:dyDescent="0.2">
      <c r="A62" s="66">
        <f>+MAX($A$7:A61)+1</f>
        <v>51</v>
      </c>
      <c r="B62" s="78" t="s">
        <v>341</v>
      </c>
      <c r="C62" s="122" t="s">
        <v>667</v>
      </c>
      <c r="D62" s="78" t="s">
        <v>324</v>
      </c>
      <c r="E62" s="75">
        <v>-45000</v>
      </c>
      <c r="F62" s="76">
        <v>-88.717500000000001</v>
      </c>
      <c r="G62" s="77"/>
      <c r="H62" s="77">
        <f>+ROUND(F62/VLOOKUP("Grand Total",$B$4:$F$304,5,0),4)</f>
        <v>-1.26E-2</v>
      </c>
      <c r="I62" s="90">
        <v>43187</v>
      </c>
      <c r="J62" s="102"/>
      <c r="K62" s="91"/>
      <c r="L62" s="104"/>
      <c r="M62" s="85"/>
      <c r="N62" s="91"/>
      <c r="O62" s="91"/>
      <c r="Q62" s="91"/>
    </row>
    <row r="63" spans="1:17" s="66" customFormat="1" ht="12.75" customHeight="1" x14ac:dyDescent="0.2">
      <c r="A63" s="66">
        <f>+MAX($A$7:A62)+1</f>
        <v>52</v>
      </c>
      <c r="B63" s="78" t="s">
        <v>17</v>
      </c>
      <c r="C63" s="78" t="s">
        <v>18</v>
      </c>
      <c r="D63" s="78" t="s">
        <v>10</v>
      </c>
      <c r="E63" s="75">
        <v>30000</v>
      </c>
      <c r="F63" s="76">
        <v>80.400000000000006</v>
      </c>
      <c r="G63" s="77">
        <f>+ROUND(F63/VLOOKUP("Grand Total",$B$4:$F$304,5,0),4)</f>
        <v>1.14E-2</v>
      </c>
      <c r="H63" s="77"/>
      <c r="I63" s="92" t="s">
        <v>372</v>
      </c>
      <c r="J63" s="102"/>
      <c r="K63" s="91"/>
      <c r="L63" s="104"/>
      <c r="M63" s="85"/>
      <c r="N63" s="91"/>
      <c r="O63" s="91"/>
      <c r="Q63" s="91"/>
    </row>
    <row r="64" spans="1:17" s="66" customFormat="1" ht="12.75" customHeight="1" x14ac:dyDescent="0.2">
      <c r="A64" s="66">
        <f>+MAX($A$7:A63)+1</f>
        <v>53</v>
      </c>
      <c r="B64" s="78" t="s">
        <v>17</v>
      </c>
      <c r="C64" s="122" t="s">
        <v>667</v>
      </c>
      <c r="D64" s="78" t="s">
        <v>324</v>
      </c>
      <c r="E64" s="75">
        <v>-30000</v>
      </c>
      <c r="F64" s="76">
        <v>-80.805000000000007</v>
      </c>
      <c r="G64" s="77"/>
      <c r="H64" s="77">
        <f>+ROUND(F64/VLOOKUP("Grand Total",$B$4:$F$304,5,0),4)</f>
        <v>-1.15E-2</v>
      </c>
      <c r="I64" s="90">
        <v>43187</v>
      </c>
      <c r="J64" s="102"/>
      <c r="K64" s="91"/>
      <c r="L64" s="104"/>
      <c r="M64" s="85"/>
      <c r="N64" s="91"/>
      <c r="O64" s="91"/>
      <c r="Q64" s="91"/>
    </row>
    <row r="65" spans="1:17" s="66" customFormat="1" ht="12.75" customHeight="1" x14ac:dyDescent="0.2">
      <c r="A65" s="66">
        <f>+MAX($A$7:A64)+1</f>
        <v>54</v>
      </c>
      <c r="B65" s="78" t="s">
        <v>40</v>
      </c>
      <c r="C65" s="78" t="s">
        <v>42</v>
      </c>
      <c r="D65" s="78" t="s">
        <v>10</v>
      </c>
      <c r="E65" s="75">
        <v>56000</v>
      </c>
      <c r="F65" s="76">
        <v>79.492000000000004</v>
      </c>
      <c r="G65" s="77">
        <f>+ROUND(F65/VLOOKUP("Grand Total",$B$4:$F$304,5,0),4)</f>
        <v>1.1299999999999999E-2</v>
      </c>
      <c r="H65" s="77"/>
      <c r="I65" s="92" t="s">
        <v>372</v>
      </c>
      <c r="J65" s="102"/>
      <c r="K65" s="91"/>
      <c r="L65" s="104"/>
      <c r="M65" s="85"/>
      <c r="N65" s="91"/>
      <c r="O65" s="91"/>
      <c r="Q65" s="91"/>
    </row>
    <row r="66" spans="1:17" s="66" customFormat="1" ht="12.75" customHeight="1" x14ac:dyDescent="0.2">
      <c r="A66" s="66">
        <f>+MAX($A$7:A65)+1</f>
        <v>55</v>
      </c>
      <c r="B66" s="78" t="s">
        <v>40</v>
      </c>
      <c r="C66" s="122" t="s">
        <v>667</v>
      </c>
      <c r="D66" s="78" t="s">
        <v>324</v>
      </c>
      <c r="E66" s="75">
        <v>-56000</v>
      </c>
      <c r="F66" s="76">
        <v>-79.995999999999995</v>
      </c>
      <c r="G66" s="77"/>
      <c r="H66" s="77">
        <f>+ROUND(F66/VLOOKUP("Grand Total",$B$4:$F$304,5,0),4)</f>
        <v>-1.14E-2</v>
      </c>
      <c r="I66" s="90">
        <v>43187</v>
      </c>
      <c r="J66" s="102"/>
      <c r="K66" s="91"/>
      <c r="L66" s="104"/>
      <c r="M66" s="85"/>
      <c r="N66" s="91"/>
      <c r="O66" s="91"/>
      <c r="Q66" s="91"/>
    </row>
    <row r="67" spans="1:17" s="66" customFormat="1" ht="12.75" customHeight="1" x14ac:dyDescent="0.2">
      <c r="A67" s="66">
        <f>+MAX($A$7:A66)+1</f>
        <v>56</v>
      </c>
      <c r="B67" s="78" t="s">
        <v>246</v>
      </c>
      <c r="C67" s="78" t="s">
        <v>109</v>
      </c>
      <c r="D67" s="78" t="s">
        <v>23</v>
      </c>
      <c r="E67" s="75">
        <v>3500</v>
      </c>
      <c r="F67" s="76">
        <v>78.303749999999994</v>
      </c>
      <c r="G67" s="77">
        <f>+ROUND(F67/VLOOKUP("Grand Total",$B$4:$F$304,5,0),4)</f>
        <v>1.11E-2</v>
      </c>
      <c r="H67" s="77"/>
      <c r="I67" s="92" t="s">
        <v>372</v>
      </c>
      <c r="J67" s="102"/>
      <c r="K67" s="91"/>
      <c r="L67" s="104"/>
      <c r="M67" s="85"/>
      <c r="N67" s="91"/>
      <c r="O67" s="91"/>
      <c r="Q67" s="91"/>
    </row>
    <row r="68" spans="1:17" s="66" customFormat="1" ht="12.75" customHeight="1" x14ac:dyDescent="0.2">
      <c r="A68" s="66">
        <f>+MAX($A$7:A67)+1</f>
        <v>57</v>
      </c>
      <c r="B68" s="78" t="s">
        <v>246</v>
      </c>
      <c r="C68" s="122" t="s">
        <v>667</v>
      </c>
      <c r="D68" s="78" t="s">
        <v>324</v>
      </c>
      <c r="E68" s="75">
        <v>-3500</v>
      </c>
      <c r="F68" s="76">
        <v>-78.676500000000004</v>
      </c>
      <c r="G68" s="77"/>
      <c r="H68" s="77">
        <f>+ROUND(F68/VLOOKUP("Grand Total",$B$4:$F$304,5,0),4)</f>
        <v>-1.12E-2</v>
      </c>
      <c r="I68" s="90">
        <v>43187</v>
      </c>
      <c r="J68" s="102"/>
      <c r="K68" s="91"/>
      <c r="L68" s="104"/>
      <c r="M68" s="85"/>
      <c r="N68" s="91"/>
      <c r="O68" s="91"/>
      <c r="Q68" s="91"/>
    </row>
    <row r="69" spans="1:17" s="66" customFormat="1" ht="12.75" customHeight="1" x14ac:dyDescent="0.2">
      <c r="A69" s="66">
        <f>+MAX($A$7:A68)+1</f>
        <v>58</v>
      </c>
      <c r="B69" s="78" t="s">
        <v>279</v>
      </c>
      <c r="C69" s="78" t="s">
        <v>153</v>
      </c>
      <c r="D69" s="78" t="s">
        <v>143</v>
      </c>
      <c r="E69" s="75">
        <v>9900</v>
      </c>
      <c r="F69" s="76">
        <v>72.265050000000002</v>
      </c>
      <c r="G69" s="77">
        <f>+ROUND(F69/VLOOKUP("Grand Total",$B$4:$F$304,5,0),4)</f>
        <v>1.03E-2</v>
      </c>
      <c r="H69" s="77"/>
      <c r="I69" s="92" t="s">
        <v>372</v>
      </c>
      <c r="J69" s="102"/>
      <c r="K69" s="91"/>
      <c r="L69" s="104"/>
      <c r="M69" s="85"/>
      <c r="N69" s="91"/>
      <c r="O69" s="91"/>
      <c r="Q69" s="91"/>
    </row>
    <row r="70" spans="1:17" s="66" customFormat="1" ht="12.75" customHeight="1" x14ac:dyDescent="0.2">
      <c r="A70" s="66">
        <f>+MAX($A$7:A69)+1</f>
        <v>59</v>
      </c>
      <c r="B70" s="78" t="s">
        <v>279</v>
      </c>
      <c r="C70" s="122" t="s">
        <v>667</v>
      </c>
      <c r="D70" s="78" t="s">
        <v>324</v>
      </c>
      <c r="E70" s="75">
        <v>-9900</v>
      </c>
      <c r="F70" s="76">
        <v>-72.651150000000001</v>
      </c>
      <c r="G70" s="77"/>
      <c r="H70" s="77">
        <f>+ROUND(F70/VLOOKUP("Grand Total",$B$4:$F$304,5,0),4)</f>
        <v>-1.03E-2</v>
      </c>
      <c r="I70" s="90">
        <v>43187</v>
      </c>
      <c r="J70" s="102"/>
      <c r="K70" s="91"/>
      <c r="L70" s="104"/>
      <c r="M70" s="85"/>
      <c r="N70" s="91"/>
      <c r="O70" s="91"/>
      <c r="Q70" s="91"/>
    </row>
    <row r="71" spans="1:17" s="66" customFormat="1" ht="12.75" customHeight="1" x14ac:dyDescent="0.2">
      <c r="A71" s="66">
        <f>+MAX($A$7:A70)+1</f>
        <v>60</v>
      </c>
      <c r="B71" s="78" t="s">
        <v>297</v>
      </c>
      <c r="C71" s="78" t="s">
        <v>180</v>
      </c>
      <c r="D71" s="78" t="s">
        <v>38</v>
      </c>
      <c r="E71" s="75">
        <v>32000</v>
      </c>
      <c r="F71" s="76">
        <v>66.367999999999995</v>
      </c>
      <c r="G71" s="77">
        <f>+ROUND(F71/VLOOKUP("Grand Total",$B$4:$F$304,5,0),4)</f>
        <v>9.4000000000000004E-3</v>
      </c>
      <c r="H71" s="77"/>
      <c r="I71" s="92" t="s">
        <v>372</v>
      </c>
      <c r="J71" s="102"/>
      <c r="K71" s="91"/>
      <c r="L71" s="104"/>
      <c r="M71" s="85"/>
      <c r="N71" s="91"/>
      <c r="O71" s="91"/>
      <c r="Q71" s="91"/>
    </row>
    <row r="72" spans="1:17" s="66" customFormat="1" ht="12.75" customHeight="1" x14ac:dyDescent="0.2">
      <c r="A72" s="66">
        <f>+MAX($A$7:A71)+1</f>
        <v>61</v>
      </c>
      <c r="B72" s="78" t="s">
        <v>297</v>
      </c>
      <c r="C72" s="122" t="s">
        <v>667</v>
      </c>
      <c r="D72" s="78" t="s">
        <v>324</v>
      </c>
      <c r="E72" s="75">
        <v>-32000</v>
      </c>
      <c r="F72" s="76">
        <v>-66.688000000000002</v>
      </c>
      <c r="G72" s="77"/>
      <c r="H72" s="77">
        <f>+ROUND(F72/VLOOKUP("Grand Total",$B$4:$F$304,5,0),4)</f>
        <v>-9.4999999999999998E-3</v>
      </c>
      <c r="I72" s="90">
        <v>43187</v>
      </c>
      <c r="J72" s="102"/>
      <c r="K72" s="91"/>
      <c r="L72" s="104"/>
      <c r="M72" s="85"/>
      <c r="N72" s="91"/>
      <c r="O72" s="91"/>
      <c r="Q72" s="91"/>
    </row>
    <row r="73" spans="1:17" s="66" customFormat="1" ht="12.75" customHeight="1" x14ac:dyDescent="0.2">
      <c r="A73" s="66">
        <f>+MAX($A$7:A72)+1</f>
        <v>62</v>
      </c>
      <c r="B73" s="78" t="s">
        <v>617</v>
      </c>
      <c r="C73" s="78" t="s">
        <v>618</v>
      </c>
      <c r="D73" s="78" t="s">
        <v>32</v>
      </c>
      <c r="E73" s="75">
        <v>25000</v>
      </c>
      <c r="F73" s="76">
        <v>56.5625</v>
      </c>
      <c r="G73" s="77">
        <f>+ROUND(F73/VLOOKUP("Grand Total",$B$4:$F$304,5,0),4)</f>
        <v>8.0000000000000002E-3</v>
      </c>
      <c r="H73" s="77"/>
      <c r="I73" s="92" t="s">
        <v>372</v>
      </c>
      <c r="J73" s="102"/>
      <c r="K73" s="91"/>
      <c r="L73" s="104"/>
      <c r="M73" s="85"/>
      <c r="N73" s="91"/>
      <c r="O73" s="91"/>
      <c r="Q73" s="91"/>
    </row>
    <row r="74" spans="1:17" s="66" customFormat="1" ht="12.75" customHeight="1" x14ac:dyDescent="0.2">
      <c r="A74" s="66">
        <f>+MAX($A$7:A73)+1</f>
        <v>63</v>
      </c>
      <c r="B74" s="78" t="s">
        <v>617</v>
      </c>
      <c r="C74" s="122" t="s">
        <v>667</v>
      </c>
      <c r="D74" s="78" t="s">
        <v>324</v>
      </c>
      <c r="E74" s="75">
        <v>-25000</v>
      </c>
      <c r="F74" s="76">
        <v>-56.8</v>
      </c>
      <c r="G74" s="77"/>
      <c r="H74" s="77">
        <f>+ROUND(F74/VLOOKUP("Grand Total",$B$4:$F$304,5,0),4)</f>
        <v>-8.0999999999999996E-3</v>
      </c>
      <c r="I74" s="90">
        <v>43187</v>
      </c>
      <c r="J74" s="102"/>
      <c r="K74" s="91"/>
      <c r="L74" s="104"/>
      <c r="M74" s="85"/>
      <c r="N74" s="91"/>
      <c r="O74" s="91"/>
      <c r="Q74" s="91"/>
    </row>
    <row r="75" spans="1:17" s="66" customFormat="1" ht="12.75" customHeight="1" x14ac:dyDescent="0.2">
      <c r="A75" s="66">
        <f>+MAX($A$7:A74)+1</f>
        <v>64</v>
      </c>
      <c r="B75" s="78" t="s">
        <v>298</v>
      </c>
      <c r="C75" s="78" t="s">
        <v>182</v>
      </c>
      <c r="D75" s="78" t="s">
        <v>102</v>
      </c>
      <c r="E75" s="75">
        <v>6000</v>
      </c>
      <c r="F75" s="76">
        <v>55.667999999999999</v>
      </c>
      <c r="G75" s="77">
        <f>+ROUND(F75/VLOOKUP("Grand Total",$B$4:$F$304,5,0),4)</f>
        <v>7.9000000000000008E-3</v>
      </c>
      <c r="H75" s="77"/>
      <c r="I75" s="92" t="s">
        <v>372</v>
      </c>
      <c r="J75" s="102"/>
      <c r="K75" s="91"/>
      <c r="L75" s="104"/>
      <c r="M75" s="85"/>
      <c r="N75" s="91"/>
      <c r="O75" s="91"/>
      <c r="Q75" s="91"/>
    </row>
    <row r="76" spans="1:17" s="66" customFormat="1" ht="12.75" customHeight="1" x14ac:dyDescent="0.2">
      <c r="A76" s="66">
        <f>+MAX($A$7:A75)+1</f>
        <v>65</v>
      </c>
      <c r="B76" s="78" t="s">
        <v>298</v>
      </c>
      <c r="C76" s="122" t="s">
        <v>667</v>
      </c>
      <c r="D76" s="78" t="s">
        <v>324</v>
      </c>
      <c r="E76" s="75">
        <v>-6000</v>
      </c>
      <c r="F76" s="76">
        <v>-55.902000000000001</v>
      </c>
      <c r="G76" s="77"/>
      <c r="H76" s="77">
        <f>+ROUND(F76/VLOOKUP("Grand Total",$B$4:$F$304,5,0),4)</f>
        <v>-7.9000000000000008E-3</v>
      </c>
      <c r="I76" s="90">
        <v>43187</v>
      </c>
      <c r="J76" s="102"/>
      <c r="K76" s="91"/>
      <c r="L76" s="104"/>
      <c r="M76" s="85"/>
      <c r="N76" s="91"/>
      <c r="O76" s="91"/>
      <c r="Q76" s="91"/>
    </row>
    <row r="77" spans="1:17" s="66" customFormat="1" ht="12.75" customHeight="1" x14ac:dyDescent="0.2">
      <c r="A77" s="66">
        <f>+MAX($A$7:A76)+1</f>
        <v>66</v>
      </c>
      <c r="B77" s="78" t="s">
        <v>217</v>
      </c>
      <c r="C77" s="78" t="s">
        <v>61</v>
      </c>
      <c r="D77" s="78" t="s">
        <v>23</v>
      </c>
      <c r="E77" s="75">
        <v>8800</v>
      </c>
      <c r="F77" s="76">
        <v>54.023200000000003</v>
      </c>
      <c r="G77" s="77">
        <f>+ROUND(F77/VLOOKUP("Grand Total",$B$4:$F$304,5,0),4)</f>
        <v>7.7000000000000002E-3</v>
      </c>
      <c r="H77" s="77"/>
      <c r="I77" s="92" t="s">
        <v>372</v>
      </c>
      <c r="J77" s="102"/>
      <c r="K77" s="91"/>
      <c r="L77" s="104"/>
      <c r="M77" s="85"/>
      <c r="N77" s="91"/>
      <c r="O77" s="91"/>
      <c r="Q77" s="91"/>
    </row>
    <row r="78" spans="1:17" s="66" customFormat="1" ht="12.75" customHeight="1" x14ac:dyDescent="0.2">
      <c r="A78" s="66">
        <f>+MAX($A$7:A77)+1</f>
        <v>67</v>
      </c>
      <c r="B78" s="78" t="s">
        <v>217</v>
      </c>
      <c r="C78" s="122" t="s">
        <v>667</v>
      </c>
      <c r="D78" s="78" t="s">
        <v>324</v>
      </c>
      <c r="E78" s="75">
        <v>-8800</v>
      </c>
      <c r="F78" s="76">
        <v>-54.216799999999999</v>
      </c>
      <c r="G78" s="77"/>
      <c r="H78" s="77">
        <f>+ROUND(F78/VLOOKUP("Grand Total",$B$4:$F$304,5,0),4)</f>
        <v>-7.7000000000000002E-3</v>
      </c>
      <c r="I78" s="90">
        <v>43187</v>
      </c>
      <c r="J78" s="102"/>
      <c r="K78" s="91"/>
      <c r="L78" s="104"/>
      <c r="M78" s="85"/>
      <c r="N78" s="91"/>
      <c r="O78" s="91"/>
      <c r="Q78" s="91"/>
    </row>
    <row r="79" spans="1:17" s="66" customFormat="1" ht="12.75" customHeight="1" x14ac:dyDescent="0.2">
      <c r="A79" s="66">
        <f>+MAX($A$7:A78)+1</f>
        <v>68</v>
      </c>
      <c r="B79" s="78" t="s">
        <v>654</v>
      </c>
      <c r="C79" s="78" t="s">
        <v>655</v>
      </c>
      <c r="D79" s="78" t="s">
        <v>102</v>
      </c>
      <c r="E79" s="75">
        <v>70000</v>
      </c>
      <c r="F79" s="76">
        <v>51.52</v>
      </c>
      <c r="G79" s="77">
        <f>+ROUND(F79/VLOOKUP("Grand Total",$B$4:$F$304,5,0),4)</f>
        <v>7.3000000000000001E-3</v>
      </c>
      <c r="H79" s="77"/>
      <c r="I79" s="92" t="s">
        <v>372</v>
      </c>
      <c r="J79" s="102"/>
      <c r="K79" s="91"/>
      <c r="L79" s="104"/>
      <c r="M79" s="85"/>
      <c r="N79" s="91"/>
      <c r="O79" s="91"/>
      <c r="Q79" s="91"/>
    </row>
    <row r="80" spans="1:17" s="66" customFormat="1" ht="12.75" customHeight="1" x14ac:dyDescent="0.2">
      <c r="A80" s="66">
        <f>+MAX($A$7:A79)+1</f>
        <v>69</v>
      </c>
      <c r="B80" s="78" t="s">
        <v>654</v>
      </c>
      <c r="C80" s="122" t="s">
        <v>667</v>
      </c>
      <c r="D80" s="78" t="s">
        <v>324</v>
      </c>
      <c r="E80" s="75">
        <v>-70000</v>
      </c>
      <c r="F80" s="76">
        <v>-51.73</v>
      </c>
      <c r="G80" s="77"/>
      <c r="H80" s="77">
        <f>+ROUND(F80/VLOOKUP("Grand Total",$B$4:$F$304,5,0),4)</f>
        <v>-7.4000000000000003E-3</v>
      </c>
      <c r="I80" s="90">
        <v>43187</v>
      </c>
      <c r="J80" s="102"/>
      <c r="K80" s="91"/>
      <c r="L80" s="104"/>
      <c r="M80" s="85"/>
      <c r="N80" s="91"/>
      <c r="O80" s="91"/>
      <c r="Q80" s="91"/>
    </row>
    <row r="81" spans="1:17" s="66" customFormat="1" ht="12.75" customHeight="1" x14ac:dyDescent="0.2">
      <c r="A81" s="66">
        <f>+MAX($A$7:A80)+1</f>
        <v>70</v>
      </c>
      <c r="B81" s="78" t="s">
        <v>220</v>
      </c>
      <c r="C81" s="78" t="s">
        <v>73</v>
      </c>
      <c r="D81" s="78" t="s">
        <v>32</v>
      </c>
      <c r="E81" s="75">
        <v>20000</v>
      </c>
      <c r="F81" s="76">
        <v>45.72</v>
      </c>
      <c r="G81" s="77">
        <f>+ROUND(F81/VLOOKUP("Grand Total",$B$4:$F$304,5,0),4)</f>
        <v>6.4999999999999997E-3</v>
      </c>
      <c r="H81" s="77"/>
      <c r="I81" s="92" t="s">
        <v>372</v>
      </c>
      <c r="J81" s="102"/>
      <c r="K81" s="91"/>
      <c r="L81" s="104"/>
      <c r="M81" s="85"/>
      <c r="N81" s="91"/>
      <c r="O81" s="91"/>
      <c r="Q81" s="91"/>
    </row>
    <row r="82" spans="1:17" s="66" customFormat="1" ht="12.75" customHeight="1" x14ac:dyDescent="0.2">
      <c r="A82" s="66">
        <f>+MAX($A$7:A81)+1</f>
        <v>71</v>
      </c>
      <c r="B82" s="78" t="s">
        <v>220</v>
      </c>
      <c r="C82" s="122" t="s">
        <v>667</v>
      </c>
      <c r="D82" s="78" t="s">
        <v>324</v>
      </c>
      <c r="E82" s="75">
        <v>-20000</v>
      </c>
      <c r="F82" s="76">
        <v>-45.95</v>
      </c>
      <c r="G82" s="77"/>
      <c r="H82" s="77">
        <f>+ROUND(F82/VLOOKUP("Grand Total",$B$4:$F$304,5,0),4)</f>
        <v>-6.4999999999999997E-3</v>
      </c>
      <c r="I82" s="90">
        <v>43187</v>
      </c>
      <c r="J82" s="102"/>
      <c r="K82" s="91"/>
      <c r="L82" s="104"/>
      <c r="M82" s="85"/>
      <c r="N82" s="91"/>
      <c r="O82" s="91"/>
      <c r="Q82" s="91"/>
    </row>
    <row r="83" spans="1:17" s="66" customFormat="1" ht="12.75" customHeight="1" x14ac:dyDescent="0.2">
      <c r="A83" s="66">
        <f>+MAX($A$7:A82)+1</f>
        <v>72</v>
      </c>
      <c r="B83" s="78" t="s">
        <v>205</v>
      </c>
      <c r="C83" s="78" t="s">
        <v>48</v>
      </c>
      <c r="D83" s="78" t="s">
        <v>26</v>
      </c>
      <c r="E83" s="75">
        <v>800</v>
      </c>
      <c r="F83" s="76">
        <v>39.954000000000001</v>
      </c>
      <c r="G83" s="77">
        <f>+ROUND(F83/VLOOKUP("Grand Total",$B$4:$F$304,5,0),4)</f>
        <v>5.7000000000000002E-3</v>
      </c>
      <c r="H83" s="77"/>
      <c r="I83" s="92" t="s">
        <v>372</v>
      </c>
      <c r="J83" s="102"/>
      <c r="K83" s="91"/>
      <c r="L83" s="104"/>
      <c r="M83" s="85"/>
      <c r="N83" s="91"/>
      <c r="O83" s="91"/>
      <c r="Q83" s="91"/>
    </row>
    <row r="84" spans="1:17" s="66" customFormat="1" ht="12.75" customHeight="1" x14ac:dyDescent="0.2">
      <c r="A84" s="66">
        <f>+MAX($A$7:A83)+1</f>
        <v>73</v>
      </c>
      <c r="B84" s="78" t="s">
        <v>205</v>
      </c>
      <c r="C84" s="122" t="s">
        <v>667</v>
      </c>
      <c r="D84" s="78" t="s">
        <v>324</v>
      </c>
      <c r="E84" s="75">
        <v>-800</v>
      </c>
      <c r="F84" s="76">
        <v>-40.07</v>
      </c>
      <c r="G84" s="77"/>
      <c r="H84" s="77">
        <f>+ROUND(F84/VLOOKUP("Grand Total",$B$4:$F$304,5,0),4)</f>
        <v>-5.7000000000000002E-3</v>
      </c>
      <c r="I84" s="90">
        <v>43187</v>
      </c>
      <c r="J84" s="102"/>
      <c r="K84" s="91"/>
      <c r="L84" s="104"/>
      <c r="M84" s="85"/>
      <c r="N84" s="91"/>
      <c r="O84" s="91"/>
      <c r="Q84" s="91"/>
    </row>
    <row r="85" spans="1:17" s="66" customFormat="1" ht="12.75" customHeight="1" x14ac:dyDescent="0.2">
      <c r="A85" s="66">
        <f>+MAX($A$7:A84)+1</f>
        <v>74</v>
      </c>
      <c r="B85" s="78" t="s">
        <v>253</v>
      </c>
      <c r="C85" s="78" t="s">
        <v>542</v>
      </c>
      <c r="D85" s="78" t="s">
        <v>10</v>
      </c>
      <c r="E85" s="75">
        <v>10500</v>
      </c>
      <c r="F85" s="76">
        <v>33.841500000000003</v>
      </c>
      <c r="G85" s="77">
        <f>+ROUND(F85/VLOOKUP("Grand Total",$B$4:$F$304,5,0),4)</f>
        <v>4.7999999999999996E-3</v>
      </c>
      <c r="H85" s="77"/>
      <c r="I85" s="92" t="s">
        <v>372</v>
      </c>
      <c r="J85" s="102"/>
      <c r="K85" s="91"/>
      <c r="L85" s="104"/>
      <c r="M85" s="85"/>
      <c r="N85" s="91"/>
      <c r="O85" s="91"/>
      <c r="Q85" s="91"/>
    </row>
    <row r="86" spans="1:17" s="66" customFormat="1" ht="12.75" customHeight="1" x14ac:dyDescent="0.2">
      <c r="A86" s="66">
        <f>+MAX($A$7:A85)+1</f>
        <v>75</v>
      </c>
      <c r="B86" s="78" t="s">
        <v>253</v>
      </c>
      <c r="C86" s="122" t="s">
        <v>667</v>
      </c>
      <c r="D86" s="78" t="s">
        <v>324</v>
      </c>
      <c r="E86" s="75">
        <v>-10500</v>
      </c>
      <c r="F86" s="76">
        <v>-34.020000000000003</v>
      </c>
      <c r="G86" s="77"/>
      <c r="H86" s="77">
        <f>+ROUND(F86/VLOOKUP("Grand Total",$B$4:$F$304,5,0),4)</f>
        <v>-4.7999999999999996E-3</v>
      </c>
      <c r="I86" s="90">
        <v>43187</v>
      </c>
      <c r="J86" s="102"/>
      <c r="K86" s="91"/>
      <c r="L86" s="104"/>
      <c r="M86" s="85"/>
      <c r="N86" s="91"/>
      <c r="O86" s="91"/>
      <c r="Q86" s="91"/>
    </row>
    <row r="87" spans="1:17" s="66" customFormat="1" ht="12.75" customHeight="1" x14ac:dyDescent="0.2">
      <c r="A87" s="66">
        <f>+MAX($A$7:A86)+1</f>
        <v>76</v>
      </c>
      <c r="B87" s="78" t="s">
        <v>619</v>
      </c>
      <c r="C87" s="78" t="s">
        <v>620</v>
      </c>
      <c r="D87" s="78" t="s">
        <v>24</v>
      </c>
      <c r="E87" s="75">
        <v>3000</v>
      </c>
      <c r="F87" s="76">
        <v>14.1675</v>
      </c>
      <c r="G87" s="77">
        <f>+ROUND(F87/VLOOKUP("Grand Total",$B$4:$F$304,5,0),4)</f>
        <v>2E-3</v>
      </c>
      <c r="H87" s="77"/>
      <c r="I87" s="92" t="s">
        <v>372</v>
      </c>
      <c r="J87" s="102"/>
      <c r="K87" s="91"/>
      <c r="L87" s="104"/>
      <c r="M87" s="85"/>
      <c r="N87" s="91"/>
      <c r="O87" s="91"/>
      <c r="Q87" s="91"/>
    </row>
    <row r="88" spans="1:17" s="66" customFormat="1" ht="12.75" customHeight="1" x14ac:dyDescent="0.2">
      <c r="A88" s="66">
        <f>+MAX($A$7:A87)+1</f>
        <v>77</v>
      </c>
      <c r="B88" s="78" t="s">
        <v>619</v>
      </c>
      <c r="C88" s="122" t="s">
        <v>667</v>
      </c>
      <c r="D88" s="78" t="s">
        <v>324</v>
      </c>
      <c r="E88" s="75">
        <v>-3000</v>
      </c>
      <c r="F88" s="76">
        <v>-14.238</v>
      </c>
      <c r="G88" s="77"/>
      <c r="H88" s="77">
        <f>+ROUND(F88/VLOOKUP("Grand Total",$B$4:$F$304,5,0),4)</f>
        <v>-2E-3</v>
      </c>
      <c r="I88" s="90">
        <v>43187</v>
      </c>
      <c r="J88" s="102"/>
      <c r="K88" s="91"/>
      <c r="L88" s="104"/>
      <c r="M88" s="85"/>
      <c r="N88" s="91"/>
      <c r="O88" s="91"/>
      <c r="Q88" s="91"/>
    </row>
    <row r="89" spans="1:17" s="66" customFormat="1" ht="12.75" customHeight="1" x14ac:dyDescent="0.2">
      <c r="A89" s="66">
        <f>+MAX($A$7:A88)+1</f>
        <v>78</v>
      </c>
      <c r="B89" s="78" t="s">
        <v>296</v>
      </c>
      <c r="C89" s="78" t="s">
        <v>181</v>
      </c>
      <c r="D89" s="78" t="s">
        <v>36</v>
      </c>
      <c r="E89" s="75">
        <v>2600</v>
      </c>
      <c r="F89" s="76">
        <v>11.845599999999999</v>
      </c>
      <c r="G89" s="77">
        <f>+ROUND(F89/VLOOKUP("Grand Total",$B$4:$F$304,5,0),4)</f>
        <v>1.6999999999999999E-3</v>
      </c>
      <c r="H89" s="77"/>
      <c r="I89" s="92" t="s">
        <v>372</v>
      </c>
      <c r="J89" s="102"/>
      <c r="K89" s="91"/>
      <c r="L89" s="104"/>
      <c r="M89" s="85"/>
      <c r="N89" s="91"/>
      <c r="O89" s="91"/>
      <c r="Q89" s="91"/>
    </row>
    <row r="90" spans="1:17" s="66" customFormat="1" ht="12.75" customHeight="1" x14ac:dyDescent="0.2">
      <c r="A90" s="66">
        <f>+MAX($A$7:A89)+1</f>
        <v>79</v>
      </c>
      <c r="B90" s="78" t="s">
        <v>296</v>
      </c>
      <c r="C90" s="122" t="s">
        <v>667</v>
      </c>
      <c r="D90" s="78" t="s">
        <v>324</v>
      </c>
      <c r="E90" s="75">
        <v>-2600</v>
      </c>
      <c r="F90" s="76">
        <v>-11.9145</v>
      </c>
      <c r="G90" s="77"/>
      <c r="H90" s="77">
        <f>+ROUND(F90/VLOOKUP("Grand Total",$B$4:$F$304,5,0),4)</f>
        <v>-1.6999999999999999E-3</v>
      </c>
      <c r="I90" s="90">
        <v>43187</v>
      </c>
      <c r="J90" s="102"/>
      <c r="K90" s="91"/>
      <c r="L90" s="104"/>
      <c r="M90" s="85"/>
      <c r="N90" s="91"/>
      <c r="O90" s="91"/>
      <c r="Q90" s="91"/>
    </row>
    <row r="91" spans="1:17" s="66" customFormat="1" ht="12.75" customHeight="1" x14ac:dyDescent="0.2">
      <c r="A91" s="66">
        <f>+MAX($A$7:A90)+1</f>
        <v>80</v>
      </c>
      <c r="B91" s="78" t="s">
        <v>430</v>
      </c>
      <c r="C91" s="78" t="s">
        <v>68</v>
      </c>
      <c r="D91" s="78" t="s">
        <v>23</v>
      </c>
      <c r="E91" s="75">
        <v>2200</v>
      </c>
      <c r="F91" s="76">
        <v>11.777699999999999</v>
      </c>
      <c r="G91" s="77">
        <f>+ROUND(F91/VLOOKUP("Grand Total",$B$4:$F$304,5,0),4)</f>
        <v>1.6999999999999999E-3</v>
      </c>
      <c r="H91" s="77"/>
      <c r="I91" s="92" t="s">
        <v>372</v>
      </c>
      <c r="J91" s="102"/>
      <c r="K91" s="91"/>
      <c r="L91" s="104"/>
      <c r="M91" s="85"/>
      <c r="N91" s="91"/>
      <c r="O91" s="91"/>
      <c r="Q91" s="91"/>
    </row>
    <row r="92" spans="1:17" s="66" customFormat="1" ht="12.75" customHeight="1" x14ac:dyDescent="0.2">
      <c r="A92" s="66">
        <f>+MAX($A$7:A91)+1</f>
        <v>81</v>
      </c>
      <c r="B92" s="78" t="s">
        <v>430</v>
      </c>
      <c r="C92" s="122" t="s">
        <v>667</v>
      </c>
      <c r="D92" s="78" t="s">
        <v>324</v>
      </c>
      <c r="E92" s="75">
        <v>-2200</v>
      </c>
      <c r="F92" s="76">
        <v>-11.8393</v>
      </c>
      <c r="G92" s="77"/>
      <c r="H92" s="77">
        <f>+ROUND(F92/VLOOKUP("Grand Total",$B$4:$F$304,5,0),4)</f>
        <v>-1.6999999999999999E-3</v>
      </c>
      <c r="I92" s="90">
        <v>43187</v>
      </c>
      <c r="J92" s="102"/>
      <c r="K92" s="91"/>
      <c r="L92" s="104"/>
      <c r="M92" s="85"/>
      <c r="N92" s="91"/>
      <c r="O92" s="91"/>
      <c r="Q92" s="91"/>
    </row>
    <row r="93" spans="1:17" s="47" customFormat="1" x14ac:dyDescent="0.2">
      <c r="A93"/>
      <c r="B93" s="19" t="s">
        <v>85</v>
      </c>
      <c r="C93" s="19"/>
      <c r="D93" s="19"/>
      <c r="E93" s="20"/>
      <c r="F93" s="20">
        <f>+F39+F41+F43+F45+F47+F49+F51+F53+F55+F57+F59+F61+F63+F65+F67+F69+F71+F73+F75+F77+F79+F81+F83+F85+F87+F89+F91</f>
        <v>2907.7766375000006</v>
      </c>
      <c r="G93" s="21">
        <f>+G39+G41+G43+G45+G47+G49+G51+G53+G55+G57+G59+G61+G63+G65+G67+G69+G71+G73+G75+G77+G79+G81+G83+G85+G87+G89+G91</f>
        <v>0.41339999999999993</v>
      </c>
      <c r="H93" s="21">
        <f>SUM(H40:H92)</f>
        <v>-0.4148</v>
      </c>
      <c r="I93" s="22"/>
      <c r="J93" s="56"/>
      <c r="K93"/>
      <c r="L93" s="37"/>
      <c r="M93"/>
    </row>
    <row r="94" spans="1:17" s="47" customFormat="1" x14ac:dyDescent="0.2">
      <c r="A94"/>
      <c r="B94"/>
      <c r="C94"/>
      <c r="D94"/>
      <c r="E94" s="29"/>
      <c r="F94" s="29"/>
      <c r="G94" s="29"/>
      <c r="H94" s="29"/>
      <c r="I94" s="16"/>
      <c r="J94" s="57"/>
      <c r="L94" s="49"/>
    </row>
    <row r="95" spans="1:17" s="47" customFormat="1" x14ac:dyDescent="0.2">
      <c r="A95"/>
      <c r="B95" s="17" t="s">
        <v>91</v>
      </c>
      <c r="C95"/>
      <c r="D95"/>
      <c r="E95" s="29"/>
      <c r="F95" s="45"/>
      <c r="G95" s="15"/>
      <c r="H95" s="15"/>
      <c r="I95" s="16"/>
      <c r="J95" s="57"/>
      <c r="L95" s="49"/>
    </row>
    <row r="96" spans="1:17" ht="12.75" customHeight="1" x14ac:dyDescent="0.2">
      <c r="B96" s="17" t="s">
        <v>307</v>
      </c>
      <c r="F96" s="14"/>
      <c r="G96" s="15"/>
      <c r="H96" s="15"/>
      <c r="I96" s="34"/>
      <c r="J96"/>
      <c r="K96" s="37"/>
      <c r="L96"/>
    </row>
    <row r="97" spans="1:13" ht="12.75" customHeight="1" x14ac:dyDescent="0.2">
      <c r="A97" s="66">
        <f>+MAX($A$7:A96)+1</f>
        <v>82</v>
      </c>
      <c r="B97" t="s">
        <v>559</v>
      </c>
      <c r="C97" t="s">
        <v>708</v>
      </c>
      <c r="D97" t="s">
        <v>560</v>
      </c>
      <c r="E97" s="29">
        <v>60</v>
      </c>
      <c r="F97" s="14">
        <v>292.61880000000002</v>
      </c>
      <c r="G97" s="15">
        <f>+ROUND(F97/VLOOKUP("Grand Total",$B$4:$F$333,5,0),4)</f>
        <v>4.1599999999999998E-2</v>
      </c>
      <c r="H97" s="15"/>
      <c r="I97" s="16">
        <v>43245</v>
      </c>
      <c r="J97"/>
      <c r="K97" s="37"/>
      <c r="L97"/>
    </row>
    <row r="98" spans="1:13" ht="12.75" customHeight="1" x14ac:dyDescent="0.2">
      <c r="A98" s="66">
        <f>+MAX($A$7:A97)+1</f>
        <v>83</v>
      </c>
      <c r="B98" t="s">
        <v>572</v>
      </c>
      <c r="C98" t="s">
        <v>645</v>
      </c>
      <c r="D98" t="s">
        <v>291</v>
      </c>
      <c r="E98" s="29">
        <v>40</v>
      </c>
      <c r="F98" s="14">
        <v>199.84880000000001</v>
      </c>
      <c r="G98" s="15">
        <f>+ROUND(F98/VLOOKUP("Grand Total",$B$4:$F$333,5,0),4)</f>
        <v>2.8400000000000002E-2</v>
      </c>
      <c r="H98" s="15"/>
      <c r="I98" s="16">
        <v>43164</v>
      </c>
      <c r="J98"/>
      <c r="K98" s="37"/>
      <c r="L98"/>
    </row>
    <row r="99" spans="1:13" ht="12.75" customHeight="1" x14ac:dyDescent="0.2">
      <c r="A99" s="66">
        <f>+MAX($A$7:A98)+1</f>
        <v>84</v>
      </c>
      <c r="B99" t="s">
        <v>559</v>
      </c>
      <c r="C99" t="s">
        <v>646</v>
      </c>
      <c r="D99" t="s">
        <v>560</v>
      </c>
      <c r="E99" s="29">
        <v>40</v>
      </c>
      <c r="F99" s="14">
        <v>198.83160000000001</v>
      </c>
      <c r="G99" s="15">
        <f>+ROUND(F99/VLOOKUP("Grand Total",$B$4:$F$333,5,0),4)</f>
        <v>2.8299999999999999E-2</v>
      </c>
      <c r="H99" s="15"/>
      <c r="I99" s="16">
        <v>43181</v>
      </c>
      <c r="J99"/>
      <c r="K99" s="37"/>
      <c r="L99"/>
    </row>
    <row r="100" spans="1:13" ht="12.75" customHeight="1" x14ac:dyDescent="0.2">
      <c r="A100" s="66">
        <f>+MAX($A$7:A99)+1</f>
        <v>85</v>
      </c>
      <c r="B100" t="s">
        <v>292</v>
      </c>
      <c r="C100" t="s">
        <v>595</v>
      </c>
      <c r="D100" t="s">
        <v>571</v>
      </c>
      <c r="E100" s="29">
        <v>40</v>
      </c>
      <c r="F100" s="14">
        <v>187.67699999999999</v>
      </c>
      <c r="G100" s="15">
        <f>+ROUND(F100/VLOOKUP("Grand Total",$B$4:$F$333,5,0),4)</f>
        <v>2.6700000000000002E-2</v>
      </c>
      <c r="H100" s="15"/>
      <c r="I100" s="16">
        <v>43426</v>
      </c>
      <c r="J100"/>
      <c r="K100" s="37"/>
      <c r="L100"/>
    </row>
    <row r="101" spans="1:13" ht="12.75" customHeight="1" x14ac:dyDescent="0.2">
      <c r="B101" s="19" t="s">
        <v>85</v>
      </c>
      <c r="C101" s="19"/>
      <c r="D101" s="19"/>
      <c r="E101" s="30"/>
      <c r="F101" s="20">
        <f>SUM(F97:F100)</f>
        <v>878.97620000000006</v>
      </c>
      <c r="G101" s="21">
        <f>SUM(G97:G100)</f>
        <v>0.125</v>
      </c>
      <c r="H101" s="21"/>
      <c r="I101" s="22"/>
      <c r="J101"/>
      <c r="K101" s="37"/>
      <c r="L101"/>
    </row>
    <row r="102" spans="1:13" x14ac:dyDescent="0.2">
      <c r="F102" s="45"/>
      <c r="G102" s="15"/>
      <c r="H102" s="15"/>
      <c r="I102" s="16"/>
      <c r="J102" s="57"/>
      <c r="K102" s="49"/>
      <c r="L102" s="47"/>
      <c r="M102" s="47"/>
    </row>
    <row r="103" spans="1:13" x14ac:dyDescent="0.2">
      <c r="B103" s="17" t="s">
        <v>125</v>
      </c>
      <c r="F103" s="45"/>
      <c r="G103" s="15"/>
      <c r="H103" s="15"/>
      <c r="I103" s="16"/>
      <c r="J103" s="57"/>
      <c r="K103" s="49"/>
      <c r="L103" s="47"/>
      <c r="M103" s="47"/>
    </row>
    <row r="104" spans="1:13" ht="12.75" customHeight="1" x14ac:dyDescent="0.2">
      <c r="B104" s="32" t="s">
        <v>407</v>
      </c>
      <c r="F104" s="14"/>
      <c r="G104" s="15"/>
      <c r="H104" s="15"/>
      <c r="I104" s="34"/>
      <c r="J104"/>
      <c r="K104" s="37"/>
      <c r="L104"/>
    </row>
    <row r="105" spans="1:13" ht="12.75" customHeight="1" x14ac:dyDescent="0.2">
      <c r="A105">
        <f>+MAX($A$7:A104)+1</f>
        <v>86</v>
      </c>
      <c r="B105" s="66" t="s">
        <v>735</v>
      </c>
      <c r="C105" t="s">
        <v>487</v>
      </c>
      <c r="D105" t="s">
        <v>293</v>
      </c>
      <c r="E105" s="29">
        <v>17</v>
      </c>
      <c r="F105" s="14">
        <v>169.17753999999999</v>
      </c>
      <c r="G105" s="15">
        <f t="shared" ref="G105:G110" si="2">+ROUND(F105/VLOOKUP("Grand Total",$B$4:$F$333,5,0),4)</f>
        <v>2.41E-2</v>
      </c>
      <c r="H105" s="15"/>
      <c r="I105" s="16">
        <v>43630</v>
      </c>
      <c r="J105"/>
      <c r="K105" s="37"/>
      <c r="L105"/>
    </row>
    <row r="106" spans="1:13" ht="12.75" customHeight="1" x14ac:dyDescent="0.2">
      <c r="A106">
        <f>+MAX($A$7:A105)+1</f>
        <v>87</v>
      </c>
      <c r="B106" s="66" t="s">
        <v>674</v>
      </c>
      <c r="C106" t="s">
        <v>421</v>
      </c>
      <c r="D106" t="s">
        <v>364</v>
      </c>
      <c r="E106" s="29">
        <v>13</v>
      </c>
      <c r="F106" s="14">
        <v>130.04016999999999</v>
      </c>
      <c r="G106" s="15">
        <f t="shared" si="2"/>
        <v>1.8499999999999999E-2</v>
      </c>
      <c r="H106" s="15"/>
      <c r="I106" s="16">
        <v>43322</v>
      </c>
      <c r="J106"/>
      <c r="K106" s="37"/>
      <c r="L106"/>
    </row>
    <row r="107" spans="1:13" ht="12.75" customHeight="1" x14ac:dyDescent="0.2">
      <c r="A107">
        <f>+MAX($A$7:A106)+1</f>
        <v>88</v>
      </c>
      <c r="B107" s="66" t="s">
        <v>513</v>
      </c>
      <c r="C107" t="s">
        <v>514</v>
      </c>
      <c r="D107" t="s">
        <v>108</v>
      </c>
      <c r="E107" s="29">
        <v>10</v>
      </c>
      <c r="F107" s="14">
        <v>99.101100000000002</v>
      </c>
      <c r="G107" s="15">
        <f t="shared" si="2"/>
        <v>1.41E-2</v>
      </c>
      <c r="H107" s="15"/>
      <c r="I107" s="16">
        <v>44091</v>
      </c>
      <c r="J107"/>
      <c r="K107" s="37"/>
      <c r="L107"/>
    </row>
    <row r="108" spans="1:13" ht="12.75" customHeight="1" x14ac:dyDescent="0.2">
      <c r="A108">
        <f>+MAX($A$7:A107)+1</f>
        <v>89</v>
      </c>
      <c r="B108" s="66" t="s">
        <v>678</v>
      </c>
      <c r="C108" t="s">
        <v>647</v>
      </c>
      <c r="D108" t="s">
        <v>632</v>
      </c>
      <c r="E108" s="29">
        <v>9.9999999999999982</v>
      </c>
      <c r="F108" s="14">
        <v>91.581800000000001</v>
      </c>
      <c r="G108" s="15">
        <f t="shared" si="2"/>
        <v>1.2999999999999999E-2</v>
      </c>
      <c r="H108" s="15"/>
      <c r="I108" s="16">
        <v>43826</v>
      </c>
      <c r="J108"/>
      <c r="K108" s="37"/>
      <c r="L108"/>
    </row>
    <row r="109" spans="1:13" ht="12.75" customHeight="1" x14ac:dyDescent="0.2">
      <c r="A109">
        <f>+MAX($A$7:A108)+1</f>
        <v>90</v>
      </c>
      <c r="B109" s="66" t="s">
        <v>748</v>
      </c>
      <c r="C109" t="s">
        <v>602</v>
      </c>
      <c r="D109" t="s">
        <v>108</v>
      </c>
      <c r="E109" s="29">
        <v>4</v>
      </c>
      <c r="F109" s="14">
        <v>51.895449999999997</v>
      </c>
      <c r="G109" s="15">
        <f t="shared" si="2"/>
        <v>7.4000000000000003E-3</v>
      </c>
      <c r="H109" s="15"/>
      <c r="I109" s="16">
        <v>44401</v>
      </c>
      <c r="J109"/>
      <c r="K109" s="37"/>
      <c r="L109"/>
    </row>
    <row r="110" spans="1:13" ht="12.75" customHeight="1" x14ac:dyDescent="0.2">
      <c r="A110">
        <f>+MAX($A$7:A109)+1</f>
        <v>91</v>
      </c>
      <c r="B110" s="66" t="s">
        <v>676</v>
      </c>
      <c r="C110" t="s">
        <v>170</v>
      </c>
      <c r="D110" t="s">
        <v>169</v>
      </c>
      <c r="E110" s="29">
        <v>1</v>
      </c>
      <c r="F110" s="14">
        <v>10.01441</v>
      </c>
      <c r="G110" s="15">
        <f t="shared" si="2"/>
        <v>1.4E-3</v>
      </c>
      <c r="H110" s="15"/>
      <c r="I110" s="16">
        <v>43259</v>
      </c>
      <c r="J110"/>
      <c r="K110" s="37"/>
      <c r="L110"/>
    </row>
    <row r="111" spans="1:13" ht="12.75" customHeight="1" x14ac:dyDescent="0.2">
      <c r="B111" s="19" t="s">
        <v>85</v>
      </c>
      <c r="C111" s="19"/>
      <c r="D111" s="19"/>
      <c r="E111" s="30"/>
      <c r="F111" s="20">
        <f>SUM(F105:F110)</f>
        <v>551.81047000000001</v>
      </c>
      <c r="G111" s="21">
        <f>SUM(G105:G110)</f>
        <v>7.85E-2</v>
      </c>
      <c r="H111" s="21"/>
      <c r="I111" s="22"/>
      <c r="J111"/>
      <c r="K111" s="37"/>
      <c r="L111"/>
    </row>
    <row r="112" spans="1:13" x14ac:dyDescent="0.2">
      <c r="F112" s="45"/>
      <c r="G112" s="15"/>
      <c r="H112" s="15"/>
      <c r="I112" s="16"/>
      <c r="J112" s="57"/>
      <c r="K112" s="49"/>
      <c r="L112" s="47"/>
      <c r="M112" s="47"/>
    </row>
    <row r="113" spans="1:13" ht="12.75" customHeight="1" x14ac:dyDescent="0.2">
      <c r="B113" s="17" t="s">
        <v>92</v>
      </c>
      <c r="F113" s="14"/>
      <c r="G113" s="15"/>
      <c r="H113" s="15"/>
      <c r="I113" s="34"/>
      <c r="J113"/>
      <c r="K113" s="37"/>
      <c r="L113"/>
    </row>
    <row r="114" spans="1:13" ht="12.75" customHeight="1" x14ac:dyDescent="0.2">
      <c r="A114">
        <f>+MAX($A$7:A113)+1</f>
        <v>92</v>
      </c>
      <c r="B114" t="s">
        <v>447</v>
      </c>
      <c r="C114" t="s">
        <v>355</v>
      </c>
      <c r="D114" t="s">
        <v>321</v>
      </c>
      <c r="E114" s="29">
        <v>9842.8194000000003</v>
      </c>
      <c r="F114" s="14">
        <v>164.903604</v>
      </c>
      <c r="G114" s="15">
        <f>+ROUND(F114/VLOOKUP("Grand Total",$B$4:$F$333,5,0),4)</f>
        <v>2.3400000000000001E-2</v>
      </c>
      <c r="H114" s="15"/>
      <c r="I114" s="34" t="s">
        <v>372</v>
      </c>
      <c r="J114"/>
      <c r="K114" s="37"/>
      <c r="L114"/>
    </row>
    <row r="115" spans="1:13" ht="12.75" customHeight="1" x14ac:dyDescent="0.2">
      <c r="B115" s="19" t="s">
        <v>85</v>
      </c>
      <c r="C115" s="19"/>
      <c r="D115" s="19"/>
      <c r="E115" s="30"/>
      <c r="F115" s="20">
        <f>SUM(F114)</f>
        <v>164.903604</v>
      </c>
      <c r="G115" s="21">
        <f>SUM(G114)</f>
        <v>2.3400000000000001E-2</v>
      </c>
      <c r="H115" s="21"/>
      <c r="I115" s="22"/>
      <c r="J115"/>
      <c r="K115" s="37"/>
      <c r="L115"/>
    </row>
    <row r="116" spans="1:13" x14ac:dyDescent="0.2">
      <c r="F116" s="45"/>
      <c r="G116" s="15"/>
      <c r="H116" s="15"/>
      <c r="I116" s="16"/>
      <c r="J116" s="57"/>
      <c r="K116" s="49"/>
      <c r="L116" s="47"/>
      <c r="M116" s="47"/>
    </row>
    <row r="117" spans="1:13" x14ac:dyDescent="0.2">
      <c r="A117" s="96" t="s">
        <v>371</v>
      </c>
      <c r="B117" s="17" t="s">
        <v>93</v>
      </c>
      <c r="C117" s="17"/>
      <c r="F117" s="14">
        <v>278.42273999999998</v>
      </c>
      <c r="G117" s="15">
        <f>+ROUND(F117/VLOOKUP("Grand Total",$B$4:$F$309,5,0),4)</f>
        <v>3.9600000000000003E-2</v>
      </c>
      <c r="H117" s="15"/>
      <c r="I117" s="16">
        <v>43160</v>
      </c>
      <c r="J117" s="57"/>
      <c r="K117" s="37"/>
      <c r="L117"/>
    </row>
    <row r="118" spans="1:13" x14ac:dyDescent="0.2">
      <c r="B118" s="19" t="s">
        <v>85</v>
      </c>
      <c r="C118" s="19"/>
      <c r="D118" s="19"/>
      <c r="E118" s="30"/>
      <c r="F118" s="20">
        <f>SUM(F117)</f>
        <v>278.42273999999998</v>
      </c>
      <c r="G118" s="21">
        <f>SUM(G117)</f>
        <v>3.9600000000000003E-2</v>
      </c>
      <c r="H118" s="21"/>
      <c r="I118" s="22"/>
      <c r="J118" s="56"/>
    </row>
    <row r="119" spans="1:13" x14ac:dyDescent="0.2">
      <c r="F119" s="14"/>
      <c r="G119" s="15"/>
      <c r="H119" s="15"/>
      <c r="I119" s="16"/>
      <c r="J119" s="57"/>
    </row>
    <row r="120" spans="1:13" x14ac:dyDescent="0.2">
      <c r="B120" s="17" t="s">
        <v>94</v>
      </c>
      <c r="C120" s="17"/>
      <c r="F120" s="14"/>
      <c r="G120" s="15"/>
      <c r="H120" s="15"/>
      <c r="I120" s="16"/>
      <c r="J120" s="57"/>
    </row>
    <row r="121" spans="1:13" x14ac:dyDescent="0.2">
      <c r="B121" s="17" t="s">
        <v>95</v>
      </c>
      <c r="C121" s="17"/>
      <c r="F121" s="45">
        <f>+F123-SUMIF($B$5:B120,"Total",$F$5:F120)</f>
        <v>365.12226289999853</v>
      </c>
      <c r="G121" s="46">
        <f>+ROUND(F121/VLOOKUP("Grand Total",$B$4:$F$309,5,0),4)+0.02%</f>
        <v>5.21E-2</v>
      </c>
      <c r="H121" s="46"/>
      <c r="I121" s="16"/>
      <c r="J121" s="57"/>
    </row>
    <row r="122" spans="1:13" x14ac:dyDescent="0.2">
      <c r="B122" s="19" t="s">
        <v>85</v>
      </c>
      <c r="C122" s="19"/>
      <c r="D122" s="19"/>
      <c r="E122" s="30"/>
      <c r="F122" s="20">
        <f>SUM(F121)</f>
        <v>365.12226289999853</v>
      </c>
      <c r="G122" s="21">
        <f>SUM(G121)</f>
        <v>5.21E-2</v>
      </c>
      <c r="H122" s="21"/>
      <c r="I122" s="22"/>
      <c r="J122" s="56"/>
    </row>
    <row r="123" spans="1:13" x14ac:dyDescent="0.2">
      <c r="B123" s="23" t="s">
        <v>96</v>
      </c>
      <c r="C123" s="23"/>
      <c r="D123" s="23"/>
      <c r="E123" s="31"/>
      <c r="F123" s="24">
        <v>7032.2643093999995</v>
      </c>
      <c r="G123" s="25">
        <f>+SUMIF($B$5:B122,"Total",$G$5:G122)</f>
        <v>1</v>
      </c>
      <c r="H123" s="25"/>
      <c r="I123" s="26"/>
      <c r="J123" s="40"/>
    </row>
    <row r="124" spans="1:13" x14ac:dyDescent="0.2">
      <c r="F124" s="41"/>
      <c r="L124"/>
    </row>
    <row r="125" spans="1:13" x14ac:dyDescent="0.2">
      <c r="B125" s="17" t="s">
        <v>634</v>
      </c>
      <c r="C125" s="17"/>
      <c r="L125"/>
    </row>
    <row r="126" spans="1:13" x14ac:dyDescent="0.2">
      <c r="B126" s="17" t="s">
        <v>188</v>
      </c>
      <c r="C126" s="17"/>
      <c r="L126"/>
    </row>
    <row r="127" spans="1:13" x14ac:dyDescent="0.2">
      <c r="B127" s="54"/>
      <c r="L127"/>
    </row>
    <row r="128" spans="1:13" x14ac:dyDescent="0.2">
      <c r="L128"/>
    </row>
    <row r="129" spans="5:12" x14ac:dyDescent="0.2">
      <c r="L129"/>
    </row>
    <row r="130" spans="5:12" x14ac:dyDescent="0.2">
      <c r="L130"/>
    </row>
    <row r="131" spans="5:12" x14ac:dyDescent="0.2">
      <c r="L131"/>
    </row>
    <row r="132" spans="5:12" x14ac:dyDescent="0.2">
      <c r="L132"/>
    </row>
    <row r="133" spans="5:12" x14ac:dyDescent="0.2">
      <c r="L133"/>
    </row>
    <row r="134" spans="5:12" x14ac:dyDescent="0.2">
      <c r="L134"/>
    </row>
    <row r="135" spans="5:12" x14ac:dyDescent="0.2"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  <row r="155" spans="5:12" x14ac:dyDescent="0.2">
      <c r="E155"/>
      <c r="J155"/>
      <c r="L155"/>
    </row>
    <row r="156" spans="5:12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  <c r="J158"/>
      <c r="L158"/>
    </row>
    <row r="159" spans="5:12" x14ac:dyDescent="0.2">
      <c r="E159"/>
      <c r="J159"/>
      <c r="L159"/>
    </row>
    <row r="160" spans="5:12" x14ac:dyDescent="0.2">
      <c r="E160"/>
      <c r="J160"/>
      <c r="L160"/>
    </row>
    <row r="161" spans="5:12" x14ac:dyDescent="0.2">
      <c r="E161"/>
      <c r="J161"/>
      <c r="L161"/>
    </row>
    <row r="162" spans="5:12" x14ac:dyDescent="0.2">
      <c r="E162"/>
      <c r="J162"/>
      <c r="L162"/>
    </row>
    <row r="163" spans="5:12" x14ac:dyDescent="0.2">
      <c r="E163"/>
      <c r="J163"/>
      <c r="L163"/>
    </row>
    <row r="164" spans="5:12" x14ac:dyDescent="0.2">
      <c r="E164"/>
      <c r="J164"/>
      <c r="L164"/>
    </row>
    <row r="165" spans="5:12" x14ac:dyDescent="0.2">
      <c r="E165"/>
      <c r="J165"/>
      <c r="L165"/>
    </row>
    <row r="166" spans="5:12" x14ac:dyDescent="0.2">
      <c r="E166"/>
      <c r="J166"/>
      <c r="L166"/>
    </row>
    <row r="167" spans="5:12" x14ac:dyDescent="0.2">
      <c r="E167"/>
      <c r="J167"/>
      <c r="L167"/>
    </row>
    <row r="168" spans="5:12" x14ac:dyDescent="0.2">
      <c r="E168"/>
      <c r="J168"/>
      <c r="L168"/>
    </row>
    <row r="169" spans="5:12" x14ac:dyDescent="0.2">
      <c r="E169"/>
      <c r="J169"/>
      <c r="L169"/>
    </row>
    <row r="170" spans="5:12" x14ac:dyDescent="0.2">
      <c r="E170"/>
      <c r="J170"/>
      <c r="L170"/>
    </row>
    <row r="171" spans="5:12" x14ac:dyDescent="0.2">
      <c r="E171"/>
      <c r="J171"/>
      <c r="L171"/>
    </row>
    <row r="172" spans="5:12" x14ac:dyDescent="0.2">
      <c r="E172"/>
      <c r="J172"/>
      <c r="L172"/>
    </row>
    <row r="173" spans="5:12" x14ac:dyDescent="0.2">
      <c r="E173"/>
      <c r="J173"/>
      <c r="L173"/>
    </row>
    <row r="174" spans="5:12" x14ac:dyDescent="0.2">
      <c r="E174"/>
      <c r="J174"/>
      <c r="L174"/>
    </row>
  </sheetData>
  <sheetProtection password="EDB3" sheet="1" objects="1" scenarios="1"/>
  <sortState ref="K9:L38">
    <sortCondition descending="1" ref="L9:L38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7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customWidth="1"/>
  </cols>
  <sheetData>
    <row r="1" spans="1:16" ht="18.75" x14ac:dyDescent="0.2">
      <c r="A1" s="95" t="s">
        <v>386</v>
      </c>
      <c r="B1" s="126" t="s">
        <v>459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91</v>
      </c>
      <c r="C7" s="17"/>
      <c r="F7" s="14"/>
      <c r="G7" s="15"/>
      <c r="H7" s="16"/>
    </row>
    <row r="8" spans="1:16" ht="12.75" customHeight="1" x14ac:dyDescent="0.2">
      <c r="B8" s="17" t="s">
        <v>167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+MAX($A$7:A8)+1</f>
        <v>1</v>
      </c>
      <c r="B9" t="s">
        <v>589</v>
      </c>
      <c r="C9" t="s">
        <v>590</v>
      </c>
      <c r="D9" t="s">
        <v>404</v>
      </c>
      <c r="E9" s="29">
        <v>18000</v>
      </c>
      <c r="F9" s="14">
        <v>17.964053999999997</v>
      </c>
      <c r="G9" s="15">
        <f>+ROUND(F9/VLOOKUP("Grand Total",$B$4:$F$291,5,0),4)</f>
        <v>8.5000000000000006E-3</v>
      </c>
      <c r="H9" s="16">
        <v>43172</v>
      </c>
      <c r="J9" s="15" t="s">
        <v>404</v>
      </c>
      <c r="K9" s="49">
        <f t="shared" ref="K9:K16" si="0">SUMIFS($G$5:$G$321,$D$5:$D$321,J9)</f>
        <v>0.41830000000000001</v>
      </c>
    </row>
    <row r="10" spans="1:16" ht="12.75" customHeight="1" x14ac:dyDescent="0.2">
      <c r="B10" s="19" t="s">
        <v>85</v>
      </c>
      <c r="C10" s="19"/>
      <c r="D10" s="19"/>
      <c r="E10" s="30"/>
      <c r="F10" s="20">
        <f>SUM(F9:F9)</f>
        <v>17.964053999999997</v>
      </c>
      <c r="G10" s="21">
        <f>SUM(G9:G9)</f>
        <v>8.5000000000000006E-3</v>
      </c>
      <c r="H10" s="22"/>
      <c r="J10" t="s">
        <v>169</v>
      </c>
      <c r="K10" s="49">
        <f t="shared" si="0"/>
        <v>9.4600000000000004E-2</v>
      </c>
    </row>
    <row r="11" spans="1:16" ht="12.75" customHeight="1" x14ac:dyDescent="0.2">
      <c r="B11" s="17"/>
      <c r="C11" s="17"/>
      <c r="F11" s="14"/>
      <c r="G11" s="15"/>
      <c r="H11" s="16"/>
      <c r="J11" t="s">
        <v>293</v>
      </c>
      <c r="K11" s="49">
        <f t="shared" si="0"/>
        <v>8.4599999999999995E-2</v>
      </c>
    </row>
    <row r="12" spans="1:16" ht="12.75" customHeight="1" x14ac:dyDescent="0.2">
      <c r="B12" s="17" t="s">
        <v>168</v>
      </c>
      <c r="C12" s="17"/>
      <c r="F12" s="14"/>
      <c r="G12" s="15"/>
      <c r="H12" s="16"/>
      <c r="J12" s="47" t="s">
        <v>488</v>
      </c>
      <c r="K12" s="49">
        <f t="shared" si="0"/>
        <v>8.3599999999999994E-2</v>
      </c>
      <c r="M12" s="15"/>
      <c r="N12" s="37"/>
      <c r="P12" s="15"/>
    </row>
    <row r="13" spans="1:16" ht="12.75" customHeight="1" x14ac:dyDescent="0.2">
      <c r="A13">
        <f>+MAX($A$7:A12)+1</f>
        <v>2</v>
      </c>
      <c r="B13" s="1" t="s">
        <v>561</v>
      </c>
      <c r="C13" t="s">
        <v>562</v>
      </c>
      <c r="D13" t="s">
        <v>404</v>
      </c>
      <c r="E13" s="29">
        <v>500000</v>
      </c>
      <c r="F13" s="14">
        <v>446.75</v>
      </c>
      <c r="G13" s="15">
        <f>+ROUND(F13/VLOOKUP("Grand Total",$B$4:$F$289,5,0),4)</f>
        <v>0.21099999999999999</v>
      </c>
      <c r="H13" s="16">
        <v>48108</v>
      </c>
      <c r="J13" s="15" t="s">
        <v>532</v>
      </c>
      <c r="K13" s="49">
        <f t="shared" si="0"/>
        <v>7.1199999999999999E-2</v>
      </c>
      <c r="M13" s="15"/>
      <c r="N13" s="37"/>
      <c r="P13" s="15"/>
    </row>
    <row r="14" spans="1:16" ht="12.75" customHeight="1" x14ac:dyDescent="0.2">
      <c r="A14">
        <f>+MAX($A$7:A13)+1</f>
        <v>3</v>
      </c>
      <c r="B14" s="1" t="s">
        <v>467</v>
      </c>
      <c r="C14" t="s">
        <v>468</v>
      </c>
      <c r="D14" t="s">
        <v>404</v>
      </c>
      <c r="E14" s="29">
        <v>20000</v>
      </c>
      <c r="F14" s="14">
        <v>19.506</v>
      </c>
      <c r="G14" s="15">
        <f t="shared" ref="G14" si="1">+ROUND(F14/VLOOKUP("Grand Total",$B$4:$F$289,5,0),4)</f>
        <v>9.1999999999999998E-3</v>
      </c>
      <c r="H14" s="16">
        <v>44914</v>
      </c>
      <c r="J14" s="15" t="s">
        <v>174</v>
      </c>
      <c r="K14" s="49">
        <f t="shared" ref="K14" si="2">SUMIFS($G$5:$G$321,$D$5:$D$321,J14)</f>
        <v>7.0800000000000002E-2</v>
      </c>
      <c r="M14" s="15"/>
      <c r="N14" s="37"/>
      <c r="P14" s="15"/>
    </row>
    <row r="15" spans="1:16" ht="12.75" customHeight="1" x14ac:dyDescent="0.2">
      <c r="B15" s="19" t="s">
        <v>85</v>
      </c>
      <c r="C15" s="19"/>
      <c r="D15" s="19"/>
      <c r="E15" s="30"/>
      <c r="F15" s="20">
        <f>SUM(F13:F14)</f>
        <v>466.25599999999997</v>
      </c>
      <c r="G15" s="21">
        <f>SUM(G13:G14)</f>
        <v>0.22020000000000001</v>
      </c>
      <c r="H15" s="22"/>
      <c r="I15" s="36"/>
      <c r="J15" t="s">
        <v>364</v>
      </c>
      <c r="K15" s="49">
        <f t="shared" si="0"/>
        <v>5.2200000000000003E-2</v>
      </c>
      <c r="L15" s="55"/>
      <c r="M15" s="15"/>
      <c r="N15" s="37"/>
      <c r="P15" s="15"/>
    </row>
    <row r="16" spans="1:16" ht="12.75" customHeight="1" x14ac:dyDescent="0.2">
      <c r="F16" s="14"/>
      <c r="G16" s="15"/>
      <c r="H16" s="16"/>
      <c r="J16" t="s">
        <v>108</v>
      </c>
      <c r="K16" s="49">
        <f t="shared" si="0"/>
        <v>4.7500000000000001E-2</v>
      </c>
      <c r="L16" s="55"/>
      <c r="M16" s="15"/>
      <c r="N16" s="37"/>
      <c r="P16" s="15"/>
    </row>
    <row r="17" spans="1:16" ht="12.75" customHeight="1" x14ac:dyDescent="0.2">
      <c r="B17" s="17" t="s">
        <v>438</v>
      </c>
      <c r="C17" s="17"/>
      <c r="F17" s="14"/>
      <c r="G17" s="15"/>
      <c r="H17" s="16"/>
      <c r="J17" s="15" t="s">
        <v>64</v>
      </c>
      <c r="K17" s="49">
        <f>+SUMIFS($G$5:$G$996,$B$5:$B$996,"CBLO / Reverse Repo Investments")+SUMIFS($G$5:$G$996,$B$5:$B$996,"Net Receivable/Payable")</f>
        <v>7.7200000000000005E-2</v>
      </c>
      <c r="M17" s="15"/>
      <c r="N17" s="37"/>
      <c r="P17" s="15"/>
    </row>
    <row r="18" spans="1:16" ht="12.75" customHeight="1" x14ac:dyDescent="0.2">
      <c r="A18">
        <f>+MAX($A$7:A17)+1</f>
        <v>4</v>
      </c>
      <c r="B18" s="1" t="s">
        <v>715</v>
      </c>
      <c r="C18" t="s">
        <v>716</v>
      </c>
      <c r="D18" t="s">
        <v>404</v>
      </c>
      <c r="E18" s="29">
        <v>400000</v>
      </c>
      <c r="F18" s="14">
        <v>401.6</v>
      </c>
      <c r="G18" s="15">
        <f>+ROUND(F18/VLOOKUP("Grand Total",$B$4:$F$289,5,0),4)</f>
        <v>0.18959999999999999</v>
      </c>
      <c r="H18" s="16">
        <v>46811</v>
      </c>
      <c r="J18" s="15"/>
      <c r="K18" s="49"/>
      <c r="M18" s="15"/>
      <c r="N18" s="37"/>
      <c r="P18" s="15"/>
    </row>
    <row r="19" spans="1:16" ht="12.75" customHeight="1" x14ac:dyDescent="0.2">
      <c r="B19" s="19" t="s">
        <v>85</v>
      </c>
      <c r="C19" s="19"/>
      <c r="D19" s="19"/>
      <c r="E19" s="30"/>
      <c r="F19" s="20">
        <f>SUM(F18:F18)</f>
        <v>401.6</v>
      </c>
      <c r="G19" s="21">
        <f>SUM(G18:G18)</f>
        <v>0.18959999999999999</v>
      </c>
      <c r="H19" s="22"/>
      <c r="I19" s="36"/>
      <c r="K19" s="49"/>
      <c r="L19" s="55"/>
      <c r="M19" s="15"/>
      <c r="N19" s="37"/>
      <c r="P19" s="15"/>
    </row>
    <row r="20" spans="1:16" ht="12.75" customHeight="1" x14ac:dyDescent="0.2">
      <c r="F20" s="14"/>
      <c r="G20" s="15"/>
      <c r="H20" s="16"/>
      <c r="K20" s="49"/>
      <c r="L20" s="55"/>
      <c r="M20" s="15"/>
      <c r="N20" s="37"/>
      <c r="P20" s="15"/>
    </row>
    <row r="21" spans="1:16" ht="12.75" customHeight="1" x14ac:dyDescent="0.2">
      <c r="B21" s="17" t="s">
        <v>125</v>
      </c>
      <c r="C21" s="17"/>
      <c r="F21" s="14"/>
      <c r="G21" s="15"/>
      <c r="H21" s="16"/>
      <c r="J21" s="15"/>
      <c r="K21" s="49"/>
      <c r="L21" s="55">
        <f>+SUM($K$12:K21)</f>
        <v>0.40249999999999997</v>
      </c>
      <c r="M21" s="15"/>
      <c r="N21" s="37"/>
      <c r="P21" s="15"/>
    </row>
    <row r="22" spans="1:16" ht="12.75" customHeight="1" x14ac:dyDescent="0.2">
      <c r="B22" s="32" t="s">
        <v>306</v>
      </c>
      <c r="C22" s="17"/>
      <c r="F22" s="14"/>
      <c r="G22" s="15"/>
      <c r="H22" s="16"/>
      <c r="J22" s="15"/>
      <c r="K22" s="49"/>
    </row>
    <row r="23" spans="1:16" ht="12.75" customHeight="1" x14ac:dyDescent="0.2">
      <c r="A23">
        <f>+MAX($A$7:A22)+1</f>
        <v>5</v>
      </c>
      <c r="B23" s="1" t="s">
        <v>316</v>
      </c>
      <c r="C23" t="s">
        <v>170</v>
      </c>
      <c r="D23" t="s">
        <v>169</v>
      </c>
      <c r="E23" s="29">
        <v>20</v>
      </c>
      <c r="F23" s="14">
        <v>200.28819999999999</v>
      </c>
      <c r="G23" s="15">
        <f t="shared" ref="G23:G30" si="3">+ROUND(F23/VLOOKUP("Grand Total",$B$4:$F$289,5,0),4)</f>
        <v>9.4600000000000004E-2</v>
      </c>
      <c r="H23" s="16">
        <v>43259</v>
      </c>
      <c r="J23" s="53"/>
    </row>
    <row r="24" spans="1:16" ht="12.75" customHeight="1" x14ac:dyDescent="0.2">
      <c r="A24">
        <f>+MAX($A$7:A23)+1</f>
        <v>6</v>
      </c>
      <c r="B24" t="s">
        <v>486</v>
      </c>
      <c r="C24" t="s">
        <v>487</v>
      </c>
      <c r="D24" t="s">
        <v>293</v>
      </c>
      <c r="E24" s="29">
        <v>18</v>
      </c>
      <c r="F24" s="14">
        <v>179.12916000000001</v>
      </c>
      <c r="G24" s="15">
        <f t="shared" si="3"/>
        <v>8.4599999999999995E-2</v>
      </c>
      <c r="H24" s="16">
        <v>43630</v>
      </c>
    </row>
    <row r="25" spans="1:16" ht="12.75" customHeight="1" x14ac:dyDescent="0.2">
      <c r="A25">
        <f>+MAX($A$7:A24)+1</f>
        <v>7</v>
      </c>
      <c r="B25" t="s">
        <v>536</v>
      </c>
      <c r="C25" t="s">
        <v>515</v>
      </c>
      <c r="D25" t="s">
        <v>488</v>
      </c>
      <c r="E25" s="29">
        <v>18</v>
      </c>
      <c r="F25" s="14">
        <v>177.00066000000001</v>
      </c>
      <c r="G25" s="15">
        <f t="shared" si="3"/>
        <v>8.3599999999999994E-2</v>
      </c>
      <c r="H25" s="16">
        <v>44026</v>
      </c>
      <c r="J25" s="53"/>
    </row>
    <row r="26" spans="1:16" ht="12.75" customHeight="1" x14ac:dyDescent="0.2">
      <c r="A26">
        <f>+MAX($A$7:A25)+1</f>
        <v>8</v>
      </c>
      <c r="B26" s="66" t="s">
        <v>351</v>
      </c>
      <c r="C26" t="s">
        <v>352</v>
      </c>
      <c r="D26" t="s">
        <v>532</v>
      </c>
      <c r="E26" s="29">
        <v>15</v>
      </c>
      <c r="F26" s="14">
        <v>150.67679999999999</v>
      </c>
      <c r="G26" s="15">
        <f t="shared" si="3"/>
        <v>7.1199999999999999E-2</v>
      </c>
      <c r="H26" s="16">
        <v>43309</v>
      </c>
      <c r="J26" s="53"/>
    </row>
    <row r="27" spans="1:16" ht="12.75" customHeight="1" x14ac:dyDescent="0.2">
      <c r="A27">
        <f>+MAX($A$7:A26)+1</f>
        <v>9</v>
      </c>
      <c r="B27" t="s">
        <v>576</v>
      </c>
      <c r="C27" t="s">
        <v>353</v>
      </c>
      <c r="D27" t="s">
        <v>174</v>
      </c>
      <c r="E27" s="29">
        <v>15</v>
      </c>
      <c r="F27" s="14">
        <v>149.9085</v>
      </c>
      <c r="G27" s="15">
        <f t="shared" si="3"/>
        <v>7.0800000000000002E-2</v>
      </c>
      <c r="H27" s="16">
        <v>43299</v>
      </c>
      <c r="J27" s="53"/>
    </row>
    <row r="28" spans="1:16" ht="12.75" customHeight="1" x14ac:dyDescent="0.2">
      <c r="A28">
        <f>+MAX($A$7:A27)+1</f>
        <v>10</v>
      </c>
      <c r="B28" t="s">
        <v>577</v>
      </c>
      <c r="C28" t="s">
        <v>408</v>
      </c>
      <c r="D28" t="s">
        <v>108</v>
      </c>
      <c r="E28" s="29">
        <v>10</v>
      </c>
      <c r="F28" s="14">
        <v>100.613</v>
      </c>
      <c r="G28" s="15">
        <f t="shared" si="3"/>
        <v>4.7500000000000001E-2</v>
      </c>
      <c r="H28" s="16">
        <v>44343</v>
      </c>
      <c r="J28" s="53"/>
    </row>
    <row r="29" spans="1:16" ht="12.75" customHeight="1" x14ac:dyDescent="0.2">
      <c r="A29">
        <f>+MAX($A$7:A28)+1</f>
        <v>11</v>
      </c>
      <c r="B29" t="s">
        <v>362</v>
      </c>
      <c r="C29" t="s">
        <v>533</v>
      </c>
      <c r="D29" t="s">
        <v>364</v>
      </c>
      <c r="E29" s="29">
        <v>10000</v>
      </c>
      <c r="F29" s="14">
        <v>100.49079999999999</v>
      </c>
      <c r="G29" s="15">
        <f t="shared" si="3"/>
        <v>4.7500000000000001E-2</v>
      </c>
      <c r="H29" s="16">
        <v>43717</v>
      </c>
      <c r="J29" s="53"/>
    </row>
    <row r="30" spans="1:16" ht="12.75" customHeight="1" x14ac:dyDescent="0.2">
      <c r="A30">
        <f>+MAX($A$7:A29)+1</f>
        <v>12</v>
      </c>
      <c r="B30" t="s">
        <v>450</v>
      </c>
      <c r="C30" t="s">
        <v>422</v>
      </c>
      <c r="D30" t="s">
        <v>364</v>
      </c>
      <c r="E30" s="29">
        <v>1000</v>
      </c>
      <c r="F30" s="14">
        <v>10.042260000000001</v>
      </c>
      <c r="G30" s="15">
        <f t="shared" si="3"/>
        <v>4.7000000000000002E-3</v>
      </c>
      <c r="H30" s="16">
        <v>43717</v>
      </c>
      <c r="J30" s="53"/>
    </row>
    <row r="31" spans="1:16" ht="12.75" customHeight="1" x14ac:dyDescent="0.2">
      <c r="B31" s="19" t="s">
        <v>85</v>
      </c>
      <c r="C31" s="19"/>
      <c r="D31" s="19"/>
      <c r="E31" s="30"/>
      <c r="F31" s="20">
        <f>SUM(F23:F30)</f>
        <v>1068.1493800000001</v>
      </c>
      <c r="G31" s="21">
        <f>SUM(G23:G30)</f>
        <v>0.50449999999999995</v>
      </c>
      <c r="H31" s="22"/>
      <c r="J31" s="53"/>
    </row>
    <row r="32" spans="1:16" ht="12.75" customHeight="1" x14ac:dyDescent="0.2">
      <c r="F32" s="14"/>
      <c r="G32" s="15"/>
      <c r="H32" s="16"/>
    </row>
    <row r="33" spans="1:9" ht="12.75" customHeight="1" x14ac:dyDescent="0.2">
      <c r="A33" s="96" t="s">
        <v>371</v>
      </c>
      <c r="B33" s="17" t="s">
        <v>93</v>
      </c>
      <c r="C33" s="17"/>
      <c r="F33" s="14">
        <v>105.15751</v>
      </c>
      <c r="G33" s="15">
        <f>+ROUND(F33/VLOOKUP("Grand Total",$B$4:$F$289,5,0),4)</f>
        <v>4.9700000000000001E-2</v>
      </c>
      <c r="H33" s="16">
        <v>43160</v>
      </c>
    </row>
    <row r="34" spans="1:9" ht="12.75" customHeight="1" x14ac:dyDescent="0.2">
      <c r="B34" s="19" t="s">
        <v>85</v>
      </c>
      <c r="C34" s="19"/>
      <c r="D34" s="19"/>
      <c r="E34" s="30"/>
      <c r="F34" s="20">
        <f>SUM(F33)</f>
        <v>105.15751</v>
      </c>
      <c r="G34" s="21">
        <f>SUM(G33)</f>
        <v>4.9700000000000001E-2</v>
      </c>
      <c r="H34" s="22"/>
      <c r="I34" s="36"/>
    </row>
    <row r="35" spans="1:9" ht="12.75" customHeight="1" x14ac:dyDescent="0.2">
      <c r="F35" s="14"/>
      <c r="G35" s="15"/>
      <c r="H35" s="16"/>
    </row>
    <row r="36" spans="1:9" ht="12.75" customHeight="1" x14ac:dyDescent="0.2">
      <c r="B36" s="17" t="s">
        <v>94</v>
      </c>
      <c r="C36" s="17"/>
      <c r="F36" s="14"/>
      <c r="G36" s="15"/>
      <c r="H36" s="16"/>
    </row>
    <row r="37" spans="1:9" ht="12.75" customHeight="1" x14ac:dyDescent="0.2">
      <c r="B37" s="17" t="s">
        <v>95</v>
      </c>
      <c r="C37" s="17"/>
      <c r="F37" s="14">
        <v>58.459879399999863</v>
      </c>
      <c r="G37" s="15">
        <f>+ROUND(F37/VLOOKUP("Grand Total",$B$4:$F$289,5,0),4)-0.01%</f>
        <v>2.75E-2</v>
      </c>
      <c r="H37" s="16"/>
    </row>
    <row r="38" spans="1:9" ht="12.75" customHeight="1" x14ac:dyDescent="0.2">
      <c r="B38" s="19" t="s">
        <v>85</v>
      </c>
      <c r="C38" s="19"/>
      <c r="D38" s="19"/>
      <c r="E38" s="30"/>
      <c r="F38" s="20">
        <f>SUM(F37)</f>
        <v>58.459879399999863</v>
      </c>
      <c r="G38" s="21">
        <f>SUM(G37)</f>
        <v>2.75E-2</v>
      </c>
      <c r="H38" s="22"/>
      <c r="I38" s="36"/>
    </row>
    <row r="39" spans="1:9" ht="12.75" customHeight="1" x14ac:dyDescent="0.2">
      <c r="B39" s="23" t="s">
        <v>96</v>
      </c>
      <c r="C39" s="23"/>
      <c r="D39" s="23"/>
      <c r="E39" s="31"/>
      <c r="F39" s="24">
        <f>+SUMIF($B$5:B38,"Total",$F$5:F38)</f>
        <v>2117.5868234</v>
      </c>
      <c r="G39" s="25">
        <f>+SUMIF($B$5:B38,"Total",$G$5:G38)</f>
        <v>0.99999999999999989</v>
      </c>
      <c r="H39" s="26"/>
      <c r="I39" s="36"/>
    </row>
    <row r="40" spans="1:9" ht="12.75" customHeight="1" x14ac:dyDescent="0.2"/>
    <row r="41" spans="1:9" ht="12.75" customHeight="1" x14ac:dyDescent="0.2">
      <c r="B41" s="17" t="s">
        <v>634</v>
      </c>
      <c r="C41" s="17"/>
    </row>
    <row r="42" spans="1:9" ht="12.75" customHeight="1" x14ac:dyDescent="0.2">
      <c r="B42" s="17" t="s">
        <v>188</v>
      </c>
      <c r="C42" s="17"/>
    </row>
    <row r="43" spans="1:9" ht="12.75" customHeight="1" x14ac:dyDescent="0.2">
      <c r="B43" s="17"/>
      <c r="C43" s="17"/>
    </row>
    <row r="44" spans="1:9" ht="12.75" customHeight="1" x14ac:dyDescent="0.2">
      <c r="B44" s="17"/>
      <c r="C44" s="17"/>
    </row>
    <row r="45" spans="1:9" ht="12.75" customHeight="1" x14ac:dyDescent="0.2">
      <c r="B45" s="17"/>
      <c r="C45" s="17"/>
    </row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</sheetData>
  <sheetProtection password="EDB3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8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42.85546875" bestFit="1" customWidth="1"/>
    <col min="11" max="11" width="8" style="37" customWidth="1"/>
  </cols>
  <sheetData>
    <row r="1" spans="1:16" ht="18.75" x14ac:dyDescent="0.2">
      <c r="A1" s="95" t="s">
        <v>387</v>
      </c>
      <c r="B1" s="126" t="s">
        <v>171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+MAX($A$7:A8)+1</f>
        <v>1</v>
      </c>
      <c r="B9" t="s">
        <v>195</v>
      </c>
      <c r="C9" t="s">
        <v>16</v>
      </c>
      <c r="D9" t="s">
        <v>15</v>
      </c>
      <c r="E9" s="29">
        <v>266500</v>
      </c>
      <c r="F9" s="14">
        <v>3124.9789999999998</v>
      </c>
      <c r="G9" s="15">
        <f t="shared" ref="G9:G40" si="0">+ROUND(F9/VLOOKUP("Grand Total",$B$4:$F$335,5,0),4)</f>
        <v>2.9499999999999998E-2</v>
      </c>
      <c r="H9" s="16" t="s">
        <v>372</v>
      </c>
      <c r="I9" s="108"/>
      <c r="J9" s="15" t="s">
        <v>26</v>
      </c>
      <c r="K9" s="49">
        <f t="shared" ref="K9:K14" si="1">SUMIFS($G$5:$G$373,$D$5:$D$373,J9)</f>
        <v>0.10489999999999999</v>
      </c>
    </row>
    <row r="10" spans="1:16" ht="12.75" customHeight="1" x14ac:dyDescent="0.2">
      <c r="A10">
        <f>+MAX($A$7:A9)+1</f>
        <v>2</v>
      </c>
      <c r="B10" t="s">
        <v>194</v>
      </c>
      <c r="C10" t="s">
        <v>14</v>
      </c>
      <c r="D10" t="s">
        <v>10</v>
      </c>
      <c r="E10" s="29">
        <v>144203</v>
      </c>
      <c r="F10" s="14">
        <v>2717.0729260000003</v>
      </c>
      <c r="G10" s="15">
        <f t="shared" si="0"/>
        <v>2.5600000000000001E-2</v>
      </c>
      <c r="H10" s="16" t="s">
        <v>372</v>
      </c>
      <c r="I10" s="108"/>
      <c r="J10" s="15" t="s">
        <v>404</v>
      </c>
      <c r="K10" s="49">
        <f t="shared" si="1"/>
        <v>9.6399999999999986E-2</v>
      </c>
    </row>
    <row r="11" spans="1:16" ht="12.75" customHeight="1" x14ac:dyDescent="0.2">
      <c r="A11">
        <f>+MAX($A$7:A10)+1</f>
        <v>3</v>
      </c>
      <c r="B11" t="s">
        <v>203</v>
      </c>
      <c r="C11" t="s">
        <v>46</v>
      </c>
      <c r="D11" t="s">
        <v>26</v>
      </c>
      <c r="E11" s="29">
        <v>991277</v>
      </c>
      <c r="F11" s="14">
        <v>2627.3796885000002</v>
      </c>
      <c r="G11" s="15">
        <f t="shared" si="0"/>
        <v>2.4799999999999999E-2</v>
      </c>
      <c r="H11" s="16" t="s">
        <v>372</v>
      </c>
      <c r="I11" s="108"/>
      <c r="J11" s="15" t="s">
        <v>15</v>
      </c>
      <c r="K11" s="49">
        <f t="shared" si="1"/>
        <v>9.2100000000000001E-2</v>
      </c>
      <c r="M11" s="15"/>
      <c r="N11" s="37"/>
      <c r="P11" s="15"/>
    </row>
    <row r="12" spans="1:16" ht="12.75" customHeight="1" x14ac:dyDescent="0.2">
      <c r="A12">
        <f>+MAX($A$7:A11)+1</f>
        <v>4</v>
      </c>
      <c r="B12" t="s">
        <v>580</v>
      </c>
      <c r="C12" t="s">
        <v>581</v>
      </c>
      <c r="D12" t="s">
        <v>26</v>
      </c>
      <c r="E12" s="29">
        <v>34690</v>
      </c>
      <c r="F12" s="14">
        <v>2323.15461</v>
      </c>
      <c r="G12" s="15">
        <f t="shared" si="0"/>
        <v>2.1899999999999999E-2</v>
      </c>
      <c r="H12" s="16" t="s">
        <v>372</v>
      </c>
      <c r="I12" s="108"/>
      <c r="J12" t="s">
        <v>10</v>
      </c>
      <c r="K12" s="49">
        <f t="shared" si="1"/>
        <v>8.5100000000000009E-2</v>
      </c>
      <c r="M12" s="15"/>
      <c r="N12" s="37"/>
      <c r="P12" s="15"/>
    </row>
    <row r="13" spans="1:16" ht="12.75" customHeight="1" x14ac:dyDescent="0.2">
      <c r="A13">
        <f>+MAX($A$7:A12)+1</f>
        <v>5</v>
      </c>
      <c r="B13" t="s">
        <v>218</v>
      </c>
      <c r="C13" t="s">
        <v>20</v>
      </c>
      <c r="D13" t="s">
        <v>15</v>
      </c>
      <c r="E13" s="29">
        <v>74759</v>
      </c>
      <c r="F13" s="14">
        <v>2268.9730294999999</v>
      </c>
      <c r="G13" s="15">
        <f t="shared" si="0"/>
        <v>2.1399999999999999E-2</v>
      </c>
      <c r="H13" s="16" t="s">
        <v>372</v>
      </c>
      <c r="I13" s="108"/>
      <c r="J13" s="15" t="s">
        <v>108</v>
      </c>
      <c r="K13" s="49">
        <f t="shared" si="1"/>
        <v>7.0699999999999999E-2</v>
      </c>
      <c r="M13" s="15"/>
      <c r="N13" s="37"/>
      <c r="P13" s="15"/>
    </row>
    <row r="14" spans="1:16" ht="12.75" customHeight="1" x14ac:dyDescent="0.2">
      <c r="A14">
        <f>+MAX($A$7:A13)+1</f>
        <v>6</v>
      </c>
      <c r="B14" t="s">
        <v>227</v>
      </c>
      <c r="C14" t="s">
        <v>71</v>
      </c>
      <c r="D14" t="s">
        <v>28</v>
      </c>
      <c r="E14" s="29">
        <v>167626</v>
      </c>
      <c r="F14" s="14">
        <v>2209.5621190000002</v>
      </c>
      <c r="G14" s="15">
        <f t="shared" si="0"/>
        <v>2.0799999999999999E-2</v>
      </c>
      <c r="H14" s="16" t="s">
        <v>372</v>
      </c>
      <c r="I14" s="108"/>
      <c r="J14" s="15" t="s">
        <v>24</v>
      </c>
      <c r="K14" s="49">
        <f t="shared" si="1"/>
        <v>4.9700000000000001E-2</v>
      </c>
      <c r="M14" s="15"/>
      <c r="N14" s="37"/>
      <c r="P14" s="15"/>
    </row>
    <row r="15" spans="1:16" ht="12.75" customHeight="1" x14ac:dyDescent="0.2">
      <c r="A15">
        <f>+MAX($A$7:A14)+1</f>
        <v>7</v>
      </c>
      <c r="B15" t="s">
        <v>233</v>
      </c>
      <c r="C15" t="s">
        <v>78</v>
      </c>
      <c r="D15" t="s">
        <v>26</v>
      </c>
      <c r="E15" s="29">
        <v>66025</v>
      </c>
      <c r="F15" s="14">
        <v>2173.5099875000001</v>
      </c>
      <c r="G15" s="15">
        <f t="shared" si="0"/>
        <v>2.0500000000000001E-2</v>
      </c>
      <c r="H15" s="16" t="s">
        <v>372</v>
      </c>
      <c r="I15" s="108"/>
      <c r="J15" s="15" t="s">
        <v>36</v>
      </c>
      <c r="K15" s="49">
        <f t="shared" ref="K15:K52" si="2">SUMIFS($G$5:$G$373,$D$5:$D$373,J15)</f>
        <v>3.39E-2</v>
      </c>
      <c r="M15" s="15"/>
      <c r="N15" s="37"/>
      <c r="P15" s="15"/>
    </row>
    <row r="16" spans="1:16" ht="12.75" customHeight="1" x14ac:dyDescent="0.2">
      <c r="A16">
        <f>+MAX($A$7:A15)+1</f>
        <v>8</v>
      </c>
      <c r="B16" t="s">
        <v>199</v>
      </c>
      <c r="C16" t="s">
        <v>25</v>
      </c>
      <c r="D16" t="s">
        <v>15</v>
      </c>
      <c r="E16" s="29">
        <v>224437</v>
      </c>
      <c r="F16" s="14">
        <v>2110.3811110000001</v>
      </c>
      <c r="G16" s="15">
        <f t="shared" si="0"/>
        <v>1.9900000000000001E-2</v>
      </c>
      <c r="H16" s="16" t="s">
        <v>372</v>
      </c>
      <c r="I16" s="108"/>
      <c r="J16" s="15" t="s">
        <v>21</v>
      </c>
      <c r="K16" s="49">
        <f t="shared" si="2"/>
        <v>3.2899999999999999E-2</v>
      </c>
      <c r="M16" s="15"/>
      <c r="N16" s="37"/>
      <c r="P16" s="15"/>
    </row>
    <row r="17" spans="1:16" ht="12.75" customHeight="1" x14ac:dyDescent="0.2">
      <c r="A17">
        <f>+MAX($A$7:A16)+1</f>
        <v>9</v>
      </c>
      <c r="B17" t="s">
        <v>395</v>
      </c>
      <c r="C17" t="s">
        <v>394</v>
      </c>
      <c r="D17" t="s">
        <v>26</v>
      </c>
      <c r="E17" s="29">
        <v>624109</v>
      </c>
      <c r="F17" s="14">
        <v>2028.6663044999998</v>
      </c>
      <c r="G17" s="15">
        <f t="shared" si="0"/>
        <v>1.9099999999999999E-2</v>
      </c>
      <c r="H17" s="16" t="s">
        <v>372</v>
      </c>
      <c r="I17" s="108"/>
      <c r="J17" s="15" t="s">
        <v>28</v>
      </c>
      <c r="K17" s="49">
        <f t="shared" si="2"/>
        <v>0.03</v>
      </c>
      <c r="M17" s="15"/>
      <c r="N17" s="37"/>
      <c r="P17" s="15"/>
    </row>
    <row r="18" spans="1:16" ht="12.75" customHeight="1" x14ac:dyDescent="0.2">
      <c r="A18">
        <f>+MAX($A$7:A17)+1</f>
        <v>10</v>
      </c>
      <c r="B18" t="s">
        <v>230</v>
      </c>
      <c r="C18" t="s">
        <v>79</v>
      </c>
      <c r="D18" t="s">
        <v>51</v>
      </c>
      <c r="E18" s="29">
        <v>654568</v>
      </c>
      <c r="F18" s="14">
        <v>2023.5969719999998</v>
      </c>
      <c r="G18" s="15">
        <f t="shared" si="0"/>
        <v>1.9099999999999999E-2</v>
      </c>
      <c r="H18" s="16" t="s">
        <v>372</v>
      </c>
      <c r="I18" s="108"/>
      <c r="J18" s="15" t="s">
        <v>41</v>
      </c>
      <c r="K18" s="49">
        <f t="shared" si="2"/>
        <v>2.7200000000000002E-2</v>
      </c>
      <c r="M18" s="15"/>
      <c r="N18" s="37"/>
      <c r="P18" s="15"/>
    </row>
    <row r="19" spans="1:16" ht="12.75" customHeight="1" x14ac:dyDescent="0.2">
      <c r="A19">
        <f>+MAX($A$7:A18)+1</f>
        <v>11</v>
      </c>
      <c r="B19" t="s">
        <v>200</v>
      </c>
      <c r="C19" t="s">
        <v>27</v>
      </c>
      <c r="D19" t="s">
        <v>24</v>
      </c>
      <c r="E19" s="29">
        <v>100000</v>
      </c>
      <c r="F19" s="14">
        <v>1808.7</v>
      </c>
      <c r="G19" s="15">
        <f t="shared" si="0"/>
        <v>1.7100000000000001E-2</v>
      </c>
      <c r="H19" s="16" t="s">
        <v>372</v>
      </c>
      <c r="I19" s="108"/>
      <c r="J19" s="15" t="s">
        <v>19</v>
      </c>
      <c r="K19" s="49">
        <f t="shared" si="2"/>
        <v>2.6200000000000001E-2</v>
      </c>
      <c r="M19" s="15"/>
      <c r="N19" s="37"/>
      <c r="P19" s="15"/>
    </row>
    <row r="20" spans="1:16" ht="12.75" customHeight="1" x14ac:dyDescent="0.2">
      <c r="A20">
        <f>+MAX($A$7:A19)+1</f>
        <v>12</v>
      </c>
      <c r="B20" t="s">
        <v>318</v>
      </c>
      <c r="C20" t="s">
        <v>319</v>
      </c>
      <c r="D20" t="s">
        <v>143</v>
      </c>
      <c r="E20" s="29">
        <v>337043</v>
      </c>
      <c r="F20" s="14">
        <v>1778.0703465000001</v>
      </c>
      <c r="G20" s="15">
        <f t="shared" si="0"/>
        <v>1.6799999999999999E-2</v>
      </c>
      <c r="H20" s="16" t="s">
        <v>372</v>
      </c>
      <c r="I20" s="108"/>
      <c r="J20" s="15" t="s">
        <v>133</v>
      </c>
      <c r="K20" s="49">
        <f t="shared" si="2"/>
        <v>1.9900000000000001E-2</v>
      </c>
      <c r="M20" s="15"/>
      <c r="N20" s="37"/>
      <c r="P20" s="15"/>
    </row>
    <row r="21" spans="1:16" ht="12.75" customHeight="1" x14ac:dyDescent="0.2">
      <c r="A21">
        <f>+MAX($A$7:A20)+1</f>
        <v>13</v>
      </c>
      <c r="B21" s="66" t="s">
        <v>507</v>
      </c>
      <c r="C21" t="s">
        <v>508</v>
      </c>
      <c r="D21" t="s">
        <v>24</v>
      </c>
      <c r="E21" s="29">
        <v>403000</v>
      </c>
      <c r="F21" s="14">
        <v>1743.5795000000001</v>
      </c>
      <c r="G21" s="15">
        <f t="shared" si="0"/>
        <v>1.6400000000000001E-2</v>
      </c>
      <c r="H21" s="16" t="s">
        <v>372</v>
      </c>
      <c r="I21" s="108"/>
      <c r="J21" s="15" t="s">
        <v>106</v>
      </c>
      <c r="K21" s="49">
        <f t="shared" si="2"/>
        <v>1.9300000000000001E-2</v>
      </c>
      <c r="M21" s="15"/>
      <c r="N21" s="37"/>
      <c r="P21" s="15"/>
    </row>
    <row r="22" spans="1:16" ht="12.75" customHeight="1" x14ac:dyDescent="0.2">
      <c r="A22">
        <f>+MAX($A$7:A21)+1</f>
        <v>14</v>
      </c>
      <c r="B22" t="s">
        <v>578</v>
      </c>
      <c r="C22" t="s">
        <v>579</v>
      </c>
      <c r="D22" t="s">
        <v>36</v>
      </c>
      <c r="E22" s="29">
        <v>1930000</v>
      </c>
      <c r="F22" s="14">
        <v>1630.85</v>
      </c>
      <c r="G22" s="15">
        <f t="shared" si="0"/>
        <v>1.54E-2</v>
      </c>
      <c r="H22" s="16" t="s">
        <v>372</v>
      </c>
      <c r="I22" s="108"/>
      <c r="J22" s="15" t="s">
        <v>51</v>
      </c>
      <c r="K22" s="49">
        <f t="shared" si="2"/>
        <v>1.9099999999999999E-2</v>
      </c>
      <c r="M22" s="15"/>
      <c r="N22" s="37"/>
      <c r="P22" s="15"/>
    </row>
    <row r="23" spans="1:16" ht="12.75" customHeight="1" x14ac:dyDescent="0.2">
      <c r="A23">
        <f>+MAX($A$7:A22)+1</f>
        <v>15</v>
      </c>
      <c r="B23" t="s">
        <v>197</v>
      </c>
      <c r="C23" t="s">
        <v>11</v>
      </c>
      <c r="D23" t="s">
        <v>10</v>
      </c>
      <c r="E23" s="29">
        <v>509976</v>
      </c>
      <c r="F23" s="14">
        <v>1597.49982</v>
      </c>
      <c r="G23" s="15">
        <f t="shared" si="0"/>
        <v>1.5100000000000001E-2</v>
      </c>
      <c r="H23" s="16" t="s">
        <v>372</v>
      </c>
      <c r="I23" s="108"/>
      <c r="J23" s="15" t="s">
        <v>23</v>
      </c>
      <c r="K23" s="49">
        <f t="shared" si="2"/>
        <v>1.7000000000000001E-2</v>
      </c>
      <c r="M23" s="15"/>
      <c r="N23" s="37"/>
      <c r="P23" s="15"/>
    </row>
    <row r="24" spans="1:16" ht="12.75" customHeight="1" x14ac:dyDescent="0.2">
      <c r="A24">
        <f>+MAX($A$7:A23)+1</f>
        <v>16</v>
      </c>
      <c r="B24" t="s">
        <v>409</v>
      </c>
      <c r="C24" t="s">
        <v>410</v>
      </c>
      <c r="D24" t="s">
        <v>411</v>
      </c>
      <c r="E24" s="29">
        <v>941943</v>
      </c>
      <c r="F24" s="14">
        <v>1589.5288125</v>
      </c>
      <c r="G24" s="15">
        <f t="shared" si="0"/>
        <v>1.4999999999999999E-2</v>
      </c>
      <c r="H24" s="16" t="s">
        <v>372</v>
      </c>
      <c r="I24" s="108"/>
      <c r="J24" s="15" t="s">
        <v>143</v>
      </c>
      <c r="K24" s="49">
        <f t="shared" si="2"/>
        <v>1.6799999999999999E-2</v>
      </c>
      <c r="M24" s="15"/>
      <c r="N24" s="37"/>
      <c r="P24" s="15"/>
    </row>
    <row r="25" spans="1:16" ht="12.75" customHeight="1" x14ac:dyDescent="0.2">
      <c r="A25">
        <f>+MAX($A$7:A24)+1</f>
        <v>17</v>
      </c>
      <c r="B25" t="s">
        <v>208</v>
      </c>
      <c r="C25" t="s">
        <v>52</v>
      </c>
      <c r="D25" t="s">
        <v>41</v>
      </c>
      <c r="E25" s="29">
        <v>1293614</v>
      </c>
      <c r="F25" s="14">
        <v>1512.8815730000001</v>
      </c>
      <c r="G25" s="15">
        <f t="shared" si="0"/>
        <v>1.43E-2</v>
      </c>
      <c r="H25" s="16" t="s">
        <v>372</v>
      </c>
      <c r="I25" s="108"/>
      <c r="J25" s="15" t="s">
        <v>45</v>
      </c>
      <c r="K25" s="49">
        <f t="shared" si="2"/>
        <v>1.6500000000000001E-2</v>
      </c>
      <c r="M25" s="15"/>
      <c r="N25" s="37"/>
      <c r="P25" s="15"/>
    </row>
    <row r="26" spans="1:16" ht="12.75" customHeight="1" x14ac:dyDescent="0.2">
      <c r="A26">
        <f>+MAX($A$7:A25)+1</f>
        <v>18</v>
      </c>
      <c r="B26" t="s">
        <v>214</v>
      </c>
      <c r="C26" t="s">
        <v>98</v>
      </c>
      <c r="D26" t="s">
        <v>10</v>
      </c>
      <c r="E26" s="29">
        <v>132716</v>
      </c>
      <c r="F26" s="14">
        <v>1447.3343380000001</v>
      </c>
      <c r="G26" s="15">
        <f t="shared" si="0"/>
        <v>1.37E-2</v>
      </c>
      <c r="H26" s="16" t="s">
        <v>372</v>
      </c>
      <c r="I26" s="108"/>
      <c r="J26" s="15" t="s">
        <v>174</v>
      </c>
      <c r="K26" s="49">
        <f t="shared" si="2"/>
        <v>1.5699999999999999E-2</v>
      </c>
      <c r="M26" s="15"/>
      <c r="N26" s="37"/>
      <c r="P26" s="15"/>
    </row>
    <row r="27" spans="1:16" ht="12.75" customHeight="1" x14ac:dyDescent="0.2">
      <c r="A27">
        <f>+MAX($A$7:A26)+1</f>
        <v>19</v>
      </c>
      <c r="B27" t="s">
        <v>270</v>
      </c>
      <c r="C27" t="s">
        <v>82</v>
      </c>
      <c r="D27" t="s">
        <v>15</v>
      </c>
      <c r="E27" s="29">
        <v>202500</v>
      </c>
      <c r="F27" s="14">
        <v>1289.0137500000001</v>
      </c>
      <c r="G27" s="15">
        <f t="shared" si="0"/>
        <v>1.2200000000000001E-2</v>
      </c>
      <c r="H27" s="16" t="s">
        <v>372</v>
      </c>
      <c r="I27" s="108"/>
      <c r="J27" s="15" t="s">
        <v>411</v>
      </c>
      <c r="K27" s="49">
        <f t="shared" si="2"/>
        <v>1.4999999999999999E-2</v>
      </c>
      <c r="M27" s="15"/>
      <c r="N27" s="37"/>
      <c r="P27" s="15"/>
    </row>
    <row r="28" spans="1:16" ht="12.75" customHeight="1" x14ac:dyDescent="0.2">
      <c r="A28">
        <f>+MAX($A$7:A27)+1</f>
        <v>20</v>
      </c>
      <c r="B28" t="s">
        <v>213</v>
      </c>
      <c r="C28" t="s">
        <v>74</v>
      </c>
      <c r="D28" t="s">
        <v>492</v>
      </c>
      <c r="E28" s="29">
        <v>915888</v>
      </c>
      <c r="F28" s="14">
        <v>1256.140392</v>
      </c>
      <c r="G28" s="15">
        <f t="shared" si="0"/>
        <v>1.18E-2</v>
      </c>
      <c r="H28" s="16" t="s">
        <v>372</v>
      </c>
      <c r="I28" s="108"/>
      <c r="J28" s="15" t="s">
        <v>364</v>
      </c>
      <c r="K28" s="49">
        <f t="shared" si="2"/>
        <v>1.44E-2</v>
      </c>
      <c r="M28" s="15"/>
      <c r="N28" s="37"/>
      <c r="P28" s="15"/>
    </row>
    <row r="29" spans="1:16" ht="12.75" customHeight="1" x14ac:dyDescent="0.2">
      <c r="A29">
        <f>+MAX($A$7:A28)+1</f>
        <v>21</v>
      </c>
      <c r="B29" t="s">
        <v>17</v>
      </c>
      <c r="C29" t="s">
        <v>18</v>
      </c>
      <c r="D29" t="s">
        <v>10</v>
      </c>
      <c r="E29" s="29">
        <v>462536</v>
      </c>
      <c r="F29" s="14">
        <v>1239.5964799999999</v>
      </c>
      <c r="G29" s="15">
        <f t="shared" si="0"/>
        <v>1.17E-2</v>
      </c>
      <c r="H29" s="16" t="s">
        <v>372</v>
      </c>
      <c r="I29" s="108"/>
      <c r="J29" s="15" t="s">
        <v>321</v>
      </c>
      <c r="K29" s="49">
        <f t="shared" si="2"/>
        <v>1.43E-2</v>
      </c>
      <c r="M29" s="15"/>
      <c r="N29" s="37"/>
      <c r="P29" s="15"/>
    </row>
    <row r="30" spans="1:16" ht="12.75" customHeight="1" x14ac:dyDescent="0.2">
      <c r="A30">
        <f>+MAX($A$7:A29)+1</f>
        <v>22</v>
      </c>
      <c r="B30" t="s">
        <v>347</v>
      </c>
      <c r="C30" t="s">
        <v>412</v>
      </c>
      <c r="D30" t="s">
        <v>133</v>
      </c>
      <c r="E30" s="29">
        <v>90699</v>
      </c>
      <c r="F30" s="14">
        <v>1088.1159029999999</v>
      </c>
      <c r="G30" s="15">
        <f t="shared" si="0"/>
        <v>1.03E-2</v>
      </c>
      <c r="H30" s="16" t="s">
        <v>372</v>
      </c>
      <c r="I30" s="108"/>
      <c r="J30" t="s">
        <v>492</v>
      </c>
      <c r="K30" s="49">
        <f t="shared" si="2"/>
        <v>1.18E-2</v>
      </c>
      <c r="M30" s="15"/>
      <c r="N30" s="37"/>
      <c r="P30" s="15"/>
    </row>
    <row r="31" spans="1:16" ht="12.75" customHeight="1" x14ac:dyDescent="0.2">
      <c r="A31">
        <f>+MAX($A$7:A30)+1</f>
        <v>23</v>
      </c>
      <c r="B31" t="s">
        <v>252</v>
      </c>
      <c r="C31" t="s">
        <v>115</v>
      </c>
      <c r="D31" t="s">
        <v>36</v>
      </c>
      <c r="E31" s="29">
        <v>658080</v>
      </c>
      <c r="F31" s="14">
        <v>1074.3155999999999</v>
      </c>
      <c r="G31" s="15">
        <f t="shared" si="0"/>
        <v>1.01E-2</v>
      </c>
      <c r="H31" s="16" t="s">
        <v>372</v>
      </c>
      <c r="I31" s="108"/>
      <c r="J31" t="s">
        <v>291</v>
      </c>
      <c r="K31" s="49">
        <f t="shared" si="2"/>
        <v>1.12E-2</v>
      </c>
      <c r="M31" s="15"/>
      <c r="N31" s="37"/>
      <c r="P31" s="15"/>
    </row>
    <row r="32" spans="1:16" ht="12.75" customHeight="1" x14ac:dyDescent="0.2">
      <c r="A32">
        <f>+MAX($A$7:A31)+1</f>
        <v>24</v>
      </c>
      <c r="B32" t="s">
        <v>700</v>
      </c>
      <c r="C32" t="s">
        <v>701</v>
      </c>
      <c r="D32" t="s">
        <v>37</v>
      </c>
      <c r="E32" s="29">
        <v>80323</v>
      </c>
      <c r="F32" s="14">
        <v>1072.874311</v>
      </c>
      <c r="G32" s="15">
        <f t="shared" si="0"/>
        <v>1.01E-2</v>
      </c>
      <c r="H32" s="16" t="s">
        <v>372</v>
      </c>
      <c r="I32" s="108"/>
      <c r="J32" t="s">
        <v>571</v>
      </c>
      <c r="K32" s="49">
        <f t="shared" si="2"/>
        <v>1.01E-2</v>
      </c>
      <c r="L32" s="55">
        <f>+SUM($K$9:K37)</f>
        <v>0.89600000000000013</v>
      </c>
      <c r="M32" s="15"/>
      <c r="N32" s="37"/>
      <c r="P32" s="15"/>
    </row>
    <row r="33" spans="1:16" ht="12.75" customHeight="1" x14ac:dyDescent="0.2">
      <c r="A33">
        <f>+MAX($A$7:A32)+1</f>
        <v>25</v>
      </c>
      <c r="B33" t="s">
        <v>250</v>
      </c>
      <c r="C33" t="s">
        <v>112</v>
      </c>
      <c r="D33" t="s">
        <v>21</v>
      </c>
      <c r="E33" s="29">
        <v>29440</v>
      </c>
      <c r="F33" s="14">
        <v>1058.8684800000001</v>
      </c>
      <c r="G33" s="15">
        <f t="shared" si="0"/>
        <v>0.01</v>
      </c>
      <c r="H33" s="16" t="s">
        <v>372</v>
      </c>
      <c r="I33" s="108"/>
      <c r="J33" s="15" t="s">
        <v>37</v>
      </c>
      <c r="K33" s="49">
        <f t="shared" si="2"/>
        <v>1.01E-2</v>
      </c>
      <c r="M33" s="15"/>
      <c r="N33" s="37"/>
      <c r="P33" s="15"/>
    </row>
    <row r="34" spans="1:16" ht="12.75" customHeight="1" x14ac:dyDescent="0.2">
      <c r="A34">
        <f>+MAX($A$7:A33)+1</f>
        <v>26</v>
      </c>
      <c r="B34" t="s">
        <v>232</v>
      </c>
      <c r="C34" t="s">
        <v>81</v>
      </c>
      <c r="D34" t="s">
        <v>45</v>
      </c>
      <c r="E34" s="29">
        <v>322378</v>
      </c>
      <c r="F34" s="14">
        <v>1052.402981</v>
      </c>
      <c r="G34" s="15">
        <f t="shared" si="0"/>
        <v>9.9000000000000008E-3</v>
      </c>
      <c r="H34" s="16" t="s">
        <v>372</v>
      </c>
      <c r="I34" s="108"/>
      <c r="J34" s="15" t="s">
        <v>47</v>
      </c>
      <c r="K34" s="49">
        <f t="shared" si="2"/>
        <v>9.9000000000000008E-3</v>
      </c>
      <c r="M34" s="15"/>
      <c r="N34" s="37"/>
      <c r="P34" s="15"/>
    </row>
    <row r="35" spans="1:16" ht="12.75" customHeight="1" x14ac:dyDescent="0.2">
      <c r="A35">
        <f>+MAX($A$7:A34)+1</f>
        <v>27</v>
      </c>
      <c r="B35" t="s">
        <v>257</v>
      </c>
      <c r="C35" t="s">
        <v>119</v>
      </c>
      <c r="D35" t="s">
        <v>47</v>
      </c>
      <c r="E35" s="29">
        <v>230000</v>
      </c>
      <c r="F35" s="14">
        <v>1052.25</v>
      </c>
      <c r="G35" s="15">
        <f t="shared" si="0"/>
        <v>9.9000000000000008E-3</v>
      </c>
      <c r="H35" s="16" t="s">
        <v>372</v>
      </c>
      <c r="I35" s="108"/>
      <c r="J35" s="15" t="s">
        <v>470</v>
      </c>
      <c r="K35" s="49">
        <f t="shared" si="2"/>
        <v>9.4000000000000004E-3</v>
      </c>
      <c r="M35" s="15"/>
      <c r="N35" s="37"/>
      <c r="P35" s="15"/>
    </row>
    <row r="36" spans="1:16" ht="12.75" customHeight="1" x14ac:dyDescent="0.2">
      <c r="A36">
        <f>+MAX($A$7:A35)+1</f>
        <v>28</v>
      </c>
      <c r="B36" t="s">
        <v>606</v>
      </c>
      <c r="C36" t="s">
        <v>607</v>
      </c>
      <c r="D36" t="s">
        <v>106</v>
      </c>
      <c r="E36" s="29">
        <v>1150000</v>
      </c>
      <c r="F36" s="14">
        <v>1048.2249999999999</v>
      </c>
      <c r="G36" s="15">
        <f t="shared" si="0"/>
        <v>9.9000000000000008E-3</v>
      </c>
      <c r="H36" s="16" t="s">
        <v>372</v>
      </c>
      <c r="I36" s="108"/>
      <c r="J36" s="15" t="s">
        <v>161</v>
      </c>
      <c r="K36" s="49">
        <f t="shared" si="2"/>
        <v>9.2999999999999992E-3</v>
      </c>
      <c r="M36" s="15"/>
      <c r="N36" s="37"/>
      <c r="P36" s="15"/>
    </row>
    <row r="37" spans="1:16" ht="12.75" customHeight="1" x14ac:dyDescent="0.2">
      <c r="A37">
        <f>+MAX($A$7:A36)+1</f>
        <v>29</v>
      </c>
      <c r="B37" t="s">
        <v>430</v>
      </c>
      <c r="C37" t="s">
        <v>68</v>
      </c>
      <c r="D37" t="s">
        <v>23</v>
      </c>
      <c r="E37" s="29">
        <v>193514</v>
      </c>
      <c r="F37" s="14">
        <v>1035.9771990000002</v>
      </c>
      <c r="G37" s="15">
        <f t="shared" si="0"/>
        <v>9.7999999999999997E-3</v>
      </c>
      <c r="H37" s="16" t="s">
        <v>372</v>
      </c>
      <c r="I37" s="108"/>
      <c r="J37" t="s">
        <v>34</v>
      </c>
      <c r="K37" s="49">
        <f t="shared" si="2"/>
        <v>7.1000000000000004E-3</v>
      </c>
      <c r="M37" s="15"/>
      <c r="N37" s="37"/>
      <c r="P37" s="15"/>
    </row>
    <row r="38" spans="1:16" ht="12.75" customHeight="1" x14ac:dyDescent="0.2">
      <c r="A38">
        <f>+MAX($A$7:A37)+1</f>
        <v>30</v>
      </c>
      <c r="B38" t="s">
        <v>544</v>
      </c>
      <c r="C38" t="s">
        <v>545</v>
      </c>
      <c r="D38" t="s">
        <v>133</v>
      </c>
      <c r="E38" s="29">
        <v>266291</v>
      </c>
      <c r="F38" s="14">
        <v>1014.3024190000001</v>
      </c>
      <c r="G38" s="15">
        <f t="shared" si="0"/>
        <v>9.5999999999999992E-3</v>
      </c>
      <c r="H38" s="16" t="s">
        <v>372</v>
      </c>
      <c r="I38" s="108"/>
      <c r="J38" s="15" t="s">
        <v>632</v>
      </c>
      <c r="K38" s="49">
        <f t="shared" si="2"/>
        <v>6.0000000000000001E-3</v>
      </c>
    </row>
    <row r="39" spans="1:16" ht="12.75" customHeight="1" x14ac:dyDescent="0.2">
      <c r="A39">
        <f>+MAX($A$7:A38)+1</f>
        <v>31</v>
      </c>
      <c r="B39" t="s">
        <v>582</v>
      </c>
      <c r="C39" t="s">
        <v>583</v>
      </c>
      <c r="D39" t="s">
        <v>106</v>
      </c>
      <c r="E39" s="29">
        <v>1200000</v>
      </c>
      <c r="F39" s="14">
        <v>998.4</v>
      </c>
      <c r="G39" s="15">
        <f t="shared" si="0"/>
        <v>9.4000000000000004E-3</v>
      </c>
      <c r="H39" s="16" t="s">
        <v>372</v>
      </c>
      <c r="I39" s="108"/>
      <c r="J39" s="15" t="s">
        <v>560</v>
      </c>
      <c r="K39" s="49">
        <f t="shared" si="2"/>
        <v>5.5999999999999999E-3</v>
      </c>
    </row>
    <row r="40" spans="1:16" ht="12.75" customHeight="1" x14ac:dyDescent="0.2">
      <c r="A40">
        <f>+MAX($A$7:A39)+1</f>
        <v>32</v>
      </c>
      <c r="B40" t="s">
        <v>241</v>
      </c>
      <c r="C40" t="s">
        <v>101</v>
      </c>
      <c r="D40" t="s">
        <v>26</v>
      </c>
      <c r="E40" s="29">
        <v>74235</v>
      </c>
      <c r="F40" s="14">
        <v>978.23171249999996</v>
      </c>
      <c r="G40" s="15">
        <f t="shared" si="0"/>
        <v>9.1999999999999998E-3</v>
      </c>
      <c r="H40" s="16" t="s">
        <v>372</v>
      </c>
      <c r="I40" s="108"/>
      <c r="J40" t="s">
        <v>43</v>
      </c>
      <c r="K40" s="49">
        <f t="shared" si="2"/>
        <v>5.4000000000000003E-3</v>
      </c>
    </row>
    <row r="41" spans="1:16" ht="12.75" customHeight="1" x14ac:dyDescent="0.2">
      <c r="A41">
        <f>+MAX($A$7:A40)+1</f>
        <v>33</v>
      </c>
      <c r="B41" t="s">
        <v>226</v>
      </c>
      <c r="C41" t="s">
        <v>66</v>
      </c>
      <c r="D41" t="s">
        <v>28</v>
      </c>
      <c r="E41" s="29">
        <v>233862</v>
      </c>
      <c r="F41" s="14">
        <v>971.11195499999997</v>
      </c>
      <c r="G41" s="15">
        <f t="shared" ref="G41:G69" si="3">+ROUND(F41/VLOOKUP("Grand Total",$B$4:$F$335,5,0),4)</f>
        <v>9.1999999999999998E-3</v>
      </c>
      <c r="H41" s="16" t="s">
        <v>372</v>
      </c>
      <c r="I41" s="108"/>
      <c r="J41" s="91" t="s">
        <v>32</v>
      </c>
      <c r="K41" s="49">
        <f t="shared" si="2"/>
        <v>5.1999999999999998E-3</v>
      </c>
    </row>
    <row r="42" spans="1:16" ht="12.75" customHeight="1" x14ac:dyDescent="0.2">
      <c r="A42">
        <f>+MAX($A$7:A41)+1</f>
        <v>34</v>
      </c>
      <c r="B42" t="s">
        <v>251</v>
      </c>
      <c r="C42" t="s">
        <v>113</v>
      </c>
      <c r="D42" t="s">
        <v>15</v>
      </c>
      <c r="E42" s="29">
        <v>157852</v>
      </c>
      <c r="F42" s="14">
        <v>967.08027800000002</v>
      </c>
      <c r="G42" s="15">
        <f t="shared" si="3"/>
        <v>9.1000000000000004E-3</v>
      </c>
      <c r="H42" s="16" t="s">
        <v>372</v>
      </c>
      <c r="I42" s="108"/>
      <c r="J42" t="s">
        <v>38</v>
      </c>
      <c r="K42" s="49">
        <f t="shared" si="2"/>
        <v>4.8999999999999998E-3</v>
      </c>
    </row>
    <row r="43" spans="1:16" ht="12.75" customHeight="1" x14ac:dyDescent="0.2">
      <c r="A43">
        <f>+MAX($A$7:A42)+1</f>
        <v>35</v>
      </c>
      <c r="B43" s="66" t="s">
        <v>311</v>
      </c>
      <c r="C43" s="66" t="s">
        <v>67</v>
      </c>
      <c r="D43" t="s">
        <v>19</v>
      </c>
      <c r="E43" s="29">
        <v>600000</v>
      </c>
      <c r="F43" s="14">
        <v>955.5</v>
      </c>
      <c r="G43" s="15">
        <f t="shared" si="3"/>
        <v>8.9999999999999993E-3</v>
      </c>
      <c r="H43" s="16" t="s">
        <v>372</v>
      </c>
      <c r="I43" s="108"/>
      <c r="J43" t="s">
        <v>30</v>
      </c>
      <c r="K43" s="49">
        <f t="shared" si="2"/>
        <v>4.8999999999999998E-3</v>
      </c>
    </row>
    <row r="44" spans="1:16" ht="12.75" customHeight="1" x14ac:dyDescent="0.2">
      <c r="A44">
        <f>+MAX($A$7:A43)+1</f>
        <v>36</v>
      </c>
      <c r="B44" t="s">
        <v>242</v>
      </c>
      <c r="C44" t="s">
        <v>100</v>
      </c>
      <c r="D44" t="s">
        <v>21</v>
      </c>
      <c r="E44" s="29">
        <v>126563</v>
      </c>
      <c r="F44" s="14">
        <v>921.82161050000002</v>
      </c>
      <c r="G44" s="15">
        <f t="shared" si="3"/>
        <v>8.6999999999999994E-3</v>
      </c>
      <c r="H44" s="16" t="s">
        <v>372</v>
      </c>
      <c r="I44" s="108"/>
      <c r="J44" s="15" t="s">
        <v>367</v>
      </c>
      <c r="K44" s="49">
        <f t="shared" si="2"/>
        <v>4.8999999999999998E-3</v>
      </c>
    </row>
    <row r="45" spans="1:16" ht="12.75" customHeight="1" x14ac:dyDescent="0.2">
      <c r="A45">
        <f>+MAX($A$7:A44)+1</f>
        <v>37</v>
      </c>
      <c r="B45" t="s">
        <v>451</v>
      </c>
      <c r="C45" t="s">
        <v>452</v>
      </c>
      <c r="D45" t="s">
        <v>24</v>
      </c>
      <c r="E45" s="29">
        <v>572097</v>
      </c>
      <c r="F45" s="14">
        <v>917.35753950000003</v>
      </c>
      <c r="G45" s="15">
        <f t="shared" si="3"/>
        <v>8.6999999999999994E-3</v>
      </c>
      <c r="H45" s="16" t="s">
        <v>372</v>
      </c>
      <c r="I45" s="108"/>
      <c r="J45" s="15" t="s">
        <v>293</v>
      </c>
      <c r="K45" s="49">
        <f t="shared" si="2"/>
        <v>4.7000000000000002E-3</v>
      </c>
    </row>
    <row r="46" spans="1:16" ht="12.75" customHeight="1" x14ac:dyDescent="0.2">
      <c r="A46">
        <f>+MAX($A$7:A45)+1</f>
        <v>38</v>
      </c>
      <c r="B46" t="s">
        <v>249</v>
      </c>
      <c r="C46" t="s">
        <v>114</v>
      </c>
      <c r="D46" t="s">
        <v>36</v>
      </c>
      <c r="E46" s="29">
        <v>450000</v>
      </c>
      <c r="F46" s="14">
        <v>889.65</v>
      </c>
      <c r="G46" s="15">
        <f t="shared" si="3"/>
        <v>8.3999999999999995E-3</v>
      </c>
      <c r="H46" s="16" t="s">
        <v>372</v>
      </c>
      <c r="I46" s="108"/>
      <c r="J46" t="s">
        <v>328</v>
      </c>
      <c r="K46" s="49">
        <f t="shared" si="2"/>
        <v>4.7000000000000002E-3</v>
      </c>
    </row>
    <row r="47" spans="1:16" ht="12.75" customHeight="1" x14ac:dyDescent="0.2">
      <c r="A47">
        <f>+MAX($A$7:A46)+1</f>
        <v>39</v>
      </c>
      <c r="B47" t="s">
        <v>198</v>
      </c>
      <c r="C47" t="s">
        <v>22</v>
      </c>
      <c r="D47" t="s">
        <v>21</v>
      </c>
      <c r="E47" s="29">
        <v>217228</v>
      </c>
      <c r="F47" s="14">
        <v>803.52637200000004</v>
      </c>
      <c r="G47" s="15">
        <f t="shared" si="3"/>
        <v>7.6E-3</v>
      </c>
      <c r="H47" s="16" t="s">
        <v>372</v>
      </c>
      <c r="I47" s="108"/>
      <c r="J47" s="15" t="s">
        <v>160</v>
      </c>
      <c r="K47" s="49">
        <f t="shared" si="2"/>
        <v>4.5999999999999999E-3</v>
      </c>
    </row>
    <row r="48" spans="1:16" ht="12.75" customHeight="1" x14ac:dyDescent="0.2">
      <c r="A48">
        <f>+MAX($A$7:A47)+1</f>
        <v>40</v>
      </c>
      <c r="B48" t="s">
        <v>40</v>
      </c>
      <c r="C48" t="s">
        <v>42</v>
      </c>
      <c r="D48" t="s">
        <v>10</v>
      </c>
      <c r="E48" s="29">
        <v>561699</v>
      </c>
      <c r="F48" s="14">
        <v>797.33173049999994</v>
      </c>
      <c r="G48" s="15">
        <f t="shared" si="3"/>
        <v>7.4999999999999997E-3</v>
      </c>
      <c r="H48" s="16" t="s">
        <v>372</v>
      </c>
      <c r="I48" s="108"/>
      <c r="J48" t="s">
        <v>488</v>
      </c>
      <c r="K48" s="49">
        <f t="shared" si="2"/>
        <v>4.5999999999999999E-3</v>
      </c>
    </row>
    <row r="49" spans="1:11" ht="12.75" customHeight="1" x14ac:dyDescent="0.2">
      <c r="A49">
        <f>+MAX($A$7:A48)+1</f>
        <v>41</v>
      </c>
      <c r="B49" t="s">
        <v>204</v>
      </c>
      <c r="C49" t="s">
        <v>44</v>
      </c>
      <c r="D49" t="s">
        <v>24</v>
      </c>
      <c r="E49" s="29">
        <v>145008</v>
      </c>
      <c r="F49" s="14">
        <v>792.03369599999996</v>
      </c>
      <c r="G49" s="15">
        <f t="shared" si="3"/>
        <v>7.4999999999999997E-3</v>
      </c>
      <c r="H49" s="16" t="s">
        <v>372</v>
      </c>
      <c r="I49" s="108"/>
      <c r="J49" t="s">
        <v>633</v>
      </c>
      <c r="K49" s="49">
        <f t="shared" si="2"/>
        <v>2.8E-3</v>
      </c>
    </row>
    <row r="50" spans="1:11" ht="12.75" customHeight="1" x14ac:dyDescent="0.2">
      <c r="A50">
        <f>+MAX($A$7:A49)+1</f>
        <v>42</v>
      </c>
      <c r="B50" t="s">
        <v>206</v>
      </c>
      <c r="C50" t="s">
        <v>53</v>
      </c>
      <c r="D50" t="s">
        <v>19</v>
      </c>
      <c r="E50" s="29">
        <v>18538</v>
      </c>
      <c r="F50" s="14">
        <v>770.36512800000003</v>
      </c>
      <c r="G50" s="15">
        <f t="shared" si="3"/>
        <v>7.3000000000000001E-3</v>
      </c>
      <c r="H50" s="16" t="s">
        <v>372</v>
      </c>
      <c r="I50" s="108"/>
      <c r="J50" s="15" t="s">
        <v>294</v>
      </c>
      <c r="K50" s="49">
        <f t="shared" si="2"/>
        <v>1E-3</v>
      </c>
    </row>
    <row r="51" spans="1:11" ht="12.75" customHeight="1" x14ac:dyDescent="0.2">
      <c r="A51">
        <f>+MAX($A$7:A50)+1</f>
        <v>43</v>
      </c>
      <c r="B51" t="s">
        <v>217</v>
      </c>
      <c r="C51" t="s">
        <v>61</v>
      </c>
      <c r="D51" t="s">
        <v>23</v>
      </c>
      <c r="E51" s="29">
        <v>124760</v>
      </c>
      <c r="F51" s="14">
        <v>765.90164000000004</v>
      </c>
      <c r="G51" s="15">
        <f t="shared" si="3"/>
        <v>7.1999999999999998E-3</v>
      </c>
      <c r="H51" s="16" t="s">
        <v>372</v>
      </c>
      <c r="I51" s="108"/>
      <c r="J51" s="15" t="s">
        <v>433</v>
      </c>
      <c r="K51" s="49">
        <f t="shared" si="2"/>
        <v>4.0000000000000002E-4</v>
      </c>
    </row>
    <row r="52" spans="1:11" ht="12.75" customHeight="1" x14ac:dyDescent="0.2">
      <c r="A52">
        <f>+MAX($A$7:A51)+1</f>
        <v>44</v>
      </c>
      <c r="B52" t="s">
        <v>278</v>
      </c>
      <c r="C52" t="s">
        <v>146</v>
      </c>
      <c r="D52" t="s">
        <v>41</v>
      </c>
      <c r="E52" s="29">
        <v>100000</v>
      </c>
      <c r="F52" s="14">
        <v>752</v>
      </c>
      <c r="G52" s="15">
        <f t="shared" si="3"/>
        <v>7.1000000000000004E-3</v>
      </c>
      <c r="H52" s="16" t="s">
        <v>372</v>
      </c>
      <c r="I52" s="108"/>
      <c r="J52" t="s">
        <v>102</v>
      </c>
      <c r="K52" s="49">
        <f t="shared" si="2"/>
        <v>0</v>
      </c>
    </row>
    <row r="53" spans="1:11" ht="12.75" customHeight="1" x14ac:dyDescent="0.2">
      <c r="A53">
        <f>+MAX($A$7:A52)+1</f>
        <v>45</v>
      </c>
      <c r="B53" t="s">
        <v>216</v>
      </c>
      <c r="C53" t="s">
        <v>65</v>
      </c>
      <c r="D53" t="s">
        <v>34</v>
      </c>
      <c r="E53" s="29">
        <v>174829</v>
      </c>
      <c r="F53" s="14">
        <v>749.22967949999997</v>
      </c>
      <c r="G53" s="15">
        <f t="shared" si="3"/>
        <v>7.1000000000000004E-3</v>
      </c>
      <c r="H53" s="16" t="s">
        <v>372</v>
      </c>
      <c r="I53" s="108"/>
      <c r="J53" s="15" t="s">
        <v>64</v>
      </c>
      <c r="K53" s="49">
        <f>+SUMIFS($G$5:$G$996,$B$5:$B$996,"CBLO / Reverse Repo Investments")+SUMIFS($G$5:$G$996,$B$5:$B$996,"Net Receivable/Payable")</f>
        <v>4.4299999999999999E-2</v>
      </c>
    </row>
    <row r="54" spans="1:11" ht="12.75" customHeight="1" x14ac:dyDescent="0.2">
      <c r="A54">
        <f>+MAX($A$7:A53)+1</f>
        <v>46</v>
      </c>
      <c r="B54" t="s">
        <v>211</v>
      </c>
      <c r="C54" t="s">
        <v>49</v>
      </c>
      <c r="D54" t="s">
        <v>21</v>
      </c>
      <c r="E54" s="29">
        <v>7924</v>
      </c>
      <c r="F54" s="14">
        <v>701.34927800000003</v>
      </c>
      <c r="G54" s="15">
        <f t="shared" si="3"/>
        <v>6.6E-3</v>
      </c>
      <c r="H54" s="16" t="s">
        <v>372</v>
      </c>
      <c r="I54" s="108"/>
    </row>
    <row r="55" spans="1:11" ht="12.75" customHeight="1" x14ac:dyDescent="0.2">
      <c r="A55">
        <f>+MAX($A$7:A54)+1</f>
        <v>47</v>
      </c>
      <c r="B55" t="s">
        <v>546</v>
      </c>
      <c r="C55" t="s">
        <v>547</v>
      </c>
      <c r="D55" t="s">
        <v>45</v>
      </c>
      <c r="E55" s="29">
        <v>1021430</v>
      </c>
      <c r="F55" s="14">
        <v>700.19026499999995</v>
      </c>
      <c r="G55" s="15">
        <f t="shared" si="3"/>
        <v>6.6E-3</v>
      </c>
      <c r="H55" s="16" t="s">
        <v>372</v>
      </c>
      <c r="I55" s="108"/>
    </row>
    <row r="56" spans="1:11" ht="12.75" customHeight="1" x14ac:dyDescent="0.2">
      <c r="A56">
        <f>+MAX($A$7:A55)+1</f>
        <v>48</v>
      </c>
      <c r="B56" t="s">
        <v>475</v>
      </c>
      <c r="C56" t="s">
        <v>476</v>
      </c>
      <c r="D56" t="s">
        <v>41</v>
      </c>
      <c r="E56" s="29">
        <v>165000</v>
      </c>
      <c r="F56" s="14">
        <v>611.82000000000005</v>
      </c>
      <c r="G56" s="15">
        <f t="shared" si="3"/>
        <v>5.7999999999999996E-3</v>
      </c>
      <c r="H56" s="16" t="s">
        <v>372</v>
      </c>
      <c r="I56" s="108"/>
    </row>
    <row r="57" spans="1:11" ht="12.75" customHeight="1" x14ac:dyDescent="0.2">
      <c r="A57">
        <f>+MAX($A$7:A56)+1</f>
        <v>49</v>
      </c>
      <c r="B57" t="s">
        <v>493</v>
      </c>
      <c r="C57" t="s">
        <v>494</v>
      </c>
      <c r="D57" t="s">
        <v>43</v>
      </c>
      <c r="E57" s="29">
        <v>59992</v>
      </c>
      <c r="F57" s="14">
        <v>572.59364400000004</v>
      </c>
      <c r="G57" s="15">
        <f t="shared" si="3"/>
        <v>5.4000000000000003E-3</v>
      </c>
      <c r="H57" s="16" t="s">
        <v>372</v>
      </c>
      <c r="I57" s="108"/>
    </row>
    <row r="58" spans="1:11" ht="12.75" customHeight="1" x14ac:dyDescent="0.2">
      <c r="A58">
        <f>+MAX($A$7:A57)+1</f>
        <v>50</v>
      </c>
      <c r="B58" t="s">
        <v>516</v>
      </c>
      <c r="C58" t="s">
        <v>517</v>
      </c>
      <c r="D58" t="s">
        <v>32</v>
      </c>
      <c r="E58" s="29">
        <v>305000</v>
      </c>
      <c r="F58" s="14">
        <v>549.30499999999995</v>
      </c>
      <c r="G58" s="15">
        <f t="shared" si="3"/>
        <v>5.1999999999999998E-3</v>
      </c>
      <c r="H58" s="16" t="s">
        <v>372</v>
      </c>
      <c r="I58" s="108"/>
    </row>
    <row r="59" spans="1:11" ht="12.75" customHeight="1" x14ac:dyDescent="0.2">
      <c r="A59">
        <f>+MAX($A$7:A58)+1</f>
        <v>51</v>
      </c>
      <c r="B59" t="s">
        <v>309</v>
      </c>
      <c r="C59" t="s">
        <v>57</v>
      </c>
      <c r="D59" t="s">
        <v>26</v>
      </c>
      <c r="E59" s="29">
        <v>37027</v>
      </c>
      <c r="F59" s="14">
        <v>528.78258700000004</v>
      </c>
      <c r="G59" s="15">
        <f t="shared" si="3"/>
        <v>5.0000000000000001E-3</v>
      </c>
      <c r="H59" s="16" t="s">
        <v>372</v>
      </c>
      <c r="I59" s="108"/>
    </row>
    <row r="60" spans="1:11" ht="12.75" customHeight="1" x14ac:dyDescent="0.2">
      <c r="A60">
        <f>+MAX($A$7:A59)+1</f>
        <v>52</v>
      </c>
      <c r="B60" t="s">
        <v>196</v>
      </c>
      <c r="C60" t="s">
        <v>31</v>
      </c>
      <c r="D60" t="s">
        <v>30</v>
      </c>
      <c r="E60" s="29">
        <v>54300</v>
      </c>
      <c r="F60" s="14">
        <v>518.32065</v>
      </c>
      <c r="G60" s="15">
        <f t="shared" si="3"/>
        <v>4.8999999999999998E-3</v>
      </c>
      <c r="H60" s="16" t="s">
        <v>372</v>
      </c>
      <c r="I60" s="108"/>
    </row>
    <row r="61" spans="1:11" ht="12.75" customHeight="1" x14ac:dyDescent="0.2">
      <c r="A61">
        <f>+MAX($A$7:A60)+1</f>
        <v>53</v>
      </c>
      <c r="B61" t="s">
        <v>310</v>
      </c>
      <c r="C61" t="s">
        <v>76</v>
      </c>
      <c r="D61" t="s">
        <v>38</v>
      </c>
      <c r="E61" s="29">
        <v>146336</v>
      </c>
      <c r="F61" s="14">
        <v>517.005088</v>
      </c>
      <c r="G61" s="15">
        <f t="shared" si="3"/>
        <v>4.8999999999999998E-3</v>
      </c>
      <c r="H61" s="16" t="s">
        <v>372</v>
      </c>
      <c r="I61" s="108"/>
    </row>
    <row r="62" spans="1:11" ht="12.75" customHeight="1" x14ac:dyDescent="0.2">
      <c r="A62">
        <f>+MAX($A$7:A61)+1</f>
        <v>54</v>
      </c>
      <c r="B62" t="s">
        <v>205</v>
      </c>
      <c r="C62" t="s">
        <v>48</v>
      </c>
      <c r="D62" t="s">
        <v>26</v>
      </c>
      <c r="E62" s="29">
        <v>9276</v>
      </c>
      <c r="F62" s="14">
        <v>463.26663000000002</v>
      </c>
      <c r="G62" s="15">
        <f t="shared" si="3"/>
        <v>4.4000000000000003E-3</v>
      </c>
      <c r="H62" s="16" t="s">
        <v>372</v>
      </c>
      <c r="I62" s="108"/>
    </row>
    <row r="63" spans="1:11" ht="12.75" customHeight="1" x14ac:dyDescent="0.2">
      <c r="A63">
        <f>+MAX($A$7:A62)+1</f>
        <v>55</v>
      </c>
      <c r="B63" t="s">
        <v>219</v>
      </c>
      <c r="C63" t="s">
        <v>29</v>
      </c>
      <c r="D63" t="s">
        <v>10</v>
      </c>
      <c r="E63" s="29">
        <v>85419</v>
      </c>
      <c r="F63" s="14">
        <v>451.6529625</v>
      </c>
      <c r="G63" s="15">
        <f t="shared" si="3"/>
        <v>4.3E-3</v>
      </c>
      <c r="H63" s="16" t="s">
        <v>372</v>
      </c>
      <c r="I63" s="108"/>
    </row>
    <row r="64" spans="1:11" ht="12.75" customHeight="1" x14ac:dyDescent="0.2">
      <c r="A64">
        <f>+MAX($A$7:A63)+1</f>
        <v>56</v>
      </c>
      <c r="B64" t="s">
        <v>548</v>
      </c>
      <c r="C64" t="s">
        <v>549</v>
      </c>
      <c r="D64" t="s">
        <v>10</v>
      </c>
      <c r="E64" s="29">
        <v>645520</v>
      </c>
      <c r="F64" s="14">
        <v>386.66647999999998</v>
      </c>
      <c r="G64" s="15">
        <f t="shared" si="3"/>
        <v>3.5999999999999999E-3</v>
      </c>
      <c r="H64" s="16" t="s">
        <v>372</v>
      </c>
      <c r="I64" s="108"/>
    </row>
    <row r="65" spans="1:9" ht="12.75" customHeight="1" x14ac:dyDescent="0.2">
      <c r="A65">
        <f>+MAX($A$7:A64)+1</f>
        <v>57</v>
      </c>
      <c r="B65" t="s">
        <v>225</v>
      </c>
      <c r="C65" t="s">
        <v>70</v>
      </c>
      <c r="D65" t="s">
        <v>10</v>
      </c>
      <c r="E65" s="29">
        <v>406552</v>
      </c>
      <c r="F65" s="14">
        <v>383.17525999999998</v>
      </c>
      <c r="G65" s="15">
        <f t="shared" si="3"/>
        <v>3.5999999999999999E-3</v>
      </c>
      <c r="H65" s="16" t="s">
        <v>372</v>
      </c>
      <c r="I65" s="108"/>
    </row>
    <row r="66" spans="1:9" ht="12.75" customHeight="1" x14ac:dyDescent="0.2">
      <c r="A66">
        <f>+MAX($A$7:A65)+1</f>
        <v>58</v>
      </c>
      <c r="B66" t="s">
        <v>339</v>
      </c>
      <c r="C66" t="s">
        <v>340</v>
      </c>
      <c r="D66" t="s">
        <v>19</v>
      </c>
      <c r="E66" s="29">
        <v>39494</v>
      </c>
      <c r="F66" s="14">
        <v>355.56448200000005</v>
      </c>
      <c r="G66" s="15">
        <f t="shared" si="3"/>
        <v>3.3999999999999998E-3</v>
      </c>
      <c r="H66" s="16" t="s">
        <v>372</v>
      </c>
      <c r="I66" s="108"/>
    </row>
    <row r="67" spans="1:9" ht="12.75" customHeight="1" x14ac:dyDescent="0.2">
      <c r="A67">
        <f>+MAX($A$7:A66)+1</f>
        <v>59</v>
      </c>
      <c r="B67" t="s">
        <v>261</v>
      </c>
      <c r="C67" t="s">
        <v>123</v>
      </c>
      <c r="D67" t="s">
        <v>19</v>
      </c>
      <c r="E67" s="29">
        <v>21646</v>
      </c>
      <c r="F67" s="14">
        <v>351.32540299999999</v>
      </c>
      <c r="G67" s="15">
        <f t="shared" si="3"/>
        <v>3.3E-3</v>
      </c>
      <c r="H67" s="16" t="s">
        <v>372</v>
      </c>
      <c r="I67" s="108"/>
    </row>
    <row r="68" spans="1:9" ht="12.75" customHeight="1" x14ac:dyDescent="0.2">
      <c r="A68">
        <f>+MAX($A$7:A67)+1</f>
        <v>60</v>
      </c>
      <c r="B68" t="s">
        <v>260</v>
      </c>
      <c r="C68" t="s">
        <v>121</v>
      </c>
      <c r="D68" t="s">
        <v>19</v>
      </c>
      <c r="E68" s="29">
        <v>135300</v>
      </c>
      <c r="F68" s="14">
        <v>341.42955000000001</v>
      </c>
      <c r="G68" s="15">
        <f t="shared" si="3"/>
        <v>3.2000000000000002E-3</v>
      </c>
      <c r="H68" s="16" t="s">
        <v>372</v>
      </c>
      <c r="I68" s="108"/>
    </row>
    <row r="69" spans="1:9" ht="12.75" customHeight="1" x14ac:dyDescent="0.2">
      <c r="A69">
        <f>+MAX($A$7:A68)+1</f>
        <v>61</v>
      </c>
      <c r="B69" t="s">
        <v>431</v>
      </c>
      <c r="C69" t="s">
        <v>432</v>
      </c>
      <c r="D69" t="s">
        <v>433</v>
      </c>
      <c r="E69" s="29">
        <v>17235</v>
      </c>
      <c r="F69" s="14">
        <v>38.787367500000002</v>
      </c>
      <c r="G69" s="15">
        <f t="shared" si="3"/>
        <v>4.0000000000000002E-4</v>
      </c>
      <c r="H69" s="16" t="s">
        <v>372</v>
      </c>
      <c r="I69" s="108"/>
    </row>
    <row r="70" spans="1:9" ht="12.75" customHeight="1" x14ac:dyDescent="0.2">
      <c r="A70">
        <f>+MAX($A$7:A69)+1</f>
        <v>62</v>
      </c>
      <c r="B70" t="s">
        <v>568</v>
      </c>
      <c r="C70" t="s">
        <v>84</v>
      </c>
      <c r="D70" t="s">
        <v>102</v>
      </c>
      <c r="E70" s="29">
        <v>30579</v>
      </c>
      <c r="F70" s="14">
        <v>0</v>
      </c>
      <c r="G70" s="109" t="s">
        <v>540</v>
      </c>
      <c r="H70" s="16" t="s">
        <v>372</v>
      </c>
      <c r="I70" s="108"/>
    </row>
    <row r="71" spans="1:9" ht="12.75" customHeight="1" x14ac:dyDescent="0.2">
      <c r="B71" s="19" t="s">
        <v>85</v>
      </c>
      <c r="C71" s="19"/>
      <c r="D71" s="19"/>
      <c r="E71" s="30"/>
      <c r="F71" s="20">
        <f>SUM(F9:F70)</f>
        <v>70498.578641499975</v>
      </c>
      <c r="G71" s="21">
        <f>SUM(G9:G70)</f>
        <v>0.6653</v>
      </c>
      <c r="H71" s="22"/>
      <c r="I71" s="36"/>
    </row>
    <row r="72" spans="1:9" ht="12.75" customHeight="1" x14ac:dyDescent="0.2">
      <c r="F72" s="14"/>
      <c r="G72" s="15"/>
      <c r="H72" s="16"/>
    </row>
    <row r="73" spans="1:9" ht="12.75" customHeight="1" x14ac:dyDescent="0.2">
      <c r="B73" s="17" t="s">
        <v>91</v>
      </c>
      <c r="C73" s="17"/>
      <c r="F73" s="14"/>
      <c r="G73" s="15"/>
      <c r="H73" s="16"/>
    </row>
    <row r="74" spans="1:9" ht="12.75" customHeight="1" x14ac:dyDescent="0.2">
      <c r="B74" s="17" t="s">
        <v>732</v>
      </c>
      <c r="C74" s="17"/>
      <c r="F74" s="14"/>
      <c r="G74" s="15"/>
      <c r="H74" s="16"/>
    </row>
    <row r="75" spans="1:9" ht="12.75" customHeight="1" x14ac:dyDescent="0.2">
      <c r="A75">
        <f>+MAX($A$7:A74)+1</f>
        <v>63</v>
      </c>
      <c r="B75" s="66" t="s">
        <v>197</v>
      </c>
      <c r="C75" t="s">
        <v>656</v>
      </c>
      <c r="D75" t="s">
        <v>161</v>
      </c>
      <c r="E75" s="29">
        <v>1000</v>
      </c>
      <c r="F75" s="14">
        <v>982.22199999999998</v>
      </c>
      <c r="G75" s="15">
        <f>+ROUND(F75/VLOOKUP("Grand Total",$B$4:$F$335,5,0),4)</f>
        <v>9.2999999999999992E-3</v>
      </c>
      <c r="H75" s="16">
        <v>43251</v>
      </c>
      <c r="I75" s="108"/>
    </row>
    <row r="76" spans="1:9" ht="12.75" customHeight="1" x14ac:dyDescent="0.2">
      <c r="B76" s="19" t="s">
        <v>85</v>
      </c>
      <c r="C76" s="19"/>
      <c r="D76" s="19"/>
      <c r="E76" s="30"/>
      <c r="F76" s="20">
        <f>SUM(F75:F75)</f>
        <v>982.22199999999998</v>
      </c>
      <c r="G76" s="21">
        <f>SUM(G75:G75)</f>
        <v>9.2999999999999992E-3</v>
      </c>
      <c r="H76" s="22"/>
    </row>
    <row r="77" spans="1:9" ht="12.75" customHeight="1" x14ac:dyDescent="0.2">
      <c r="B77" s="17"/>
      <c r="C77" s="17"/>
      <c r="F77" s="14"/>
      <c r="G77" s="15"/>
      <c r="H77" s="16"/>
    </row>
    <row r="78" spans="1:9" ht="12.75" customHeight="1" x14ac:dyDescent="0.2">
      <c r="B78" s="17" t="s">
        <v>307</v>
      </c>
      <c r="C78" s="17"/>
      <c r="F78" s="14"/>
      <c r="G78" s="15"/>
      <c r="H78" s="16"/>
    </row>
    <row r="79" spans="1:9" ht="12.75" customHeight="1" x14ac:dyDescent="0.2">
      <c r="A79">
        <f>+MAX($A$7:A78)+1</f>
        <v>64</v>
      </c>
      <c r="B79" s="66" t="s">
        <v>572</v>
      </c>
      <c r="C79" t="s">
        <v>645</v>
      </c>
      <c r="D79" t="s">
        <v>291</v>
      </c>
      <c r="E79" s="29">
        <v>140</v>
      </c>
      <c r="F79" s="14">
        <v>699.47080000000005</v>
      </c>
      <c r="G79" s="15">
        <f t="shared" ref="G79:G85" si="4">+ROUND(F79/VLOOKUP("Grand Total",$B$4:$F$335,5,0),4)</f>
        <v>6.6E-3</v>
      </c>
      <c r="H79" s="16">
        <v>43164</v>
      </c>
      <c r="I79" s="108"/>
    </row>
    <row r="80" spans="1:9" ht="12.75" customHeight="1" x14ac:dyDescent="0.2">
      <c r="A80">
        <f>+MAX($A$7:A79)+1</f>
        <v>65</v>
      </c>
      <c r="B80" s="66" t="s">
        <v>559</v>
      </c>
      <c r="C80" t="s">
        <v>646</v>
      </c>
      <c r="D80" t="s">
        <v>560</v>
      </c>
      <c r="E80" s="29">
        <v>120</v>
      </c>
      <c r="F80" s="14">
        <v>596.49480000000005</v>
      </c>
      <c r="G80" s="15">
        <f t="shared" si="4"/>
        <v>5.5999999999999999E-3</v>
      </c>
      <c r="H80" s="16">
        <v>43181</v>
      </c>
      <c r="I80" s="108"/>
    </row>
    <row r="81" spans="1:9" ht="12.75" customHeight="1" x14ac:dyDescent="0.2">
      <c r="A81">
        <f>+MAX($A$7:A80)+1</f>
        <v>66</v>
      </c>
      <c r="B81" s="66" t="s">
        <v>292</v>
      </c>
      <c r="C81" t="s">
        <v>707</v>
      </c>
      <c r="D81" t="s">
        <v>571</v>
      </c>
      <c r="E81" s="29">
        <v>120</v>
      </c>
      <c r="F81" s="14">
        <v>589.53359999999998</v>
      </c>
      <c r="G81" s="15">
        <f t="shared" si="4"/>
        <v>5.5999999999999999E-3</v>
      </c>
      <c r="H81" s="16">
        <v>43241</v>
      </c>
      <c r="I81" s="108"/>
    </row>
    <row r="82" spans="1:9" ht="12.75" customHeight="1" x14ac:dyDescent="0.2">
      <c r="A82">
        <f>+MAX($A$7:A81)+1</f>
        <v>67</v>
      </c>
      <c r="B82" s="66" t="s">
        <v>648</v>
      </c>
      <c r="C82" t="s">
        <v>649</v>
      </c>
      <c r="D82" t="s">
        <v>328</v>
      </c>
      <c r="E82" s="29">
        <v>100</v>
      </c>
      <c r="F82" s="14">
        <v>497.59649999999999</v>
      </c>
      <c r="G82" s="15">
        <f t="shared" si="4"/>
        <v>4.7000000000000002E-3</v>
      </c>
      <c r="H82" s="16">
        <v>43185</v>
      </c>
      <c r="I82" s="108"/>
    </row>
    <row r="83" spans="1:9" ht="12.75" customHeight="1" x14ac:dyDescent="0.2">
      <c r="A83">
        <f>+MAX($A$7:A82)+1</f>
        <v>68</v>
      </c>
      <c r="B83" s="66" t="s">
        <v>705</v>
      </c>
      <c r="C83" t="s">
        <v>706</v>
      </c>
      <c r="D83" t="s">
        <v>291</v>
      </c>
      <c r="E83" s="29">
        <v>100</v>
      </c>
      <c r="F83" s="14">
        <v>492.88350000000003</v>
      </c>
      <c r="G83" s="15">
        <f t="shared" si="4"/>
        <v>4.5999999999999999E-3</v>
      </c>
      <c r="H83" s="16">
        <v>43228</v>
      </c>
      <c r="I83" s="108"/>
    </row>
    <row r="84" spans="1:9" ht="12.75" customHeight="1" x14ac:dyDescent="0.2">
      <c r="A84">
        <f>+MAX($A$7:A83)+1</f>
        <v>69</v>
      </c>
      <c r="B84" s="66" t="s">
        <v>717</v>
      </c>
      <c r="C84" t="s">
        <v>718</v>
      </c>
      <c r="D84" t="s">
        <v>160</v>
      </c>
      <c r="E84" s="29">
        <v>100</v>
      </c>
      <c r="F84" s="14">
        <v>489.26549999999997</v>
      </c>
      <c r="G84" s="15">
        <f t="shared" si="4"/>
        <v>4.5999999999999999E-3</v>
      </c>
      <c r="H84" s="16">
        <v>43248</v>
      </c>
      <c r="I84" s="108"/>
    </row>
    <row r="85" spans="1:9" ht="12.75" customHeight="1" x14ac:dyDescent="0.2">
      <c r="A85">
        <f>+MAX($A$7:A84)+1</f>
        <v>70</v>
      </c>
      <c r="B85" s="66" t="s">
        <v>292</v>
      </c>
      <c r="C85" t="s">
        <v>557</v>
      </c>
      <c r="D85" t="s">
        <v>571</v>
      </c>
      <c r="E85" s="29">
        <v>100</v>
      </c>
      <c r="F85" s="14">
        <v>477.71899999999999</v>
      </c>
      <c r="G85" s="15">
        <f t="shared" si="4"/>
        <v>4.4999999999999997E-3</v>
      </c>
      <c r="H85" s="16">
        <v>43350</v>
      </c>
      <c r="I85" s="108"/>
    </row>
    <row r="86" spans="1:9" ht="12.75" customHeight="1" x14ac:dyDescent="0.2">
      <c r="B86" s="19" t="s">
        <v>85</v>
      </c>
      <c r="C86" s="19"/>
      <c r="D86" s="19"/>
      <c r="E86" s="30"/>
      <c r="F86" s="20">
        <f>SUM(F79:F85)</f>
        <v>3842.9636999999998</v>
      </c>
      <c r="G86" s="21">
        <f>SUM(G79:G85)</f>
        <v>3.6199999999999996E-2</v>
      </c>
      <c r="H86" s="22"/>
    </row>
    <row r="87" spans="1:9" ht="12.75" customHeight="1" x14ac:dyDescent="0.2">
      <c r="F87" s="14"/>
      <c r="G87" s="15"/>
      <c r="H87" s="16"/>
    </row>
    <row r="88" spans="1:9" ht="12.75" customHeight="1" x14ac:dyDescent="0.2">
      <c r="B88" s="17" t="s">
        <v>125</v>
      </c>
      <c r="C88" s="17"/>
      <c r="F88" s="14"/>
      <c r="G88" s="15"/>
      <c r="H88" s="16"/>
    </row>
    <row r="89" spans="1:9" ht="12.75" customHeight="1" x14ac:dyDescent="0.2">
      <c r="B89" s="32" t="s">
        <v>407</v>
      </c>
      <c r="C89" s="17"/>
      <c r="F89" s="14"/>
      <c r="G89" s="15"/>
      <c r="H89" s="16"/>
    </row>
    <row r="90" spans="1:9" ht="12.75" customHeight="1" x14ac:dyDescent="0.2">
      <c r="A90">
        <f>+MAX($A$7:A89)+1</f>
        <v>71</v>
      </c>
      <c r="B90" s="66" t="s">
        <v>677</v>
      </c>
      <c r="C90" t="s">
        <v>563</v>
      </c>
      <c r="D90" t="s">
        <v>108</v>
      </c>
      <c r="E90" s="29">
        <v>150</v>
      </c>
      <c r="F90" s="14">
        <v>1469.4794999999999</v>
      </c>
      <c r="G90" s="15">
        <f t="shared" ref="G90:G109" si="5">+ROUND(F90/VLOOKUP("Grand Total",$B$4:$F$335,5,0),4)</f>
        <v>1.3899999999999999E-2</v>
      </c>
      <c r="H90" s="16">
        <v>44104</v>
      </c>
      <c r="I90" s="108"/>
    </row>
    <row r="91" spans="1:9" ht="12.75" customHeight="1" x14ac:dyDescent="0.2">
      <c r="A91">
        <f>+MAX($A$7:A90)+1</f>
        <v>72</v>
      </c>
      <c r="B91" s="66" t="s">
        <v>672</v>
      </c>
      <c r="C91" t="s">
        <v>539</v>
      </c>
      <c r="D91" t="s">
        <v>174</v>
      </c>
      <c r="E91" s="29">
        <v>150</v>
      </c>
      <c r="F91" s="14">
        <v>1461.4665</v>
      </c>
      <c r="G91" s="15">
        <f t="shared" si="5"/>
        <v>1.38E-2</v>
      </c>
      <c r="H91" s="16">
        <v>44376</v>
      </c>
      <c r="I91" s="108"/>
    </row>
    <row r="92" spans="1:9" ht="12.75" customHeight="1" x14ac:dyDescent="0.2">
      <c r="A92">
        <f>+MAX($A$7:A91)+1</f>
        <v>73</v>
      </c>
      <c r="B92" s="66" t="s">
        <v>745</v>
      </c>
      <c r="C92" t="s">
        <v>564</v>
      </c>
      <c r="D92" t="s">
        <v>108</v>
      </c>
      <c r="E92" s="29">
        <v>150</v>
      </c>
      <c r="F92" s="14">
        <v>1441.6785</v>
      </c>
      <c r="G92" s="15">
        <f t="shared" si="5"/>
        <v>1.3599999999999999E-2</v>
      </c>
      <c r="H92" s="16">
        <v>44804</v>
      </c>
      <c r="I92" s="108"/>
    </row>
    <row r="93" spans="1:9" ht="12.75" customHeight="1" x14ac:dyDescent="0.2">
      <c r="A93">
        <f>+MAX($A$7:A92)+1</f>
        <v>74</v>
      </c>
      <c r="B93" s="66" t="s">
        <v>513</v>
      </c>
      <c r="C93" t="s">
        <v>514</v>
      </c>
      <c r="D93" t="s">
        <v>108</v>
      </c>
      <c r="E93" s="29">
        <v>110</v>
      </c>
      <c r="F93" s="14">
        <v>1090.1121000000001</v>
      </c>
      <c r="G93" s="15">
        <f t="shared" si="5"/>
        <v>1.03E-2</v>
      </c>
      <c r="H93" s="16">
        <v>44091</v>
      </c>
      <c r="I93" s="108"/>
    </row>
    <row r="94" spans="1:9" ht="12.75" customHeight="1" x14ac:dyDescent="0.2">
      <c r="A94">
        <f>+MAX($A$7:A93)+1</f>
        <v>75</v>
      </c>
      <c r="B94" s="66" t="s">
        <v>669</v>
      </c>
      <c r="C94" t="s">
        <v>599</v>
      </c>
      <c r="D94" t="s">
        <v>108</v>
      </c>
      <c r="E94" s="29">
        <v>100</v>
      </c>
      <c r="F94" s="14">
        <v>1013.491</v>
      </c>
      <c r="G94" s="15">
        <f t="shared" si="5"/>
        <v>9.5999999999999992E-3</v>
      </c>
      <c r="H94" s="16">
        <v>45042</v>
      </c>
      <c r="I94" s="108"/>
    </row>
    <row r="95" spans="1:9" ht="12.75" customHeight="1" x14ac:dyDescent="0.2">
      <c r="A95">
        <f>+MAX($A$7:A94)+1</f>
        <v>76</v>
      </c>
      <c r="B95" s="66" t="s">
        <v>711</v>
      </c>
      <c r="C95" s="122" t="s">
        <v>469</v>
      </c>
      <c r="D95" t="s">
        <v>470</v>
      </c>
      <c r="E95" s="29">
        <v>100</v>
      </c>
      <c r="F95" s="14">
        <v>993.048</v>
      </c>
      <c r="G95" s="15">
        <f t="shared" si="5"/>
        <v>9.4000000000000004E-3</v>
      </c>
      <c r="H95" s="16">
        <v>44693</v>
      </c>
      <c r="I95" s="108"/>
    </row>
    <row r="96" spans="1:9" ht="12.75" customHeight="1" x14ac:dyDescent="0.2">
      <c r="A96">
        <f>+MAX($A$7:A95)+1</f>
        <v>77</v>
      </c>
      <c r="B96" s="66" t="s">
        <v>670</v>
      </c>
      <c r="C96" t="s">
        <v>533</v>
      </c>
      <c r="D96" t="s">
        <v>364</v>
      </c>
      <c r="E96" s="29">
        <v>90000</v>
      </c>
      <c r="F96" s="14">
        <v>904.41719999999998</v>
      </c>
      <c r="G96" s="15">
        <f t="shared" si="5"/>
        <v>8.5000000000000006E-3</v>
      </c>
      <c r="H96" s="16">
        <v>43717</v>
      </c>
      <c r="I96" s="108"/>
    </row>
    <row r="97" spans="1:9" ht="12.75" customHeight="1" x14ac:dyDescent="0.2">
      <c r="A97">
        <f>+MAX($A$7:A96)+1</f>
        <v>78</v>
      </c>
      <c r="B97" s="66" t="s">
        <v>678</v>
      </c>
      <c r="C97" t="s">
        <v>647</v>
      </c>
      <c r="D97" t="s">
        <v>632</v>
      </c>
      <c r="E97" s="29">
        <v>70</v>
      </c>
      <c r="F97" s="14">
        <v>641.07259999999997</v>
      </c>
      <c r="G97" s="15">
        <f t="shared" si="5"/>
        <v>6.0000000000000001E-3</v>
      </c>
      <c r="H97" s="16">
        <v>43826</v>
      </c>
      <c r="I97" s="108"/>
    </row>
    <row r="98" spans="1:9" ht="12.75" customHeight="1" x14ac:dyDescent="0.2">
      <c r="A98">
        <f>+MAX($A$7:A97)+1</f>
        <v>79</v>
      </c>
      <c r="B98" s="66" t="s">
        <v>749</v>
      </c>
      <c r="C98" t="s">
        <v>565</v>
      </c>
      <c r="D98" t="s">
        <v>108</v>
      </c>
      <c r="E98" s="29">
        <v>50</v>
      </c>
      <c r="F98" s="14">
        <v>504.76850000000002</v>
      </c>
      <c r="G98" s="15">
        <f t="shared" si="5"/>
        <v>4.7999999999999996E-3</v>
      </c>
      <c r="H98" s="16">
        <v>44004</v>
      </c>
      <c r="I98" s="108"/>
    </row>
    <row r="99" spans="1:9" ht="12.75" customHeight="1" x14ac:dyDescent="0.2">
      <c r="A99">
        <f>+MAX($A$7:A98)+1</f>
        <v>80</v>
      </c>
      <c r="B99" s="66" t="s">
        <v>670</v>
      </c>
      <c r="C99" t="s">
        <v>437</v>
      </c>
      <c r="D99" t="s">
        <v>364</v>
      </c>
      <c r="E99" s="29">
        <v>50000</v>
      </c>
      <c r="F99" s="14">
        <v>502.32600000000002</v>
      </c>
      <c r="G99" s="15">
        <f t="shared" si="5"/>
        <v>4.7000000000000002E-3</v>
      </c>
      <c r="H99" s="16">
        <v>43693</v>
      </c>
      <c r="I99" s="108"/>
    </row>
    <row r="100" spans="1:9" ht="12.75" customHeight="1" x14ac:dyDescent="0.2">
      <c r="A100">
        <f>+MAX($A$7:A99)+1</f>
        <v>81</v>
      </c>
      <c r="B100" s="66" t="s">
        <v>681</v>
      </c>
      <c r="C100" t="s">
        <v>621</v>
      </c>
      <c r="D100" t="s">
        <v>108</v>
      </c>
      <c r="E100" s="29">
        <v>5</v>
      </c>
      <c r="F100" s="14">
        <v>497.68299999999999</v>
      </c>
      <c r="G100" s="15">
        <f t="shared" si="5"/>
        <v>4.7000000000000002E-3</v>
      </c>
      <c r="H100" s="16">
        <v>43367</v>
      </c>
      <c r="I100" s="108"/>
    </row>
    <row r="101" spans="1:9" ht="12.75" customHeight="1" x14ac:dyDescent="0.2">
      <c r="A101">
        <f>+MAX($A$7:A100)+1</f>
        <v>82</v>
      </c>
      <c r="B101" s="66" t="s">
        <v>680</v>
      </c>
      <c r="C101" t="s">
        <v>454</v>
      </c>
      <c r="D101" t="s">
        <v>108</v>
      </c>
      <c r="E101" s="29">
        <v>5</v>
      </c>
      <c r="F101" s="14">
        <v>497.49849999999998</v>
      </c>
      <c r="G101" s="15">
        <f t="shared" si="5"/>
        <v>4.7000000000000002E-3</v>
      </c>
      <c r="H101" s="16">
        <v>43544</v>
      </c>
      <c r="I101" s="108"/>
    </row>
    <row r="102" spans="1:9" ht="12.75" customHeight="1" x14ac:dyDescent="0.2">
      <c r="A102">
        <f>+MAX($A$7:A101)+1</f>
        <v>83</v>
      </c>
      <c r="B102" s="66" t="s">
        <v>679</v>
      </c>
      <c r="C102" t="s">
        <v>650</v>
      </c>
      <c r="D102" t="s">
        <v>293</v>
      </c>
      <c r="E102" s="29">
        <v>50</v>
      </c>
      <c r="F102" s="14">
        <v>497.38200000000001</v>
      </c>
      <c r="G102" s="15">
        <f t="shared" si="5"/>
        <v>4.7000000000000002E-3</v>
      </c>
      <c r="H102" s="16">
        <v>43643</v>
      </c>
      <c r="I102" s="108"/>
    </row>
    <row r="103" spans="1:9" ht="12.75" customHeight="1" x14ac:dyDescent="0.2">
      <c r="A103">
        <f>+MAX($A$7:A102)+1</f>
        <v>84</v>
      </c>
      <c r="B103" s="66" t="s">
        <v>682</v>
      </c>
      <c r="C103" t="s">
        <v>453</v>
      </c>
      <c r="D103" t="s">
        <v>108</v>
      </c>
      <c r="E103" s="29">
        <v>50</v>
      </c>
      <c r="F103" s="14">
        <v>494.24200000000002</v>
      </c>
      <c r="G103" s="15">
        <f t="shared" si="5"/>
        <v>4.7000000000000002E-3</v>
      </c>
      <c r="H103" s="16">
        <v>44006</v>
      </c>
      <c r="I103" s="108"/>
    </row>
    <row r="104" spans="1:9" ht="12.75" customHeight="1" x14ac:dyDescent="0.2">
      <c r="A104">
        <f>+MAX($A$7:A103)+1</f>
        <v>85</v>
      </c>
      <c r="B104" s="66" t="s">
        <v>683</v>
      </c>
      <c r="C104" t="s">
        <v>515</v>
      </c>
      <c r="D104" t="s">
        <v>488</v>
      </c>
      <c r="E104" s="29">
        <v>50</v>
      </c>
      <c r="F104" s="14">
        <v>491.66849999999999</v>
      </c>
      <c r="G104" s="15">
        <f t="shared" si="5"/>
        <v>4.5999999999999999E-3</v>
      </c>
      <c r="H104" s="16">
        <v>44026</v>
      </c>
      <c r="I104" s="108"/>
    </row>
    <row r="105" spans="1:9" ht="12.75" customHeight="1" x14ac:dyDescent="0.2">
      <c r="A105">
        <f>+MAX($A$7:A104)+1</f>
        <v>86</v>
      </c>
      <c r="B105" s="66" t="s">
        <v>750</v>
      </c>
      <c r="C105" t="s">
        <v>719</v>
      </c>
      <c r="D105" t="s">
        <v>108</v>
      </c>
      <c r="E105" s="29">
        <v>50</v>
      </c>
      <c r="F105" s="14">
        <v>465.505</v>
      </c>
      <c r="G105" s="15">
        <f t="shared" si="5"/>
        <v>4.4000000000000003E-3</v>
      </c>
      <c r="H105" s="16">
        <v>46557</v>
      </c>
      <c r="I105" s="108"/>
    </row>
    <row r="106" spans="1:9" ht="12.75" customHeight="1" x14ac:dyDescent="0.2">
      <c r="A106">
        <f>+MAX($A$7:A105)+1</f>
        <v>87</v>
      </c>
      <c r="B106" s="66" t="s">
        <v>675</v>
      </c>
      <c r="C106" t="s">
        <v>466</v>
      </c>
      <c r="D106" t="s">
        <v>633</v>
      </c>
      <c r="E106" s="29">
        <v>30</v>
      </c>
      <c r="F106" s="14">
        <v>299.64030000000002</v>
      </c>
      <c r="G106" s="15">
        <f t="shared" si="5"/>
        <v>2.8E-3</v>
      </c>
      <c r="H106" s="16">
        <v>43469</v>
      </c>
      <c r="I106" s="108"/>
    </row>
    <row r="107" spans="1:9" ht="12.75" customHeight="1" x14ac:dyDescent="0.2">
      <c r="A107">
        <f>+MAX($A$7:A106)+1</f>
        <v>88</v>
      </c>
      <c r="B107" s="66" t="s">
        <v>684</v>
      </c>
      <c r="C107" t="s">
        <v>448</v>
      </c>
      <c r="D107" t="s">
        <v>174</v>
      </c>
      <c r="E107" s="29">
        <v>20</v>
      </c>
      <c r="F107" s="14">
        <v>199.62860000000001</v>
      </c>
      <c r="G107" s="15">
        <f t="shared" si="5"/>
        <v>1.9E-3</v>
      </c>
      <c r="H107" s="16">
        <v>43678</v>
      </c>
      <c r="I107" s="108"/>
    </row>
    <row r="108" spans="1:9" ht="12.75" customHeight="1" x14ac:dyDescent="0.2">
      <c r="A108">
        <f>+MAX($A$7:A107)+1</f>
        <v>89</v>
      </c>
      <c r="B108" s="66" t="s">
        <v>674</v>
      </c>
      <c r="C108" t="s">
        <v>421</v>
      </c>
      <c r="D108" t="s">
        <v>364</v>
      </c>
      <c r="E108" s="29">
        <v>13</v>
      </c>
      <c r="F108" s="14">
        <v>130.04016999999999</v>
      </c>
      <c r="G108" s="15">
        <f t="shared" si="5"/>
        <v>1.1999999999999999E-3</v>
      </c>
      <c r="H108" s="16">
        <v>43322</v>
      </c>
      <c r="I108" s="108"/>
    </row>
    <row r="109" spans="1:9" ht="12.75" customHeight="1" x14ac:dyDescent="0.2">
      <c r="A109">
        <f>+MAX($A$7:A108)+1</f>
        <v>90</v>
      </c>
      <c r="B109" s="66" t="s">
        <v>685</v>
      </c>
      <c r="C109" t="s">
        <v>335</v>
      </c>
      <c r="D109" t="s">
        <v>294</v>
      </c>
      <c r="E109" s="29">
        <v>10</v>
      </c>
      <c r="F109" s="14">
        <v>101.0295</v>
      </c>
      <c r="G109" s="15">
        <f t="shared" si="5"/>
        <v>1E-3</v>
      </c>
      <c r="H109" s="16">
        <v>43621</v>
      </c>
      <c r="I109" s="108"/>
    </row>
    <row r="110" spans="1:9" ht="12.75" customHeight="1" x14ac:dyDescent="0.2">
      <c r="B110" s="19" t="s">
        <v>85</v>
      </c>
      <c r="C110" s="19"/>
      <c r="D110" s="19"/>
      <c r="E110" s="30"/>
      <c r="F110" s="20">
        <f>SUM(F90:F109)</f>
        <v>13696.177469999999</v>
      </c>
      <c r="G110" s="21">
        <f>SUM(G90:G109)</f>
        <v>0.12930000000000003</v>
      </c>
      <c r="H110" s="22"/>
    </row>
    <row r="111" spans="1:9" ht="12.75" customHeight="1" x14ac:dyDescent="0.2">
      <c r="F111" s="14"/>
      <c r="G111" s="15"/>
      <c r="H111" s="16"/>
    </row>
    <row r="112" spans="1:9" ht="12.75" customHeight="1" x14ac:dyDescent="0.2">
      <c r="B112" s="17" t="s">
        <v>541</v>
      </c>
      <c r="C112" s="17"/>
      <c r="F112" s="14"/>
      <c r="G112" s="15"/>
      <c r="H112" s="16"/>
    </row>
    <row r="113" spans="1:11" ht="12.75" customHeight="1" x14ac:dyDescent="0.2">
      <c r="A113">
        <f>+MAX($A$7:A112)+1</f>
        <v>91</v>
      </c>
      <c r="B113" s="66" t="s">
        <v>537</v>
      </c>
      <c r="C113" t="s">
        <v>538</v>
      </c>
      <c r="D113" t="s">
        <v>367</v>
      </c>
      <c r="E113" s="29">
        <v>50</v>
      </c>
      <c r="F113" s="14">
        <v>523.42349999999999</v>
      </c>
      <c r="G113" s="15">
        <f>+ROUND(F113/VLOOKUP("Grand Total",$B$4:$F$335,5,0),4)</f>
        <v>4.8999999999999998E-3</v>
      </c>
      <c r="H113" s="16">
        <v>43321</v>
      </c>
    </row>
    <row r="114" spans="1:11" ht="12.75" customHeight="1" x14ac:dyDescent="0.2">
      <c r="B114" s="19" t="s">
        <v>85</v>
      </c>
      <c r="C114" s="19"/>
      <c r="D114" s="19"/>
      <c r="E114" s="30"/>
      <c r="F114" s="20">
        <f>SUM(F113:F113)</f>
        <v>523.42349999999999</v>
      </c>
      <c r="G114" s="21">
        <f>SUM(G113:G113)</f>
        <v>4.8999999999999998E-3</v>
      </c>
      <c r="H114" s="22"/>
    </row>
    <row r="115" spans="1:11" s="47" customFormat="1" ht="12.75" customHeight="1" x14ac:dyDescent="0.2">
      <c r="B115" s="68"/>
      <c r="C115" s="68"/>
      <c r="D115" s="68"/>
      <c r="E115" s="69"/>
      <c r="F115" s="70"/>
      <c r="G115" s="71"/>
      <c r="H115" s="72"/>
      <c r="I115" s="34"/>
      <c r="K115" s="49"/>
    </row>
    <row r="116" spans="1:11" ht="12.75" customHeight="1" x14ac:dyDescent="0.2">
      <c r="B116" s="17" t="s">
        <v>168</v>
      </c>
      <c r="C116" s="17"/>
      <c r="F116" s="14"/>
      <c r="G116" s="15"/>
      <c r="H116" s="16"/>
    </row>
    <row r="117" spans="1:11" ht="12.75" customHeight="1" x14ac:dyDescent="0.2">
      <c r="A117">
        <f>+MAX($A$7:A116)+1</f>
        <v>92</v>
      </c>
      <c r="B117" s="66" t="s">
        <v>597</v>
      </c>
      <c r="C117" t="s">
        <v>598</v>
      </c>
      <c r="D117" t="s">
        <v>404</v>
      </c>
      <c r="E117" s="29">
        <v>1700000</v>
      </c>
      <c r="F117" s="14">
        <v>1652.7570000000001</v>
      </c>
      <c r="G117" s="15">
        <f t="shared" ref="G117:G125" si="6">+ROUND(F117/VLOOKUP("Grand Total",$B$4:$F$335,5,0),4)</f>
        <v>1.5599999999999999E-2</v>
      </c>
      <c r="H117" s="16">
        <v>47197</v>
      </c>
    </row>
    <row r="118" spans="1:11" ht="12.75" customHeight="1" x14ac:dyDescent="0.2">
      <c r="A118">
        <f>+MAX($A$7:A117)+1</f>
        <v>93</v>
      </c>
      <c r="B118" s="66" t="s">
        <v>484</v>
      </c>
      <c r="C118" t="s">
        <v>485</v>
      </c>
      <c r="D118" t="s">
        <v>404</v>
      </c>
      <c r="E118" s="29">
        <v>1500000</v>
      </c>
      <c r="F118" s="14">
        <v>1505.25</v>
      </c>
      <c r="G118" s="15">
        <f t="shared" si="6"/>
        <v>1.4200000000000001E-2</v>
      </c>
      <c r="H118" s="16">
        <v>45275</v>
      </c>
    </row>
    <row r="119" spans="1:11" ht="12.75" customHeight="1" x14ac:dyDescent="0.2">
      <c r="A119">
        <f>+MAX($A$7:A118)+1</f>
        <v>94</v>
      </c>
      <c r="B119" s="66" t="s">
        <v>597</v>
      </c>
      <c r="C119" t="s">
        <v>651</v>
      </c>
      <c r="D119" t="s">
        <v>404</v>
      </c>
      <c r="E119" s="29">
        <v>1500000</v>
      </c>
      <c r="F119" s="14">
        <v>1469.25</v>
      </c>
      <c r="G119" s="15">
        <f t="shared" si="6"/>
        <v>1.3899999999999999E-2</v>
      </c>
      <c r="H119" s="16">
        <v>46033</v>
      </c>
    </row>
    <row r="120" spans="1:11" ht="12.75" customHeight="1" x14ac:dyDescent="0.2">
      <c r="A120">
        <f>+MAX($A$7:A119)+1</f>
        <v>95</v>
      </c>
      <c r="B120" s="66" t="s">
        <v>467</v>
      </c>
      <c r="C120" t="s">
        <v>468</v>
      </c>
      <c r="D120" t="s">
        <v>404</v>
      </c>
      <c r="E120" s="29">
        <v>1300000</v>
      </c>
      <c r="F120" s="14">
        <v>1267.8900000000001</v>
      </c>
      <c r="G120" s="15">
        <f t="shared" si="6"/>
        <v>1.2E-2</v>
      </c>
      <c r="H120" s="16">
        <v>44914</v>
      </c>
    </row>
    <row r="121" spans="1:11" ht="12.75" customHeight="1" x14ac:dyDescent="0.2">
      <c r="A121">
        <f>+MAX($A$7:A120)+1</f>
        <v>96</v>
      </c>
      <c r="B121" s="66" t="s">
        <v>592</v>
      </c>
      <c r="C121" t="s">
        <v>593</v>
      </c>
      <c r="D121" t="s">
        <v>404</v>
      </c>
      <c r="E121" s="29">
        <v>1150000</v>
      </c>
      <c r="F121" s="14">
        <v>1067.6600000000001</v>
      </c>
      <c r="G121" s="15">
        <f t="shared" si="6"/>
        <v>1.01E-2</v>
      </c>
      <c r="H121" s="16">
        <v>46522</v>
      </c>
    </row>
    <row r="122" spans="1:11" ht="12.75" customHeight="1" x14ac:dyDescent="0.2">
      <c r="A122">
        <f>+MAX($A$7:A121)+1</f>
        <v>97</v>
      </c>
      <c r="B122" s="66" t="s">
        <v>713</v>
      </c>
      <c r="C122" t="s">
        <v>714</v>
      </c>
      <c r="D122" t="s">
        <v>404</v>
      </c>
      <c r="E122" s="29">
        <v>800000</v>
      </c>
      <c r="F122" s="14">
        <v>817.6</v>
      </c>
      <c r="G122" s="15">
        <f t="shared" si="6"/>
        <v>7.7000000000000002E-3</v>
      </c>
      <c r="H122" s="16">
        <v>46212</v>
      </c>
    </row>
    <row r="123" spans="1:11" ht="12.75" customHeight="1" x14ac:dyDescent="0.2">
      <c r="A123">
        <f>+MAX($A$7:A122)+1</f>
        <v>98</v>
      </c>
      <c r="B123" s="66" t="s">
        <v>600</v>
      </c>
      <c r="C123" t="s">
        <v>601</v>
      </c>
      <c r="D123" t="s">
        <v>404</v>
      </c>
      <c r="E123" s="29">
        <v>500000</v>
      </c>
      <c r="F123" s="14">
        <v>499.55</v>
      </c>
      <c r="G123" s="15">
        <f t="shared" si="6"/>
        <v>4.7000000000000002E-3</v>
      </c>
      <c r="H123" s="16">
        <v>45802</v>
      </c>
    </row>
    <row r="124" spans="1:11" ht="12.75" customHeight="1" x14ac:dyDescent="0.2">
      <c r="A124">
        <f>+MAX($A$7:A123)+1</f>
        <v>99</v>
      </c>
      <c r="B124" s="66" t="s">
        <v>657</v>
      </c>
      <c r="C124" t="s">
        <v>658</v>
      </c>
      <c r="D124" t="s">
        <v>404</v>
      </c>
      <c r="E124" s="29">
        <v>500000</v>
      </c>
      <c r="F124" s="14">
        <v>481</v>
      </c>
      <c r="G124" s="15">
        <f t="shared" si="6"/>
        <v>4.4999999999999997E-3</v>
      </c>
      <c r="H124" s="16">
        <v>46760</v>
      </c>
    </row>
    <row r="125" spans="1:11" ht="12.75" customHeight="1" x14ac:dyDescent="0.2">
      <c r="A125">
        <f>+MAX($A$7:A124)+1</f>
        <v>100</v>
      </c>
      <c r="B125" s="66" t="s">
        <v>561</v>
      </c>
      <c r="C125" t="s">
        <v>562</v>
      </c>
      <c r="D125" t="s">
        <v>404</v>
      </c>
      <c r="E125" s="29">
        <v>500000</v>
      </c>
      <c r="F125" s="14">
        <v>446.75</v>
      </c>
      <c r="G125" s="15">
        <f t="shared" si="6"/>
        <v>4.1999999999999997E-3</v>
      </c>
      <c r="H125" s="16">
        <v>48108</v>
      </c>
    </row>
    <row r="126" spans="1:11" ht="12.75" customHeight="1" x14ac:dyDescent="0.2">
      <c r="B126" s="19" t="s">
        <v>85</v>
      </c>
      <c r="C126" s="19"/>
      <c r="D126" s="19"/>
      <c r="E126" s="30"/>
      <c r="F126" s="20">
        <f>SUM(F117:F125)</f>
        <v>9207.7070000000003</v>
      </c>
      <c r="G126" s="21">
        <f>SUM(G117:G125)</f>
        <v>8.6899999999999991E-2</v>
      </c>
      <c r="H126" s="22"/>
    </row>
    <row r="127" spans="1:11" s="47" customFormat="1" ht="12.75" customHeight="1" x14ac:dyDescent="0.2">
      <c r="B127" s="68"/>
      <c r="C127" s="68"/>
      <c r="D127" s="68"/>
      <c r="E127" s="69"/>
      <c r="F127" s="70"/>
      <c r="G127" s="71"/>
      <c r="H127" s="72"/>
      <c r="I127" s="34"/>
      <c r="K127" s="49"/>
    </row>
    <row r="128" spans="1:11" ht="12.75" customHeight="1" x14ac:dyDescent="0.2">
      <c r="B128" s="17" t="s">
        <v>438</v>
      </c>
      <c r="C128" s="17"/>
      <c r="F128" s="14"/>
      <c r="G128" s="15"/>
      <c r="H128" s="16"/>
    </row>
    <row r="129" spans="1:11" ht="12.75" customHeight="1" x14ac:dyDescent="0.2">
      <c r="A129">
        <f>+MAX($A$7:A128)+1</f>
        <v>101</v>
      </c>
      <c r="B129" s="66" t="s">
        <v>715</v>
      </c>
      <c r="C129" t="s">
        <v>716</v>
      </c>
      <c r="D129" t="s">
        <v>404</v>
      </c>
      <c r="E129" s="29">
        <v>1000000</v>
      </c>
      <c r="F129" s="14">
        <v>1004</v>
      </c>
      <c r="G129" s="15">
        <f>+ROUND(F129/VLOOKUP("Grand Total",$B$4:$F$335,5,0),4)</f>
        <v>9.4999999999999998E-3</v>
      </c>
      <c r="H129" s="16">
        <v>46811</v>
      </c>
    </row>
    <row r="130" spans="1:11" ht="12.75" customHeight="1" x14ac:dyDescent="0.2">
      <c r="B130" s="19" t="s">
        <v>85</v>
      </c>
      <c r="C130" s="19"/>
      <c r="D130" s="19"/>
      <c r="E130" s="30"/>
      <c r="F130" s="20">
        <f>SUM(F129:F129)</f>
        <v>1004</v>
      </c>
      <c r="G130" s="21">
        <f>SUM(G129:G129)</f>
        <v>9.4999999999999998E-3</v>
      </c>
      <c r="H130" s="22"/>
    </row>
    <row r="131" spans="1:11" s="47" customFormat="1" ht="12.75" customHeight="1" x14ac:dyDescent="0.2">
      <c r="B131" s="68"/>
      <c r="C131" s="68"/>
      <c r="D131" s="68"/>
      <c r="E131" s="69"/>
      <c r="F131" s="70"/>
      <c r="G131" s="71"/>
      <c r="H131" s="72"/>
      <c r="I131" s="34"/>
      <c r="K131" s="49"/>
    </row>
    <row r="132" spans="1:11" ht="12.75" customHeight="1" x14ac:dyDescent="0.2">
      <c r="B132" s="17" t="s">
        <v>92</v>
      </c>
      <c r="C132" s="17"/>
      <c r="F132" s="14"/>
      <c r="G132" s="15"/>
      <c r="H132" s="16"/>
    </row>
    <row r="133" spans="1:11" ht="12.75" customHeight="1" x14ac:dyDescent="0.2">
      <c r="A133">
        <f>+MAX($A$7:A132)+1</f>
        <v>102</v>
      </c>
      <c r="B133" s="66" t="s">
        <v>622</v>
      </c>
      <c r="C133" t="s">
        <v>623</v>
      </c>
      <c r="D133" t="s">
        <v>321</v>
      </c>
      <c r="E133" s="29">
        <v>55322.918599999997</v>
      </c>
      <c r="F133" s="14">
        <v>1517.6745663999998</v>
      </c>
      <c r="G133" s="15">
        <f>+ROUND(F133/VLOOKUP("Grand Total",$B$4:$F$335,5,0),4)</f>
        <v>1.43E-2</v>
      </c>
      <c r="H133" s="16"/>
    </row>
    <row r="134" spans="1:11" ht="12.75" customHeight="1" x14ac:dyDescent="0.2">
      <c r="B134" s="19" t="s">
        <v>85</v>
      </c>
      <c r="C134" s="19"/>
      <c r="D134" s="19"/>
      <c r="E134" s="30"/>
      <c r="F134" s="20">
        <f>SUM(F133:F133)</f>
        <v>1517.6745663999998</v>
      </c>
      <c r="G134" s="21">
        <f>SUM(G133:G133)</f>
        <v>1.43E-2</v>
      </c>
      <c r="H134" s="22"/>
    </row>
    <row r="135" spans="1:11" s="47" customFormat="1" ht="12.75" customHeight="1" x14ac:dyDescent="0.2">
      <c r="B135" s="68"/>
      <c r="C135" s="68"/>
      <c r="D135" s="68"/>
      <c r="E135" s="69"/>
      <c r="F135" s="70"/>
      <c r="G135" s="71"/>
      <c r="H135" s="72"/>
      <c r="I135" s="34"/>
      <c r="K135" s="49"/>
    </row>
    <row r="136" spans="1:11" ht="12.75" customHeight="1" x14ac:dyDescent="0.2">
      <c r="A136" s="96" t="s">
        <v>371</v>
      </c>
      <c r="B136" s="17" t="s">
        <v>93</v>
      </c>
      <c r="C136" s="17"/>
      <c r="F136" s="14">
        <v>3959.23524</v>
      </c>
      <c r="G136" s="15">
        <f>+ROUND(F136/VLOOKUP("Grand Total",$B$4:$F$335,5,0),4)</f>
        <v>3.73E-2</v>
      </c>
      <c r="H136" s="16">
        <v>43160</v>
      </c>
    </row>
    <row r="137" spans="1:11" ht="12.75" customHeight="1" x14ac:dyDescent="0.2">
      <c r="B137" s="19" t="s">
        <v>85</v>
      </c>
      <c r="C137" s="19"/>
      <c r="D137" s="19"/>
      <c r="E137" s="30"/>
      <c r="F137" s="20">
        <f>SUM(F136)</f>
        <v>3959.23524</v>
      </c>
      <c r="G137" s="21">
        <f>SUM(G136)</f>
        <v>3.73E-2</v>
      </c>
      <c r="H137" s="22"/>
      <c r="I137" s="36"/>
    </row>
    <row r="138" spans="1:11" ht="12.75" customHeight="1" x14ac:dyDescent="0.2">
      <c r="F138" s="14"/>
      <c r="G138" s="15"/>
      <c r="H138" s="16"/>
    </row>
    <row r="139" spans="1:11" ht="12.75" customHeight="1" x14ac:dyDescent="0.2">
      <c r="B139" s="17" t="s">
        <v>94</v>
      </c>
      <c r="C139" s="17"/>
      <c r="F139" s="14"/>
      <c r="G139" s="15"/>
      <c r="H139" s="16"/>
    </row>
    <row r="140" spans="1:11" ht="12.75" customHeight="1" x14ac:dyDescent="0.2">
      <c r="B140" s="17" t="s">
        <v>95</v>
      </c>
      <c r="C140" s="17"/>
      <c r="F140" s="14">
        <v>790.05481919998419</v>
      </c>
      <c r="G140" s="15">
        <f>+ROUND(F140/VLOOKUP("Grand Total",$B$4:$F$335,5,0),4)-0.05%</f>
        <v>6.9999999999999993E-3</v>
      </c>
      <c r="H140" s="16"/>
    </row>
    <row r="141" spans="1:11" ht="12.75" customHeight="1" x14ac:dyDescent="0.2">
      <c r="B141" s="19" t="s">
        <v>85</v>
      </c>
      <c r="C141" s="19"/>
      <c r="D141" s="19"/>
      <c r="E141" s="30"/>
      <c r="F141" s="20">
        <f>SUM(F140)</f>
        <v>790.05481919998419</v>
      </c>
      <c r="G141" s="21">
        <f>SUM(G140)</f>
        <v>6.9999999999999993E-3</v>
      </c>
      <c r="H141" s="22"/>
      <c r="I141" s="36"/>
    </row>
    <row r="142" spans="1:11" ht="12.75" customHeight="1" x14ac:dyDescent="0.2">
      <c r="B142" s="23" t="s">
        <v>96</v>
      </c>
      <c r="C142" s="23"/>
      <c r="D142" s="23"/>
      <c r="E142" s="31"/>
      <c r="F142" s="24">
        <f>+SUMIF($B$5:B141,"Total",$F$5:F141)</f>
        <v>106022.03693709994</v>
      </c>
      <c r="G142" s="25">
        <f>+SUMIF($B$5:B141,"Total",$G$5:G141)</f>
        <v>1</v>
      </c>
      <c r="H142" s="26"/>
      <c r="I142" s="36"/>
    </row>
    <row r="143" spans="1:11" ht="12.75" customHeight="1" x14ac:dyDescent="0.2"/>
    <row r="144" spans="1:11" ht="12.75" customHeight="1" x14ac:dyDescent="0.2">
      <c r="B144" s="17" t="s">
        <v>634</v>
      </c>
      <c r="C144" s="17"/>
    </row>
    <row r="145" spans="2:7" ht="12.75" customHeight="1" x14ac:dyDescent="0.2">
      <c r="B145" s="17" t="s">
        <v>188</v>
      </c>
      <c r="C145" s="17"/>
    </row>
    <row r="146" spans="2:7" ht="12.75" customHeight="1" x14ac:dyDescent="0.2">
      <c r="B146" s="17" t="s">
        <v>189</v>
      </c>
      <c r="C146" s="17"/>
      <c r="F146" s="44"/>
      <c r="G146" s="44"/>
    </row>
    <row r="147" spans="2:7" ht="12.75" customHeight="1" x14ac:dyDescent="0.2">
      <c r="B147" s="54" t="s">
        <v>308</v>
      </c>
      <c r="C147" s="17"/>
    </row>
    <row r="148" spans="2:7" ht="12.75" customHeight="1" x14ac:dyDescent="0.2">
      <c r="B148" s="17"/>
    </row>
    <row r="149" spans="2:7" ht="12.75" customHeight="1" x14ac:dyDescent="0.2"/>
    <row r="150" spans="2:7" ht="12.75" customHeight="1" x14ac:dyDescent="0.2"/>
    <row r="151" spans="2:7" ht="12.75" customHeight="1" x14ac:dyDescent="0.2"/>
    <row r="152" spans="2:7" ht="12.75" customHeight="1" x14ac:dyDescent="0.2"/>
    <row r="153" spans="2:7" ht="12.75" customHeight="1" x14ac:dyDescent="0.2"/>
    <row r="154" spans="2:7" ht="12.75" customHeight="1" x14ac:dyDescent="0.2"/>
    <row r="155" spans="2:7" ht="12.75" customHeight="1" x14ac:dyDescent="0.2"/>
    <row r="156" spans="2:7" ht="12.75" customHeight="1" x14ac:dyDescent="0.2"/>
    <row r="157" spans="2:7" ht="12.75" customHeight="1" x14ac:dyDescent="0.2"/>
    <row r="158" spans="2:7" ht="12.75" customHeight="1" x14ac:dyDescent="0.2"/>
    <row r="159" spans="2:7" ht="12.75" customHeight="1" x14ac:dyDescent="0.2"/>
    <row r="160" spans="2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</sheetData>
  <sheetProtection password="EDB3" sheet="1" objects="1" scenarios="1"/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5" customWidth="1"/>
    <col min="10" max="10" width="16.28515625" bestFit="1" customWidth="1"/>
    <col min="11" max="11" width="8" style="37" customWidth="1"/>
  </cols>
  <sheetData>
    <row r="1" spans="1:16" ht="18.75" x14ac:dyDescent="0.2">
      <c r="A1" s="95" t="s">
        <v>388</v>
      </c>
      <c r="B1" s="126" t="s">
        <v>172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84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91</v>
      </c>
      <c r="C7" s="17"/>
      <c r="F7" s="14"/>
      <c r="G7" s="15"/>
      <c r="H7" s="16"/>
    </row>
    <row r="8" spans="1:16" ht="12.75" customHeight="1" x14ac:dyDescent="0.2">
      <c r="B8" s="17" t="s">
        <v>732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+MAX($A$7:A8)+1</f>
        <v>1</v>
      </c>
      <c r="B9" s="66" t="s">
        <v>194</v>
      </c>
      <c r="C9" t="s">
        <v>720</v>
      </c>
      <c r="D9" t="s">
        <v>291</v>
      </c>
      <c r="E9" s="29">
        <v>5000</v>
      </c>
      <c r="F9" s="14">
        <v>5000</v>
      </c>
      <c r="G9" s="15">
        <f>+ROUND(F9/VLOOKUP("Grand Total",$B$4:$F$274,5,0),4)</f>
        <v>4.19E-2</v>
      </c>
      <c r="H9" s="16">
        <v>43160</v>
      </c>
      <c r="J9" s="15" t="s">
        <v>160</v>
      </c>
      <c r="K9" s="49">
        <f t="shared" ref="K9:K14" si="0">SUMIFS($G$5:$G$352,$D$5:$D$352,J9)</f>
        <v>0.46919999999999995</v>
      </c>
    </row>
    <row r="10" spans="1:16" ht="12.75" customHeight="1" x14ac:dyDescent="0.2">
      <c r="A10">
        <f>+MAX($A$7:A9)+1</f>
        <v>2</v>
      </c>
      <c r="B10" s="66" t="s">
        <v>751</v>
      </c>
      <c r="C10" t="s">
        <v>624</v>
      </c>
      <c r="D10" t="s">
        <v>160</v>
      </c>
      <c r="E10" s="29">
        <v>5000</v>
      </c>
      <c r="F10" s="14">
        <v>5000</v>
      </c>
      <c r="G10" s="15">
        <f>+ROUND(F10/VLOOKUP("Grand Total",$B$4:$F$274,5,0),4)</f>
        <v>4.19E-2</v>
      </c>
      <c r="H10" s="16">
        <v>43160</v>
      </c>
      <c r="J10" s="15" t="s">
        <v>291</v>
      </c>
      <c r="K10" s="49">
        <f t="shared" si="0"/>
        <v>0.30069999999999997</v>
      </c>
    </row>
    <row r="11" spans="1:16" ht="12.75" customHeight="1" x14ac:dyDescent="0.2">
      <c r="A11">
        <f>+MAX($A$7:A10)+1</f>
        <v>3</v>
      </c>
      <c r="B11" s="66" t="s">
        <v>733</v>
      </c>
      <c r="C11" t="s">
        <v>659</v>
      </c>
      <c r="D11" t="s">
        <v>160</v>
      </c>
      <c r="E11" s="29">
        <v>5000</v>
      </c>
      <c r="F11" s="14">
        <v>4976.16</v>
      </c>
      <c r="G11" s="15">
        <f>+ROUND(F11/VLOOKUP("Grand Total",$B$4:$F$274,5,0),4)</f>
        <v>4.1700000000000001E-2</v>
      </c>
      <c r="H11" s="16">
        <v>43186</v>
      </c>
      <c r="J11" s="15" t="s">
        <v>404</v>
      </c>
      <c r="K11" s="49">
        <f t="shared" si="0"/>
        <v>8.3699999999999997E-2</v>
      </c>
    </row>
    <row r="12" spans="1:16" ht="12.75" customHeight="1" x14ac:dyDescent="0.2">
      <c r="B12" s="19" t="s">
        <v>85</v>
      </c>
      <c r="C12" s="19"/>
      <c r="D12" s="19"/>
      <c r="E12" s="30"/>
      <c r="F12" s="20">
        <f>SUM(F9:F11)</f>
        <v>14976.16</v>
      </c>
      <c r="G12" s="21">
        <f>SUM(G9:G11)</f>
        <v>0.1255</v>
      </c>
      <c r="H12" s="22"/>
      <c r="I12" s="83"/>
      <c r="J12" s="15" t="s">
        <v>571</v>
      </c>
      <c r="K12" s="49">
        <f t="shared" si="0"/>
        <v>3.2099999999999997E-2</v>
      </c>
    </row>
    <row r="13" spans="1:16" ht="12.75" customHeight="1" x14ac:dyDescent="0.2">
      <c r="B13" s="17"/>
      <c r="C13" s="17"/>
      <c r="F13" s="14"/>
      <c r="G13" s="15"/>
      <c r="H13" s="16"/>
      <c r="J13" s="15" t="s">
        <v>328</v>
      </c>
      <c r="K13" s="49">
        <f t="shared" si="0"/>
        <v>2.92E-2</v>
      </c>
    </row>
    <row r="14" spans="1:16" ht="12.75" customHeight="1" x14ac:dyDescent="0.2">
      <c r="B14" s="17" t="s">
        <v>631</v>
      </c>
      <c r="C14" s="17"/>
      <c r="F14" s="14"/>
      <c r="G14" s="15"/>
      <c r="H14" s="16"/>
      <c r="J14" s="15" t="s">
        <v>560</v>
      </c>
      <c r="K14" s="49">
        <f t="shared" si="0"/>
        <v>1.8499999999999999E-2</v>
      </c>
      <c r="M14" s="15"/>
      <c r="N14" s="37"/>
      <c r="P14" s="15"/>
    </row>
    <row r="15" spans="1:16" ht="12.75" customHeight="1" x14ac:dyDescent="0.2">
      <c r="A15">
        <f>+MAX($A$7:A14)+1</f>
        <v>4</v>
      </c>
      <c r="B15" t="s">
        <v>686</v>
      </c>
      <c r="C15" t="s">
        <v>625</v>
      </c>
      <c r="D15" t="s">
        <v>291</v>
      </c>
      <c r="E15" s="29">
        <v>2000</v>
      </c>
      <c r="F15" s="14">
        <v>9946.2199999999993</v>
      </c>
      <c r="G15" s="15">
        <f t="shared" ref="G15:G34" si="1">+ROUND(F15/VLOOKUP("Grand Total",$B$4:$F$274,5,0),4)</f>
        <v>8.3400000000000002E-2</v>
      </c>
      <c r="H15" s="16">
        <v>43186</v>
      </c>
      <c r="J15" s="15" t="s">
        <v>64</v>
      </c>
      <c r="K15" s="49">
        <f>+SUMIFS($G$5:$G$996,$B$5:$B$996,"CBLO / Reverse Repo Investments")+SUMIFS($G$5:$G$996,$B$5:$B$996,"Net Receivable/Payable")</f>
        <v>6.6600000000000006E-2</v>
      </c>
      <c r="L15" s="55"/>
      <c r="M15" s="15"/>
      <c r="N15" s="37"/>
      <c r="P15" s="15"/>
    </row>
    <row r="16" spans="1:16" ht="12.75" customHeight="1" x14ac:dyDescent="0.2">
      <c r="A16">
        <f>+MAX($A$7:A15)+1</f>
        <v>5</v>
      </c>
      <c r="B16" s="66" t="s">
        <v>687</v>
      </c>
      <c r="C16" t="s">
        <v>645</v>
      </c>
      <c r="D16" t="s">
        <v>291</v>
      </c>
      <c r="E16" s="29">
        <v>1600</v>
      </c>
      <c r="F16" s="14">
        <v>7993.9520000000002</v>
      </c>
      <c r="G16" s="15">
        <f t="shared" si="1"/>
        <v>6.7000000000000004E-2</v>
      </c>
      <c r="H16" s="16">
        <v>43164</v>
      </c>
      <c r="K16" s="49"/>
      <c r="M16" s="15"/>
      <c r="N16" s="37"/>
      <c r="P16" s="15"/>
    </row>
    <row r="17" spans="1:11" ht="12.75" customHeight="1" x14ac:dyDescent="0.2">
      <c r="A17">
        <f>+MAX($A$7:A16)+1</f>
        <v>6</v>
      </c>
      <c r="B17" s="66" t="s">
        <v>558</v>
      </c>
      <c r="C17" t="s">
        <v>626</v>
      </c>
      <c r="D17" t="s">
        <v>160</v>
      </c>
      <c r="E17" s="29">
        <v>1000</v>
      </c>
      <c r="F17" s="14">
        <v>5000</v>
      </c>
      <c r="G17" s="15">
        <f t="shared" si="1"/>
        <v>4.19E-2</v>
      </c>
      <c r="H17" s="16">
        <v>43160</v>
      </c>
      <c r="J17" s="15"/>
      <c r="K17" s="49"/>
    </row>
    <row r="18" spans="1:11" ht="12.75" customHeight="1" x14ac:dyDescent="0.2">
      <c r="A18">
        <f>+MAX($A$7:A17)+1</f>
        <v>7</v>
      </c>
      <c r="B18" t="s">
        <v>689</v>
      </c>
      <c r="C18" t="s">
        <v>627</v>
      </c>
      <c r="D18" t="s">
        <v>160</v>
      </c>
      <c r="E18" s="29">
        <v>1000</v>
      </c>
      <c r="F18" s="14">
        <v>4996.165</v>
      </c>
      <c r="G18" s="15">
        <f t="shared" si="1"/>
        <v>4.19E-2</v>
      </c>
      <c r="H18" s="16">
        <v>43164</v>
      </c>
    </row>
    <row r="19" spans="1:11" ht="12.75" customHeight="1" x14ac:dyDescent="0.2">
      <c r="A19">
        <f>+MAX($A$7:A18)+1</f>
        <v>8</v>
      </c>
      <c r="B19" t="s">
        <v>690</v>
      </c>
      <c r="C19" t="s">
        <v>628</v>
      </c>
      <c r="D19" t="s">
        <v>160</v>
      </c>
      <c r="E19" s="29">
        <v>1000</v>
      </c>
      <c r="F19" s="14">
        <v>4988.5450000000001</v>
      </c>
      <c r="G19" s="15">
        <f t="shared" si="1"/>
        <v>4.1799999999999997E-2</v>
      </c>
      <c r="H19" s="16">
        <v>43173</v>
      </c>
    </row>
    <row r="20" spans="1:11" ht="12.75" customHeight="1" x14ac:dyDescent="0.2">
      <c r="A20">
        <f>+MAX($A$7:A19)+1</f>
        <v>9</v>
      </c>
      <c r="B20" t="s">
        <v>688</v>
      </c>
      <c r="C20" t="s">
        <v>660</v>
      </c>
      <c r="D20" t="s">
        <v>291</v>
      </c>
      <c r="E20" s="29">
        <v>1000</v>
      </c>
      <c r="F20" s="14">
        <v>4984.07</v>
      </c>
      <c r="G20" s="15">
        <f t="shared" si="1"/>
        <v>4.1799999999999997E-2</v>
      </c>
      <c r="H20" s="16">
        <v>43175</v>
      </c>
    </row>
    <row r="21" spans="1:11" ht="12.75" customHeight="1" x14ac:dyDescent="0.2">
      <c r="A21">
        <f>+MAX($A$7:A20)+1</f>
        <v>10</v>
      </c>
      <c r="B21" t="s">
        <v>691</v>
      </c>
      <c r="C21" t="s">
        <v>662</v>
      </c>
      <c r="D21" t="s">
        <v>160</v>
      </c>
      <c r="E21" s="29">
        <v>1000</v>
      </c>
      <c r="F21" s="14">
        <v>4975.0550000000003</v>
      </c>
      <c r="G21" s="15">
        <f t="shared" si="1"/>
        <v>4.1700000000000001E-2</v>
      </c>
      <c r="H21" s="16">
        <v>43187</v>
      </c>
    </row>
    <row r="22" spans="1:11" ht="12.75" customHeight="1" x14ac:dyDescent="0.2">
      <c r="A22">
        <f>+MAX($A$7:A21)+1</f>
        <v>11</v>
      </c>
      <c r="B22" t="s">
        <v>692</v>
      </c>
      <c r="C22" t="s">
        <v>663</v>
      </c>
      <c r="D22" t="s">
        <v>160</v>
      </c>
      <c r="E22" s="29">
        <v>1000</v>
      </c>
      <c r="F22" s="14">
        <v>4935.9449999999997</v>
      </c>
      <c r="G22" s="15">
        <f t="shared" si="1"/>
        <v>4.1399999999999999E-2</v>
      </c>
      <c r="H22" s="16">
        <v>43222</v>
      </c>
      <c r="J22" s="15"/>
      <c r="K22" s="49"/>
    </row>
    <row r="23" spans="1:11" ht="12.75" customHeight="1" x14ac:dyDescent="0.2">
      <c r="A23">
        <f>+MAX($A$7:A22)+1</f>
        <v>12</v>
      </c>
      <c r="B23" t="s">
        <v>752</v>
      </c>
      <c r="C23" t="s">
        <v>722</v>
      </c>
      <c r="D23" t="s">
        <v>160</v>
      </c>
      <c r="E23" s="29">
        <v>900</v>
      </c>
      <c r="F23" s="14">
        <v>4478.5709999999999</v>
      </c>
      <c r="G23" s="15">
        <f t="shared" si="1"/>
        <v>3.7600000000000001E-2</v>
      </c>
      <c r="H23" s="16">
        <v>43186</v>
      </c>
      <c r="J23" s="15"/>
      <c r="K23" s="49"/>
    </row>
    <row r="24" spans="1:11" ht="12.75" customHeight="1" x14ac:dyDescent="0.2">
      <c r="A24">
        <f>+MAX($A$7:A23)+1</f>
        <v>13</v>
      </c>
      <c r="B24" t="s">
        <v>693</v>
      </c>
      <c r="C24" t="s">
        <v>665</v>
      </c>
      <c r="D24" t="s">
        <v>160</v>
      </c>
      <c r="E24" s="29">
        <v>900</v>
      </c>
      <c r="F24" s="14">
        <v>4478.5394999999999</v>
      </c>
      <c r="G24" s="15">
        <f t="shared" si="1"/>
        <v>3.7499999999999999E-2</v>
      </c>
      <c r="H24" s="16">
        <v>43186</v>
      </c>
      <c r="J24" s="15"/>
      <c r="K24" s="49"/>
    </row>
    <row r="25" spans="1:11" ht="12.75" customHeight="1" x14ac:dyDescent="0.2">
      <c r="A25">
        <f>+MAX($A$7:A24)+1</f>
        <v>14</v>
      </c>
      <c r="B25" t="s">
        <v>691</v>
      </c>
      <c r="C25" t="s">
        <v>666</v>
      </c>
      <c r="D25" t="s">
        <v>160</v>
      </c>
      <c r="E25" s="29">
        <v>880</v>
      </c>
      <c r="F25" s="14">
        <v>4342.2103999999999</v>
      </c>
      <c r="G25" s="15">
        <f t="shared" si="1"/>
        <v>3.6400000000000002E-2</v>
      </c>
      <c r="H25" s="16">
        <v>43222</v>
      </c>
      <c r="J25" s="15"/>
      <c r="K25" s="49"/>
    </row>
    <row r="26" spans="1:11" ht="12.75" customHeight="1" x14ac:dyDescent="0.2">
      <c r="A26">
        <f>+MAX($A$7:A25)+1</f>
        <v>15</v>
      </c>
      <c r="B26" t="s">
        <v>753</v>
      </c>
      <c r="C26" t="s">
        <v>706</v>
      </c>
      <c r="D26" t="s">
        <v>291</v>
      </c>
      <c r="E26" s="29">
        <v>786</v>
      </c>
      <c r="F26" s="14">
        <v>3874.0643100000002</v>
      </c>
      <c r="G26" s="15">
        <f t="shared" si="1"/>
        <v>3.2500000000000001E-2</v>
      </c>
      <c r="H26" s="16">
        <v>43228</v>
      </c>
      <c r="J26" s="15"/>
    </row>
    <row r="27" spans="1:11" ht="12.75" customHeight="1" x14ac:dyDescent="0.2">
      <c r="A27">
        <f>+MAX($A$7:A26)+1</f>
        <v>16</v>
      </c>
      <c r="B27" t="s">
        <v>695</v>
      </c>
      <c r="C27" t="s">
        <v>707</v>
      </c>
      <c r="D27" t="s">
        <v>571</v>
      </c>
      <c r="E27" s="29">
        <v>780</v>
      </c>
      <c r="F27" s="14">
        <v>3831.9684000000002</v>
      </c>
      <c r="G27" s="15">
        <f t="shared" si="1"/>
        <v>3.2099999999999997E-2</v>
      </c>
      <c r="H27" s="16">
        <v>43241</v>
      </c>
      <c r="J27" s="15"/>
    </row>
    <row r="28" spans="1:11" ht="12.75" customHeight="1" x14ac:dyDescent="0.2">
      <c r="A28">
        <f>+MAX($A$7:A27)+1</f>
        <v>17</v>
      </c>
      <c r="B28" t="s">
        <v>696</v>
      </c>
      <c r="C28" t="s">
        <v>718</v>
      </c>
      <c r="D28" t="s">
        <v>160</v>
      </c>
      <c r="E28" s="29">
        <v>780</v>
      </c>
      <c r="F28" s="14">
        <v>3816.2709</v>
      </c>
      <c r="G28" s="15">
        <f t="shared" si="1"/>
        <v>3.2000000000000001E-2</v>
      </c>
      <c r="H28" s="16">
        <v>43248</v>
      </c>
      <c r="J28" s="15"/>
    </row>
    <row r="29" spans="1:11" ht="12.75" customHeight="1" x14ac:dyDescent="0.2">
      <c r="A29">
        <f>+MAX($A$7:A28)+1</f>
        <v>18</v>
      </c>
      <c r="B29" t="s">
        <v>754</v>
      </c>
      <c r="C29" t="s">
        <v>724</v>
      </c>
      <c r="D29" t="s">
        <v>160</v>
      </c>
      <c r="E29" s="29">
        <v>700</v>
      </c>
      <c r="F29" s="14">
        <v>3483.3890000000001</v>
      </c>
      <c r="G29" s="15">
        <f t="shared" si="1"/>
        <v>2.92E-2</v>
      </c>
      <c r="H29" s="16">
        <v>43186</v>
      </c>
      <c r="J29" s="15"/>
    </row>
    <row r="30" spans="1:11" ht="12.75" customHeight="1" x14ac:dyDescent="0.2">
      <c r="A30">
        <f>+MAX($A$7:A29)+1</f>
        <v>19</v>
      </c>
      <c r="B30" t="s">
        <v>694</v>
      </c>
      <c r="C30" t="s">
        <v>649</v>
      </c>
      <c r="D30" t="s">
        <v>328</v>
      </c>
      <c r="E30" s="29">
        <v>700</v>
      </c>
      <c r="F30" s="14">
        <v>3483.1754999999998</v>
      </c>
      <c r="G30" s="15">
        <f t="shared" si="1"/>
        <v>2.92E-2</v>
      </c>
      <c r="H30" s="16">
        <v>43185</v>
      </c>
      <c r="J30" s="15"/>
    </row>
    <row r="31" spans="1:11" ht="12.75" customHeight="1" x14ac:dyDescent="0.2">
      <c r="A31">
        <f>+MAX($A$7:A30)+1</f>
        <v>20</v>
      </c>
      <c r="B31" t="s">
        <v>688</v>
      </c>
      <c r="C31" t="s">
        <v>725</v>
      </c>
      <c r="D31" t="s">
        <v>291</v>
      </c>
      <c r="E31" s="29">
        <v>496</v>
      </c>
      <c r="F31" s="14">
        <v>2466.6228799999999</v>
      </c>
      <c r="G31" s="15">
        <f t="shared" si="1"/>
        <v>2.07E-2</v>
      </c>
      <c r="H31" s="16">
        <v>43185</v>
      </c>
      <c r="J31" s="15"/>
    </row>
    <row r="32" spans="1:11" ht="12.75" customHeight="1" x14ac:dyDescent="0.2">
      <c r="A32">
        <f>+MAX($A$7:A31)+1</f>
        <v>21</v>
      </c>
      <c r="B32" t="s">
        <v>697</v>
      </c>
      <c r="C32" t="s">
        <v>708</v>
      </c>
      <c r="D32" t="s">
        <v>560</v>
      </c>
      <c r="E32" s="29">
        <v>340</v>
      </c>
      <c r="F32" s="14">
        <v>1658.1732</v>
      </c>
      <c r="G32" s="15">
        <f t="shared" si="1"/>
        <v>1.3899999999999999E-2</v>
      </c>
      <c r="H32" s="16">
        <v>43245</v>
      </c>
      <c r="J32" s="15"/>
    </row>
    <row r="33" spans="1:10" ht="12.75" customHeight="1" x14ac:dyDescent="0.2">
      <c r="A33">
        <f>+MAX($A$7:A32)+1</f>
        <v>22</v>
      </c>
      <c r="B33" t="s">
        <v>755</v>
      </c>
      <c r="C33" t="s">
        <v>727</v>
      </c>
      <c r="D33" t="s">
        <v>291</v>
      </c>
      <c r="E33" s="29">
        <v>120</v>
      </c>
      <c r="F33" s="14">
        <v>597.14760000000001</v>
      </c>
      <c r="G33" s="15">
        <f t="shared" si="1"/>
        <v>5.0000000000000001E-3</v>
      </c>
      <c r="H33" s="16">
        <v>43185</v>
      </c>
      <c r="J33" s="15"/>
    </row>
    <row r="34" spans="1:10" ht="12.75" customHeight="1" x14ac:dyDescent="0.2">
      <c r="A34">
        <f>+MAX($A$7:A33)+1</f>
        <v>23</v>
      </c>
      <c r="B34" t="s">
        <v>697</v>
      </c>
      <c r="C34" t="s">
        <v>646</v>
      </c>
      <c r="D34" t="s">
        <v>560</v>
      </c>
      <c r="E34" s="29">
        <v>110</v>
      </c>
      <c r="F34" s="14">
        <v>546.78689999999995</v>
      </c>
      <c r="G34" s="15">
        <f t="shared" si="1"/>
        <v>4.5999999999999999E-3</v>
      </c>
      <c r="H34" s="16">
        <v>43181</v>
      </c>
      <c r="J34" s="15"/>
    </row>
    <row r="35" spans="1:10" ht="12.75" customHeight="1" x14ac:dyDescent="0.2">
      <c r="A35">
        <f>+MAX($A$7:A34)+1</f>
        <v>24</v>
      </c>
      <c r="B35" t="s">
        <v>756</v>
      </c>
      <c r="C35" t="s">
        <v>728</v>
      </c>
      <c r="D35" t="s">
        <v>160</v>
      </c>
      <c r="E35" s="29">
        <v>100</v>
      </c>
      <c r="F35" s="14">
        <v>498.71499999999997</v>
      </c>
      <c r="G35" s="15">
        <f t="shared" ref="G35:G37" si="2">+ROUND(F35/VLOOKUP("Grand Total",$B$4:$F$274,5,0),4)</f>
        <v>4.1999999999999997E-3</v>
      </c>
      <c r="H35" s="16">
        <v>43174</v>
      </c>
      <c r="J35" s="15"/>
    </row>
    <row r="36" spans="1:10" ht="12.75" customHeight="1" x14ac:dyDescent="0.2">
      <c r="A36">
        <f>+MAX($A$7:A35)+1</f>
        <v>25</v>
      </c>
      <c r="B36" t="s">
        <v>757</v>
      </c>
      <c r="C36" t="s">
        <v>729</v>
      </c>
      <c r="D36" t="s">
        <v>291</v>
      </c>
      <c r="E36" s="29">
        <v>100</v>
      </c>
      <c r="F36" s="14">
        <v>498.678</v>
      </c>
      <c r="G36" s="15">
        <f t="shared" si="2"/>
        <v>4.1999999999999997E-3</v>
      </c>
      <c r="H36" s="16">
        <v>43175</v>
      </c>
      <c r="J36" s="15"/>
    </row>
    <row r="37" spans="1:10" ht="12.75" customHeight="1" x14ac:dyDescent="0.2">
      <c r="A37">
        <f>+MAX($A$7:A36)+1</f>
        <v>26</v>
      </c>
      <c r="B37" t="s">
        <v>758</v>
      </c>
      <c r="C37" t="s">
        <v>730</v>
      </c>
      <c r="D37" t="s">
        <v>291</v>
      </c>
      <c r="E37" s="29">
        <v>100</v>
      </c>
      <c r="F37" s="14">
        <v>497.70150000000001</v>
      </c>
      <c r="G37" s="15">
        <f t="shared" si="2"/>
        <v>4.1999999999999997E-3</v>
      </c>
      <c r="H37" s="16">
        <v>43185</v>
      </c>
      <c r="J37" s="15"/>
    </row>
    <row r="38" spans="1:10" ht="12.75" customHeight="1" x14ac:dyDescent="0.2">
      <c r="B38" s="19" t="s">
        <v>85</v>
      </c>
      <c r="C38" s="19"/>
      <c r="D38" s="19"/>
      <c r="E38" s="30"/>
      <c r="F38" s="20">
        <f>SUM(F15:F37)</f>
        <v>86371.966089999987</v>
      </c>
      <c r="G38" s="21">
        <f>SUM(G15:G37)</f>
        <v>0.72420000000000007</v>
      </c>
      <c r="H38" s="22"/>
    </row>
    <row r="39" spans="1:10" ht="12.75" customHeight="1" x14ac:dyDescent="0.2">
      <c r="F39" s="14"/>
      <c r="G39" s="15"/>
      <c r="H39" s="16"/>
    </row>
    <row r="40" spans="1:10" ht="12.75" customHeight="1" x14ac:dyDescent="0.2">
      <c r="B40" s="17" t="s">
        <v>167</v>
      </c>
      <c r="C40" s="17"/>
      <c r="F40" s="14"/>
      <c r="G40" s="15"/>
      <c r="H40" s="16"/>
    </row>
    <row r="41" spans="1:10" ht="12.75" customHeight="1" x14ac:dyDescent="0.2">
      <c r="A41">
        <f>+MAX($A$7:A40)+1</f>
        <v>27</v>
      </c>
      <c r="B41" s="1" t="s">
        <v>574</v>
      </c>
      <c r="C41" t="s">
        <v>629</v>
      </c>
      <c r="D41" t="s">
        <v>404</v>
      </c>
      <c r="E41" s="29">
        <v>8000000</v>
      </c>
      <c r="F41" s="14">
        <v>7981.32</v>
      </c>
      <c r="G41" s="15">
        <f>+ROUND(F41/VLOOKUP("Grand Total",$B$4:$F$274,5,0),4)</f>
        <v>6.6900000000000001E-2</v>
      </c>
      <c r="H41" s="16">
        <v>43174</v>
      </c>
    </row>
    <row r="42" spans="1:10" ht="12.75" customHeight="1" x14ac:dyDescent="0.2">
      <c r="A42">
        <f>+MAX($A$7:A41)+1</f>
        <v>28</v>
      </c>
      <c r="B42" s="1" t="s">
        <v>574</v>
      </c>
      <c r="C42" t="s">
        <v>630</v>
      </c>
      <c r="D42" t="s">
        <v>404</v>
      </c>
      <c r="E42" s="29">
        <v>2001100</v>
      </c>
      <c r="F42" s="14">
        <v>1998.778724</v>
      </c>
      <c r="G42" s="15">
        <f>+ROUND(F42/VLOOKUP("Grand Total",$B$4:$F$274,5,0),4)</f>
        <v>1.6799999999999999E-2</v>
      </c>
      <c r="H42" s="16">
        <v>43167</v>
      </c>
    </row>
    <row r="43" spans="1:10" ht="12.75" customHeight="1" x14ac:dyDescent="0.2">
      <c r="B43" s="19" t="s">
        <v>85</v>
      </c>
      <c r="C43" s="19"/>
      <c r="D43" s="19"/>
      <c r="E43" s="30"/>
      <c r="F43" s="20">
        <f>SUM(F41:F42)</f>
        <v>9980.0987239999995</v>
      </c>
      <c r="G43" s="21">
        <f>SUM(G41:G42)</f>
        <v>8.3699999999999997E-2</v>
      </c>
      <c r="H43" s="22"/>
      <c r="I43" s="83"/>
    </row>
    <row r="44" spans="1:10" ht="12.75" customHeight="1" x14ac:dyDescent="0.2">
      <c r="F44" s="14"/>
      <c r="G44" s="15"/>
      <c r="H44" s="16"/>
    </row>
    <row r="45" spans="1:10" ht="12.75" customHeight="1" x14ac:dyDescent="0.2">
      <c r="A45" s="96" t="s">
        <v>371</v>
      </c>
      <c r="B45" s="17" t="s">
        <v>93</v>
      </c>
      <c r="C45" s="17"/>
      <c r="F45" s="14">
        <v>8331.61067</v>
      </c>
      <c r="G45" s="15">
        <f>+ROUND(F45/VLOOKUP("Grand Total",$B$4:$F$274,5,0),4)</f>
        <v>6.9900000000000004E-2</v>
      </c>
      <c r="H45" s="16">
        <v>43160</v>
      </c>
    </row>
    <row r="46" spans="1:10" ht="12.75" customHeight="1" x14ac:dyDescent="0.2">
      <c r="B46" s="19" t="s">
        <v>85</v>
      </c>
      <c r="C46" s="19"/>
      <c r="D46" s="19"/>
      <c r="E46" s="30"/>
      <c r="F46" s="20">
        <f>SUM(F45)</f>
        <v>8331.61067</v>
      </c>
      <c r="G46" s="21">
        <f>SUM(G45)</f>
        <v>6.9900000000000004E-2</v>
      </c>
      <c r="H46" s="22"/>
      <c r="I46" s="83"/>
    </row>
    <row r="47" spans="1:10" ht="12.75" customHeight="1" x14ac:dyDescent="0.2">
      <c r="F47" s="14"/>
      <c r="G47" s="15"/>
      <c r="H47" s="16"/>
    </row>
    <row r="48" spans="1:10" ht="12.75" customHeight="1" x14ac:dyDescent="0.2">
      <c r="B48" s="17" t="s">
        <v>94</v>
      </c>
      <c r="C48" s="17"/>
      <c r="F48" s="14"/>
      <c r="G48" s="15"/>
      <c r="H48" s="16"/>
    </row>
    <row r="49" spans="2:9" ht="12.75" customHeight="1" x14ac:dyDescent="0.2">
      <c r="B49" s="17" t="s">
        <v>95</v>
      </c>
      <c r="C49" s="17"/>
      <c r="F49" s="14">
        <v>-390.96190670000215</v>
      </c>
      <c r="G49" s="123">
        <f>+ROUND(F49/VLOOKUP("Grand Total",$B$4:$F$274,5,0),4)</f>
        <v>-3.3E-3</v>
      </c>
      <c r="H49" s="16"/>
    </row>
    <row r="50" spans="2:9" ht="12.75" customHeight="1" x14ac:dyDescent="0.2">
      <c r="B50" s="19" t="s">
        <v>85</v>
      </c>
      <c r="C50" s="19"/>
      <c r="D50" s="19"/>
      <c r="E50" s="30"/>
      <c r="F50" s="20">
        <f>SUM(F49:F49)</f>
        <v>-390.96190670000215</v>
      </c>
      <c r="G50" s="124">
        <f>SUM(G49:G49)</f>
        <v>-3.3E-3</v>
      </c>
      <c r="H50" s="22"/>
      <c r="I50" s="83"/>
    </row>
    <row r="51" spans="2:9" ht="12.75" customHeight="1" x14ac:dyDescent="0.2">
      <c r="B51" s="23" t="s">
        <v>96</v>
      </c>
      <c r="C51" s="23"/>
      <c r="D51" s="23"/>
      <c r="E51" s="31"/>
      <c r="F51" s="24">
        <f>+SUMIF($B$5:B50,"Total",$F$5:F50)</f>
        <v>119268.87357729998</v>
      </c>
      <c r="G51" s="25">
        <f>+SUMIF($B$5:B50,"Total",$G$5:G50)</f>
        <v>1</v>
      </c>
      <c r="H51" s="26"/>
      <c r="I51" s="83"/>
    </row>
    <row r="52" spans="2:9" ht="12.75" customHeight="1" x14ac:dyDescent="0.2"/>
    <row r="53" spans="2:9" ht="12.75" customHeight="1" x14ac:dyDescent="0.2">
      <c r="B53" s="17" t="s">
        <v>634</v>
      </c>
      <c r="C53" s="17"/>
    </row>
    <row r="54" spans="2:9" ht="12.75" customHeight="1" x14ac:dyDescent="0.2">
      <c r="B54" s="17" t="s">
        <v>188</v>
      </c>
      <c r="C54" s="17"/>
    </row>
    <row r="55" spans="2:9" ht="12.75" customHeight="1" x14ac:dyDescent="0.2">
      <c r="B55" s="17" t="s">
        <v>759</v>
      </c>
      <c r="C55" s="17"/>
    </row>
    <row r="56" spans="2:9" ht="12.75" customHeight="1" x14ac:dyDescent="0.2">
      <c r="B56" s="17"/>
      <c r="C56" s="17"/>
      <c r="F56" s="44"/>
      <c r="G56" s="44"/>
    </row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</sheetData>
  <sheetProtection password="EDB3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9"/>
  <sheetViews>
    <sheetView workbookViewId="0"/>
  </sheetViews>
  <sheetFormatPr defaultColWidth="9.140625" defaultRowHeight="12.75" x14ac:dyDescent="0.2"/>
  <cols>
    <col min="1" max="1" width="6.42578125" style="66" bestFit="1" customWidth="1"/>
    <col min="2" max="2" width="52.42578125" style="66" customWidth="1"/>
    <col min="3" max="3" width="14" style="66" bestFit="1" customWidth="1"/>
    <col min="4" max="4" width="14.85546875" style="66" bestFit="1" customWidth="1"/>
    <col min="5" max="5" width="11" style="86" customWidth="1"/>
    <col min="6" max="6" width="22.7109375" style="66" bestFit="1" customWidth="1"/>
    <col min="7" max="7" width="14" style="66" bestFit="1" customWidth="1"/>
    <col min="8" max="8" width="11.85546875" style="66" bestFit="1" customWidth="1"/>
    <col min="9" max="9" width="15" style="100" customWidth="1"/>
    <col min="10" max="10" width="16.28515625" style="66" bestFit="1" customWidth="1"/>
    <col min="11" max="11" width="8" style="85" customWidth="1"/>
    <col min="12" max="16384" width="9.140625" style="66"/>
  </cols>
  <sheetData>
    <row r="1" spans="1:16" ht="18.75" x14ac:dyDescent="0.2">
      <c r="A1" s="110" t="s">
        <v>389</v>
      </c>
      <c r="B1" s="126" t="s">
        <v>471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111"/>
      <c r="D2" s="112"/>
      <c r="E2" s="113"/>
      <c r="F2" s="114"/>
      <c r="G2" s="115"/>
      <c r="H2" s="115"/>
    </row>
    <row r="3" spans="1:16" ht="15.75" customHeight="1" x14ac:dyDescent="0.2">
      <c r="A3" s="116"/>
      <c r="B3" s="117"/>
      <c r="C3" s="117"/>
      <c r="D3" s="118"/>
      <c r="E3" s="113"/>
      <c r="F3" s="114"/>
      <c r="G3" s="115"/>
      <c r="H3" s="115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119"/>
    </row>
    <row r="5" spans="1:16" ht="12.75" customHeight="1" x14ac:dyDescent="0.2">
      <c r="F5" s="87"/>
      <c r="G5" s="91"/>
      <c r="H5" s="90"/>
    </row>
    <row r="6" spans="1:16" ht="12.75" customHeight="1" x14ac:dyDescent="0.2">
      <c r="F6" s="87"/>
      <c r="G6" s="91"/>
      <c r="H6" s="90"/>
    </row>
    <row r="7" spans="1:16" ht="12.75" customHeight="1" x14ac:dyDescent="0.2">
      <c r="B7" s="17" t="s">
        <v>91</v>
      </c>
      <c r="C7" s="17"/>
      <c r="F7" s="87"/>
      <c r="G7" s="91"/>
      <c r="H7" s="90"/>
      <c r="J7" s="18" t="s">
        <v>699</v>
      </c>
      <c r="K7" s="38" t="s">
        <v>13</v>
      </c>
    </row>
    <row r="8" spans="1:16" ht="12.75" customHeight="1" x14ac:dyDescent="0.2">
      <c r="B8" s="17" t="s">
        <v>307</v>
      </c>
      <c r="C8" s="17"/>
      <c r="F8" s="87"/>
      <c r="G8" s="91"/>
      <c r="H8" s="90"/>
      <c r="J8" s="15" t="s">
        <v>160</v>
      </c>
      <c r="K8" s="49">
        <f t="shared" ref="K8:K13" si="0">SUMIFS($G$5:$G$352,$D$5:$D$352,J8)</f>
        <v>0.41779999999999995</v>
      </c>
      <c r="L8" s="85"/>
      <c r="M8" s="91"/>
    </row>
    <row r="9" spans="1:16" ht="12.75" customHeight="1" x14ac:dyDescent="0.2">
      <c r="A9" s="66">
        <f>+MAX($A$7:A8)+1</f>
        <v>1</v>
      </c>
      <c r="B9" s="66" t="s">
        <v>204</v>
      </c>
      <c r="C9" s="66" t="s">
        <v>534</v>
      </c>
      <c r="D9" s="66" t="s">
        <v>291</v>
      </c>
      <c r="E9" s="120">
        <v>140</v>
      </c>
      <c r="F9" s="92">
        <v>683.97630000000004</v>
      </c>
      <c r="G9" s="91">
        <f t="shared" ref="G9:G19" si="1">+ROUND(F9/VLOOKUP("Grand Total",$B$4:$F$296,5,0),4)</f>
        <v>9.2999999999999999E-2</v>
      </c>
      <c r="H9" s="90">
        <v>43269</v>
      </c>
      <c r="J9" s="91" t="s">
        <v>291</v>
      </c>
      <c r="K9" s="49">
        <f t="shared" si="0"/>
        <v>0.23350000000000001</v>
      </c>
      <c r="L9" s="85"/>
      <c r="M9" s="91"/>
    </row>
    <row r="10" spans="1:16" ht="12.75" customHeight="1" x14ac:dyDescent="0.2">
      <c r="A10" s="66">
        <f>+MAX($A$7:A9)+1</f>
        <v>2</v>
      </c>
      <c r="B10" s="121" t="s">
        <v>661</v>
      </c>
      <c r="C10" s="66" t="s">
        <v>666</v>
      </c>
      <c r="D10" s="66" t="s">
        <v>160</v>
      </c>
      <c r="E10" s="120">
        <v>120</v>
      </c>
      <c r="F10" s="92">
        <v>592.11959999999999</v>
      </c>
      <c r="G10" s="91">
        <f t="shared" si="1"/>
        <v>8.0500000000000002E-2</v>
      </c>
      <c r="H10" s="90">
        <v>43222</v>
      </c>
      <c r="J10" s="15" t="s">
        <v>571</v>
      </c>
      <c r="K10" s="49">
        <f t="shared" si="0"/>
        <v>0.115</v>
      </c>
      <c r="L10" s="79"/>
      <c r="M10" s="91"/>
      <c r="N10" s="85"/>
      <c r="P10" s="91"/>
    </row>
    <row r="11" spans="1:16" ht="12.75" customHeight="1" x14ac:dyDescent="0.2">
      <c r="A11" s="66">
        <f>+MAX($A$7:A10)+1</f>
        <v>3</v>
      </c>
      <c r="B11" s="121" t="s">
        <v>717</v>
      </c>
      <c r="C11" s="66" t="s">
        <v>718</v>
      </c>
      <c r="D11" s="66" t="s">
        <v>160</v>
      </c>
      <c r="E11" s="120">
        <v>120</v>
      </c>
      <c r="F11" s="92">
        <v>587.11860000000001</v>
      </c>
      <c r="G11" s="91">
        <f t="shared" si="1"/>
        <v>7.9799999999999996E-2</v>
      </c>
      <c r="H11" s="90">
        <v>43248</v>
      </c>
      <c r="J11" s="15" t="s">
        <v>560</v>
      </c>
      <c r="K11" s="49">
        <f t="shared" si="0"/>
        <v>8.6599999999999996E-2</v>
      </c>
      <c r="L11" s="79"/>
      <c r="M11" s="91"/>
      <c r="N11" s="85"/>
      <c r="P11" s="91"/>
    </row>
    <row r="12" spans="1:16" ht="12.75" customHeight="1" x14ac:dyDescent="0.2">
      <c r="A12" s="66">
        <f>+MAX($A$7:A11)+1</f>
        <v>4</v>
      </c>
      <c r="B12" s="121" t="s">
        <v>572</v>
      </c>
      <c r="C12" s="66" t="s">
        <v>573</v>
      </c>
      <c r="D12" s="66" t="s">
        <v>291</v>
      </c>
      <c r="E12" s="120">
        <v>120</v>
      </c>
      <c r="F12" s="92">
        <v>585.64620000000002</v>
      </c>
      <c r="G12" s="91">
        <f t="shared" si="1"/>
        <v>7.9600000000000004E-2</v>
      </c>
      <c r="H12" s="90">
        <v>43265</v>
      </c>
      <c r="J12" s="66" t="s">
        <v>328</v>
      </c>
      <c r="K12" s="49">
        <f t="shared" si="0"/>
        <v>6.7699999999999996E-2</v>
      </c>
      <c r="L12" s="79"/>
      <c r="M12" s="91"/>
      <c r="N12" s="85"/>
      <c r="P12" s="91"/>
    </row>
    <row r="13" spans="1:16" ht="12.75" customHeight="1" x14ac:dyDescent="0.2">
      <c r="A13" s="66">
        <f>+MAX($A$7:A12)+1</f>
        <v>5</v>
      </c>
      <c r="B13" s="121" t="s">
        <v>292</v>
      </c>
      <c r="C13" s="66" t="s">
        <v>557</v>
      </c>
      <c r="D13" s="66" t="s">
        <v>571</v>
      </c>
      <c r="E13" s="120">
        <v>118</v>
      </c>
      <c r="F13" s="92">
        <v>563.70842000000005</v>
      </c>
      <c r="G13" s="91">
        <f t="shared" si="1"/>
        <v>7.6700000000000004E-2</v>
      </c>
      <c r="H13" s="90">
        <v>43350</v>
      </c>
      <c r="J13" s="66" t="s">
        <v>404</v>
      </c>
      <c r="K13" s="49">
        <f t="shared" si="0"/>
        <v>4.1000000000000003E-3</v>
      </c>
      <c r="L13" s="79"/>
      <c r="M13" s="91"/>
      <c r="N13" s="85"/>
      <c r="P13" s="91"/>
    </row>
    <row r="14" spans="1:16" ht="12.75" customHeight="1" x14ac:dyDescent="0.2">
      <c r="A14" s="66">
        <f>+MAX($A$7:A13)+1</f>
        <v>6</v>
      </c>
      <c r="B14" s="121" t="s">
        <v>723</v>
      </c>
      <c r="C14" s="66" t="s">
        <v>724</v>
      </c>
      <c r="D14" s="66" t="s">
        <v>160</v>
      </c>
      <c r="E14" s="120">
        <v>100</v>
      </c>
      <c r="F14" s="92">
        <v>497.62700000000001</v>
      </c>
      <c r="G14" s="91">
        <f t="shared" si="1"/>
        <v>6.7699999999999996E-2</v>
      </c>
      <c r="H14" s="90">
        <v>43186</v>
      </c>
      <c r="J14" s="15" t="s">
        <v>64</v>
      </c>
      <c r="K14" s="49">
        <f>+SUMIFS($G$5:$G$996,$B$5:$B$996,"CBLO / Reverse Repo Investments")+SUMIFS($G$5:$G$996,$B$5:$B$996,"Net Receivable/Payable")</f>
        <v>7.5300000000000006E-2</v>
      </c>
      <c r="L14" s="79"/>
      <c r="M14" s="91"/>
      <c r="N14" s="85"/>
      <c r="P14" s="91"/>
    </row>
    <row r="15" spans="1:16" ht="12.75" customHeight="1" x14ac:dyDescent="0.2">
      <c r="A15" s="66">
        <f>+MAX($A$7:A14)+1</f>
        <v>7</v>
      </c>
      <c r="B15" s="121" t="s">
        <v>721</v>
      </c>
      <c r="C15" s="66" t="s">
        <v>722</v>
      </c>
      <c r="D15" s="66" t="s">
        <v>160</v>
      </c>
      <c r="E15" s="120">
        <v>100</v>
      </c>
      <c r="F15" s="92">
        <v>497.61900000000003</v>
      </c>
      <c r="G15" s="91">
        <f t="shared" si="1"/>
        <v>6.7699999999999996E-2</v>
      </c>
      <c r="H15" s="90">
        <v>43186</v>
      </c>
      <c r="L15" s="79"/>
      <c r="M15" s="91"/>
      <c r="N15" s="85"/>
      <c r="P15" s="91"/>
    </row>
    <row r="16" spans="1:16" ht="12.75" customHeight="1" x14ac:dyDescent="0.2">
      <c r="A16" s="66">
        <f>+MAX($A$7:A15)+1</f>
        <v>8</v>
      </c>
      <c r="B16" s="121" t="s">
        <v>664</v>
      </c>
      <c r="C16" s="66" t="s">
        <v>665</v>
      </c>
      <c r="D16" s="66" t="s">
        <v>160</v>
      </c>
      <c r="E16" s="120">
        <v>100</v>
      </c>
      <c r="F16" s="92">
        <v>497.6155</v>
      </c>
      <c r="G16" s="91">
        <f t="shared" si="1"/>
        <v>6.7699999999999996E-2</v>
      </c>
      <c r="H16" s="90">
        <v>43186</v>
      </c>
      <c r="L16" s="79"/>
      <c r="M16" s="91"/>
      <c r="N16" s="85"/>
      <c r="P16" s="91"/>
    </row>
    <row r="17" spans="1:16" ht="12.75" customHeight="1" x14ac:dyDescent="0.2">
      <c r="A17" s="66">
        <f>+MAX($A$7:A16)+1</f>
        <v>9</v>
      </c>
      <c r="B17" s="121" t="s">
        <v>648</v>
      </c>
      <c r="C17" s="66" t="s">
        <v>649</v>
      </c>
      <c r="D17" s="66" t="s">
        <v>328</v>
      </c>
      <c r="E17" s="120">
        <v>100</v>
      </c>
      <c r="F17" s="92">
        <v>497.59649999999999</v>
      </c>
      <c r="G17" s="91">
        <f t="shared" si="1"/>
        <v>6.7699999999999996E-2</v>
      </c>
      <c r="H17" s="90">
        <v>43185</v>
      </c>
      <c r="L17" s="79"/>
      <c r="M17" s="91"/>
      <c r="N17" s="85"/>
      <c r="P17" s="91"/>
    </row>
    <row r="18" spans="1:16" ht="12.75" customHeight="1" x14ac:dyDescent="0.2">
      <c r="A18" s="66">
        <f>+MAX($A$7:A17)+1</f>
        <v>10</v>
      </c>
      <c r="B18" s="121" t="s">
        <v>559</v>
      </c>
      <c r="C18" s="66" t="s">
        <v>708</v>
      </c>
      <c r="D18" s="66" t="s">
        <v>560</v>
      </c>
      <c r="E18" s="120">
        <v>100</v>
      </c>
      <c r="F18" s="92">
        <v>487.69799999999998</v>
      </c>
      <c r="G18" s="91">
        <f t="shared" si="1"/>
        <v>6.6299999999999998E-2</v>
      </c>
      <c r="H18" s="90">
        <v>43245</v>
      </c>
      <c r="L18" s="79"/>
      <c r="M18" s="91"/>
      <c r="N18" s="85"/>
      <c r="P18" s="91"/>
    </row>
    <row r="19" spans="1:16" ht="12.75" customHeight="1" x14ac:dyDescent="0.2">
      <c r="A19" s="66">
        <f>+MAX($A$7:A18)+1</f>
        <v>11</v>
      </c>
      <c r="B19" s="121" t="s">
        <v>349</v>
      </c>
      <c r="C19" s="66" t="s">
        <v>535</v>
      </c>
      <c r="D19" s="66" t="s">
        <v>160</v>
      </c>
      <c r="E19" s="120">
        <v>82</v>
      </c>
      <c r="F19" s="92">
        <v>400.33875999999998</v>
      </c>
      <c r="G19" s="91">
        <f t="shared" si="1"/>
        <v>5.4399999999999997E-2</v>
      </c>
      <c r="H19" s="90">
        <v>43273</v>
      </c>
      <c r="L19" s="79"/>
      <c r="M19" s="91"/>
      <c r="N19" s="85"/>
      <c r="P19" s="91"/>
    </row>
    <row r="20" spans="1:16" ht="12.75" customHeight="1" x14ac:dyDescent="0.2">
      <c r="A20" s="66">
        <f>+MAX($A$7:A19)+1</f>
        <v>12</v>
      </c>
      <c r="B20" s="121" t="s">
        <v>726</v>
      </c>
      <c r="C20" s="66" t="s">
        <v>727</v>
      </c>
      <c r="D20" s="66" t="s">
        <v>291</v>
      </c>
      <c r="E20" s="120">
        <v>80</v>
      </c>
      <c r="F20" s="92">
        <v>398.09840000000003</v>
      </c>
      <c r="G20" s="91">
        <f t="shared" ref="G20:G23" si="2">+ROUND(F20/VLOOKUP("Grand Total",$B$4:$F$296,5,0),4)</f>
        <v>5.4100000000000002E-2</v>
      </c>
      <c r="H20" s="90">
        <v>43185</v>
      </c>
      <c r="L20" s="79"/>
      <c r="M20" s="91"/>
      <c r="N20" s="85"/>
      <c r="P20" s="91"/>
    </row>
    <row r="21" spans="1:16" ht="12.75" customHeight="1" x14ac:dyDescent="0.2">
      <c r="A21" s="66">
        <f>+MAX($A$7:A20)+1</f>
        <v>13</v>
      </c>
      <c r="B21" s="121" t="s">
        <v>292</v>
      </c>
      <c r="C21" s="66" t="s">
        <v>594</v>
      </c>
      <c r="D21" s="66" t="s">
        <v>571</v>
      </c>
      <c r="E21" s="120">
        <v>60</v>
      </c>
      <c r="F21" s="92">
        <v>281.25510000000003</v>
      </c>
      <c r="G21" s="91">
        <f t="shared" si="2"/>
        <v>3.8300000000000001E-2</v>
      </c>
      <c r="H21" s="90">
        <v>43430</v>
      </c>
      <c r="L21" s="79"/>
      <c r="M21" s="91"/>
      <c r="N21" s="85"/>
      <c r="P21" s="91"/>
    </row>
    <row r="22" spans="1:16" ht="12.75" customHeight="1" x14ac:dyDescent="0.2">
      <c r="A22" s="66">
        <f>+MAX($A$7:A21)+1</f>
        <v>14</v>
      </c>
      <c r="B22" s="121" t="s">
        <v>559</v>
      </c>
      <c r="C22" s="66" t="s">
        <v>646</v>
      </c>
      <c r="D22" s="66" t="s">
        <v>560</v>
      </c>
      <c r="E22" s="120">
        <v>30</v>
      </c>
      <c r="F22" s="92">
        <v>149.12370000000001</v>
      </c>
      <c r="G22" s="91">
        <f t="shared" si="2"/>
        <v>2.0299999999999999E-2</v>
      </c>
      <c r="H22" s="90">
        <v>43181</v>
      </c>
      <c r="L22" s="79"/>
      <c r="M22" s="91"/>
      <c r="N22" s="85"/>
      <c r="P22" s="91"/>
    </row>
    <row r="23" spans="1:16" ht="12.75" customHeight="1" x14ac:dyDescent="0.2">
      <c r="A23" s="66">
        <f>+MAX($A$7:A22)+1</f>
        <v>15</v>
      </c>
      <c r="B23" s="121" t="s">
        <v>572</v>
      </c>
      <c r="C23" s="66" t="s">
        <v>645</v>
      </c>
      <c r="D23" s="66" t="s">
        <v>291</v>
      </c>
      <c r="E23" s="120">
        <v>10</v>
      </c>
      <c r="F23" s="92">
        <v>49.962200000000003</v>
      </c>
      <c r="G23" s="91">
        <f t="shared" si="2"/>
        <v>6.7999999999999996E-3</v>
      </c>
      <c r="H23" s="90">
        <v>43164</v>
      </c>
      <c r="L23" s="79"/>
      <c r="M23" s="91"/>
      <c r="N23" s="85"/>
      <c r="P23" s="91"/>
    </row>
    <row r="24" spans="1:16" ht="12.75" customHeight="1" x14ac:dyDescent="0.2">
      <c r="B24" s="19" t="s">
        <v>85</v>
      </c>
      <c r="C24" s="19"/>
      <c r="D24" s="19"/>
      <c r="E24" s="30"/>
      <c r="F24" s="20">
        <f>SUM(F9:F23)</f>
        <v>6769.5032799999999</v>
      </c>
      <c r="G24" s="21">
        <f>SUM(G9:G23)</f>
        <v>0.92059999999999997</v>
      </c>
      <c r="H24" s="22"/>
      <c r="I24" s="83"/>
      <c r="J24" s="91"/>
      <c r="L24" s="79">
        <f>SUM(K8:K24)</f>
        <v>1</v>
      </c>
    </row>
    <row r="25" spans="1:16" ht="12.75" customHeight="1" x14ac:dyDescent="0.2">
      <c r="F25" s="87"/>
      <c r="G25" s="91"/>
      <c r="H25" s="90"/>
    </row>
    <row r="26" spans="1:16" ht="12.75" customHeight="1" x14ac:dyDescent="0.2">
      <c r="B26" s="17" t="s">
        <v>167</v>
      </c>
      <c r="C26" s="17"/>
      <c r="F26" s="87"/>
      <c r="G26" s="91"/>
      <c r="H26" s="90"/>
    </row>
    <row r="27" spans="1:16" ht="12.75" customHeight="1" x14ac:dyDescent="0.2">
      <c r="A27" s="66">
        <f>+MAX($A$7:A26)+1</f>
        <v>16</v>
      </c>
      <c r="B27" s="66" t="s">
        <v>589</v>
      </c>
      <c r="C27" s="66" t="s">
        <v>590</v>
      </c>
      <c r="D27" s="66" t="s">
        <v>404</v>
      </c>
      <c r="E27" s="86">
        <v>30000</v>
      </c>
      <c r="F27" s="87">
        <v>29.940090000000001</v>
      </c>
      <c r="G27" s="91">
        <f>+ROUND(F27/VLOOKUP("Grand Total",$B$4:$F$296,5,0),4)</f>
        <v>4.1000000000000003E-3</v>
      </c>
      <c r="H27" s="90">
        <v>43172</v>
      </c>
    </row>
    <row r="28" spans="1:16" ht="12.75" customHeight="1" x14ac:dyDescent="0.2">
      <c r="B28" s="19" t="s">
        <v>85</v>
      </c>
      <c r="C28" s="19"/>
      <c r="D28" s="19"/>
      <c r="E28" s="30"/>
      <c r="F28" s="20">
        <f>SUM(F27:F27)</f>
        <v>29.940090000000001</v>
      </c>
      <c r="G28" s="21">
        <f>SUM(G27:G27)</f>
        <v>4.1000000000000003E-3</v>
      </c>
      <c r="H28" s="22"/>
      <c r="I28" s="83"/>
    </row>
    <row r="29" spans="1:16" ht="12.75" customHeight="1" x14ac:dyDescent="0.2">
      <c r="F29" s="87"/>
      <c r="G29" s="91"/>
      <c r="H29" s="90"/>
    </row>
    <row r="30" spans="1:16" ht="12.75" customHeight="1" x14ac:dyDescent="0.2">
      <c r="A30" s="96" t="s">
        <v>371</v>
      </c>
      <c r="B30" s="17" t="s">
        <v>93</v>
      </c>
      <c r="C30" s="17"/>
      <c r="F30" s="87">
        <v>581.01273000000003</v>
      </c>
      <c r="G30" s="91">
        <f>+ROUND(F30/VLOOKUP("Grand Total",$B$4:$F$296,5,0),4)</f>
        <v>7.9000000000000001E-2</v>
      </c>
      <c r="H30" s="90">
        <v>43160</v>
      </c>
    </row>
    <row r="31" spans="1:16" ht="12.75" customHeight="1" x14ac:dyDescent="0.2">
      <c r="B31" s="19" t="s">
        <v>85</v>
      </c>
      <c r="C31" s="19"/>
      <c r="D31" s="19"/>
      <c r="E31" s="30"/>
      <c r="F31" s="20">
        <f>SUM(F30)</f>
        <v>581.01273000000003</v>
      </c>
      <c r="G31" s="21">
        <f>SUM(G30)</f>
        <v>7.9000000000000001E-2</v>
      </c>
      <c r="H31" s="22"/>
      <c r="I31" s="83"/>
    </row>
    <row r="32" spans="1:16" ht="12.75" customHeight="1" x14ac:dyDescent="0.2">
      <c r="F32" s="87"/>
      <c r="G32" s="91"/>
      <c r="H32" s="90"/>
    </row>
    <row r="33" spans="2:9" ht="12.75" customHeight="1" x14ac:dyDescent="0.2">
      <c r="B33" s="17" t="s">
        <v>94</v>
      </c>
      <c r="C33" s="17"/>
      <c r="F33" s="87"/>
      <c r="G33" s="91"/>
      <c r="H33" s="90"/>
    </row>
    <row r="34" spans="2:9" ht="12.75" customHeight="1" x14ac:dyDescent="0.2">
      <c r="B34" s="17" t="s">
        <v>95</v>
      </c>
      <c r="C34" s="17"/>
      <c r="F34" s="87">
        <v>-27.665137000000868</v>
      </c>
      <c r="G34" s="123">
        <f>+ROUND(F34/VLOOKUP("Grand Total",$B$4:$F$296,5,0),4)+0.01%</f>
        <v>-3.7000000000000002E-3</v>
      </c>
      <c r="H34" s="90"/>
    </row>
    <row r="35" spans="2:9" ht="12.75" customHeight="1" x14ac:dyDescent="0.2">
      <c r="B35" s="19" t="s">
        <v>85</v>
      </c>
      <c r="C35" s="19"/>
      <c r="D35" s="19"/>
      <c r="E35" s="30"/>
      <c r="F35" s="20">
        <f>SUM(F34)</f>
        <v>-27.665137000000868</v>
      </c>
      <c r="G35" s="124">
        <f>SUM(G34)</f>
        <v>-3.7000000000000002E-3</v>
      </c>
      <c r="H35" s="22"/>
      <c r="I35" s="83"/>
    </row>
    <row r="36" spans="2:9" ht="12.75" customHeight="1" x14ac:dyDescent="0.2">
      <c r="B36" s="23" t="s">
        <v>96</v>
      </c>
      <c r="C36" s="23"/>
      <c r="D36" s="23"/>
      <c r="E36" s="31"/>
      <c r="F36" s="24">
        <f>+SUMIF($B$5:B35,"Total",$F$5:F35)</f>
        <v>7352.7909629999995</v>
      </c>
      <c r="G36" s="25">
        <f>+SUMIF($B$5:B35,"Total",$G$5:G35)</f>
        <v>1</v>
      </c>
      <c r="H36" s="26"/>
      <c r="I36" s="83"/>
    </row>
    <row r="37" spans="2:9" ht="12.75" customHeight="1" x14ac:dyDescent="0.2"/>
    <row r="38" spans="2:9" ht="12.75" customHeight="1" x14ac:dyDescent="0.2">
      <c r="B38" s="17" t="s">
        <v>634</v>
      </c>
      <c r="C38" s="17"/>
    </row>
    <row r="39" spans="2:9" ht="12.75" customHeight="1" x14ac:dyDescent="0.2">
      <c r="B39" s="17" t="s">
        <v>188</v>
      </c>
      <c r="C39" s="17"/>
    </row>
    <row r="40" spans="2:9" ht="12.75" customHeight="1" x14ac:dyDescent="0.2">
      <c r="B40" s="17"/>
      <c r="C40" s="17"/>
    </row>
    <row r="41" spans="2:9" ht="12.75" customHeight="1" x14ac:dyDescent="0.2">
      <c r="B41" s="17"/>
      <c r="C41" s="17"/>
    </row>
    <row r="42" spans="2:9" ht="12.75" customHeight="1" x14ac:dyDescent="0.2">
      <c r="B42" s="17"/>
      <c r="C42" s="17"/>
    </row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sheetProtection password="EDB3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126" t="s">
        <v>173</v>
      </c>
      <c r="C1" s="127"/>
      <c r="D1" s="127"/>
      <c r="E1" s="127"/>
      <c r="F1" s="127"/>
      <c r="G1" s="127"/>
      <c r="H1" s="128"/>
    </row>
    <row r="2" spans="1:16" x14ac:dyDescent="0.2">
      <c r="A2" s="3" t="s">
        <v>1</v>
      </c>
      <c r="B2" s="4" t="str">
        <f>+GROWTH!B2</f>
        <v>Portfolio as on Feb 28, 2018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91</v>
      </c>
      <c r="C7" s="17"/>
      <c r="F7" s="14"/>
      <c r="G7" s="15"/>
      <c r="H7" s="16"/>
      <c r="J7" s="15" t="s">
        <v>174</v>
      </c>
      <c r="K7" s="37">
        <v>0.2014</v>
      </c>
    </row>
    <row r="8" spans="1:16" ht="12.75" customHeight="1" x14ac:dyDescent="0.2">
      <c r="B8" s="17" t="s">
        <v>125</v>
      </c>
      <c r="C8" s="17"/>
      <c r="F8" s="14"/>
      <c r="G8" s="15"/>
      <c r="H8" s="16"/>
      <c r="J8" t="s">
        <v>293</v>
      </c>
      <c r="K8" s="37">
        <v>0.16820000000000002</v>
      </c>
    </row>
    <row r="9" spans="1:16" ht="12.75" customHeight="1" x14ac:dyDescent="0.2">
      <c r="B9" s="32" t="s">
        <v>306</v>
      </c>
      <c r="C9" s="17"/>
      <c r="F9" s="14"/>
      <c r="G9" s="15"/>
      <c r="H9" s="16"/>
      <c r="J9" s="15" t="s">
        <v>64</v>
      </c>
      <c r="K9" s="37">
        <f>+SUMIFS($G$5:$G$995,$B$5:$B$995,"CBLO / Reverse Repo Investments")+SUMIFS($G$5:$G$995,$B$5:$B$995,"Net Receivable/Payable")</f>
        <v>0.63039999999999996</v>
      </c>
      <c r="L9" s="55">
        <f>+SUM($K7:K$9)</f>
        <v>1</v>
      </c>
    </row>
    <row r="10" spans="1:16" ht="12.75" customHeight="1" x14ac:dyDescent="0.2">
      <c r="A10">
        <f>+MAX($A$8:A9)+1</f>
        <v>1</v>
      </c>
      <c r="B10" s="1" t="s">
        <v>317</v>
      </c>
      <c r="C10" t="s">
        <v>175</v>
      </c>
      <c r="D10" t="s">
        <v>174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354</v>
      </c>
      <c r="C11" t="s">
        <v>176</v>
      </c>
      <c r="D11" t="s">
        <v>293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85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5"/>
      <c r="M13" s="15"/>
      <c r="N13" s="37"/>
      <c r="P13" s="15"/>
    </row>
    <row r="14" spans="1:16" ht="12.75" customHeight="1" x14ac:dyDescent="0.2">
      <c r="B14" s="17" t="s">
        <v>93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>+GROWTH!H88</f>
        <v>43160</v>
      </c>
    </row>
    <row r="15" spans="1:16" ht="12.75" customHeight="1" x14ac:dyDescent="0.2">
      <c r="B15" s="19" t="s">
        <v>85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94</v>
      </c>
      <c r="C17" s="17"/>
      <c r="F17" s="14"/>
      <c r="G17" s="15"/>
      <c r="H17" s="16"/>
    </row>
    <row r="18" spans="2:9" ht="12.75" customHeight="1" x14ac:dyDescent="0.2">
      <c r="B18" s="17" t="s">
        <v>95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85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96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191</v>
      </c>
      <c r="C22" s="17"/>
    </row>
    <row r="23" spans="2:9" ht="12.75" customHeight="1" x14ac:dyDescent="0.2">
      <c r="B23" s="17" t="s">
        <v>188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32.5703125" bestFit="1" customWidth="1"/>
    <col min="11" max="11" width="8" style="37" customWidth="1"/>
  </cols>
  <sheetData>
    <row r="1" spans="1:16" ht="18.75" x14ac:dyDescent="0.2">
      <c r="A1" s="95" t="s">
        <v>373</v>
      </c>
      <c r="B1" s="126" t="s">
        <v>97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+MAX($A$8:A8)+1</f>
        <v>1</v>
      </c>
      <c r="B9" t="s">
        <v>194</v>
      </c>
      <c r="C9" t="s">
        <v>14</v>
      </c>
      <c r="D9" s="66" t="s">
        <v>10</v>
      </c>
      <c r="E9" s="29">
        <v>9187</v>
      </c>
      <c r="F9" s="14">
        <v>173.10145399999999</v>
      </c>
      <c r="G9" s="15">
        <f t="shared" ref="G9:G58" si="0">+ROUND(F9/VLOOKUP("Grand Total",$B$4:$F$283,5,0),4)</f>
        <v>9.5100000000000004E-2</v>
      </c>
      <c r="H9" s="16"/>
      <c r="J9" s="15" t="s">
        <v>10</v>
      </c>
      <c r="K9" s="49">
        <f t="shared" ref="K9:K29" si="1">SUMIFS($G$5:$G$320,$D$5:$D$320,J9)</f>
        <v>0.26180000000000003</v>
      </c>
    </row>
    <row r="10" spans="1:16" ht="12.75" customHeight="1" x14ac:dyDescent="0.2">
      <c r="A10">
        <f>+MAX($A$8:A9)+1</f>
        <v>2</v>
      </c>
      <c r="B10" t="s">
        <v>196</v>
      </c>
      <c r="C10" t="s">
        <v>31</v>
      </c>
      <c r="D10" t="s">
        <v>30</v>
      </c>
      <c r="E10" s="29">
        <v>15492</v>
      </c>
      <c r="F10" s="14">
        <v>147.87888599999999</v>
      </c>
      <c r="G10" s="15">
        <f t="shared" si="0"/>
        <v>8.1199999999999994E-2</v>
      </c>
      <c r="H10" s="16"/>
      <c r="J10" s="15" t="s">
        <v>15</v>
      </c>
      <c r="K10" s="49">
        <f t="shared" si="1"/>
        <v>0.1258</v>
      </c>
    </row>
    <row r="11" spans="1:16" ht="12.75" customHeight="1" x14ac:dyDescent="0.2">
      <c r="A11">
        <f>+MAX($A$8:A10)+1</f>
        <v>3</v>
      </c>
      <c r="B11" t="s">
        <v>200</v>
      </c>
      <c r="C11" t="s">
        <v>27</v>
      </c>
      <c r="D11" t="s">
        <v>24</v>
      </c>
      <c r="E11" s="29">
        <v>7176</v>
      </c>
      <c r="F11" s="14">
        <v>129.79231199999998</v>
      </c>
      <c r="G11" s="15">
        <f t="shared" si="0"/>
        <v>7.1300000000000002E-2</v>
      </c>
      <c r="H11" s="16"/>
      <c r="J11" s="15" t="s">
        <v>30</v>
      </c>
      <c r="K11" s="49">
        <f t="shared" si="1"/>
        <v>0.106</v>
      </c>
      <c r="M11" s="37"/>
      <c r="N11" s="15"/>
      <c r="P11" s="15"/>
    </row>
    <row r="12" spans="1:16" ht="12.75" customHeight="1" x14ac:dyDescent="0.2">
      <c r="A12">
        <f>+MAX($A$8:A11)+1</f>
        <v>4</v>
      </c>
      <c r="B12" t="s">
        <v>195</v>
      </c>
      <c r="C12" t="s">
        <v>16</v>
      </c>
      <c r="D12" t="s">
        <v>15</v>
      </c>
      <c r="E12" s="29">
        <v>8980</v>
      </c>
      <c r="F12" s="14">
        <v>105.29948</v>
      </c>
      <c r="G12" s="15">
        <f t="shared" si="0"/>
        <v>5.79E-2</v>
      </c>
      <c r="H12" s="16"/>
      <c r="J12" s="15" t="s">
        <v>21</v>
      </c>
      <c r="K12" s="49">
        <f t="shared" si="1"/>
        <v>9.329999999999998E-2</v>
      </c>
      <c r="M12" s="37"/>
      <c r="N12" s="15"/>
      <c r="P12" s="15"/>
    </row>
    <row r="13" spans="1:16" ht="12.75" customHeight="1" x14ac:dyDescent="0.2">
      <c r="A13">
        <f>+MAX($A$8:A12)+1</f>
        <v>5</v>
      </c>
      <c r="B13" t="s">
        <v>203</v>
      </c>
      <c r="C13" t="s">
        <v>46</v>
      </c>
      <c r="D13" t="s">
        <v>26</v>
      </c>
      <c r="E13" s="29">
        <v>38338</v>
      </c>
      <c r="F13" s="14">
        <v>101.614869</v>
      </c>
      <c r="G13" s="15">
        <f t="shared" si="0"/>
        <v>5.5800000000000002E-2</v>
      </c>
      <c r="H13" s="16"/>
      <c r="J13" s="15" t="s">
        <v>26</v>
      </c>
      <c r="K13" s="49">
        <f t="shared" si="1"/>
        <v>9.1399999999999995E-2</v>
      </c>
      <c r="M13" s="37"/>
      <c r="N13" s="15"/>
      <c r="P13" s="15"/>
    </row>
    <row r="14" spans="1:16" ht="12.75" customHeight="1" x14ac:dyDescent="0.2">
      <c r="A14">
        <f>+MAX($A$8:A13)+1</f>
        <v>6</v>
      </c>
      <c r="B14" t="s">
        <v>197</v>
      </c>
      <c r="C14" t="s">
        <v>11</v>
      </c>
      <c r="D14" t="s">
        <v>10</v>
      </c>
      <c r="E14" s="29">
        <v>28856</v>
      </c>
      <c r="F14" s="14">
        <v>90.391419999999997</v>
      </c>
      <c r="G14" s="15">
        <f t="shared" si="0"/>
        <v>4.9700000000000001E-2</v>
      </c>
      <c r="H14" s="16"/>
      <c r="J14" s="15" t="s">
        <v>24</v>
      </c>
      <c r="K14" s="49">
        <f t="shared" si="1"/>
        <v>9.0899999999999995E-2</v>
      </c>
      <c r="M14" s="37"/>
      <c r="N14" s="15"/>
      <c r="P14" s="15"/>
    </row>
    <row r="15" spans="1:16" ht="12.75" customHeight="1" x14ac:dyDescent="0.2">
      <c r="A15">
        <f>+MAX($A$8:A14)+1</f>
        <v>7</v>
      </c>
      <c r="B15" t="s">
        <v>227</v>
      </c>
      <c r="C15" t="s">
        <v>71</v>
      </c>
      <c r="D15" t="s">
        <v>28</v>
      </c>
      <c r="E15" s="29">
        <v>5540</v>
      </c>
      <c r="F15" s="14">
        <v>73.025509999999997</v>
      </c>
      <c r="G15" s="15">
        <f t="shared" si="0"/>
        <v>4.0099999999999997E-2</v>
      </c>
      <c r="H15" s="16"/>
      <c r="J15" s="15" t="s">
        <v>28</v>
      </c>
      <c r="K15" s="49">
        <f t="shared" si="1"/>
        <v>4.0099999999999997E-2</v>
      </c>
      <c r="M15" s="37"/>
      <c r="N15" s="15"/>
      <c r="P15" s="15"/>
    </row>
    <row r="16" spans="1:16" ht="12.75" customHeight="1" x14ac:dyDescent="0.2">
      <c r="A16">
        <f>+MAX($A$8:A15)+1</f>
        <v>8</v>
      </c>
      <c r="B16" t="s">
        <v>218</v>
      </c>
      <c r="C16" t="s">
        <v>20</v>
      </c>
      <c r="D16" t="s">
        <v>15</v>
      </c>
      <c r="E16" s="29">
        <v>2236</v>
      </c>
      <c r="F16" s="14">
        <v>67.863717999999992</v>
      </c>
      <c r="G16" s="15">
        <f t="shared" si="0"/>
        <v>3.73E-2</v>
      </c>
      <c r="H16" s="16"/>
      <c r="J16" s="15" t="s">
        <v>23</v>
      </c>
      <c r="K16" s="49">
        <f t="shared" si="1"/>
        <v>3.78E-2</v>
      </c>
      <c r="M16" s="37"/>
      <c r="N16" s="15"/>
      <c r="P16" s="15"/>
    </row>
    <row r="17" spans="1:16" ht="12.75" customHeight="1" x14ac:dyDescent="0.2">
      <c r="A17">
        <f>+MAX($A$8:A16)+1</f>
        <v>9</v>
      </c>
      <c r="B17" t="s">
        <v>214</v>
      </c>
      <c r="C17" t="s">
        <v>98</v>
      </c>
      <c r="D17" t="s">
        <v>10</v>
      </c>
      <c r="E17" s="29">
        <v>5990</v>
      </c>
      <c r="F17" s="14">
        <v>65.323944999999995</v>
      </c>
      <c r="G17" s="15">
        <f t="shared" si="0"/>
        <v>3.5900000000000001E-2</v>
      </c>
      <c r="H17" s="16"/>
      <c r="J17" s="15" t="s">
        <v>45</v>
      </c>
      <c r="K17" s="49">
        <f t="shared" si="1"/>
        <v>2.3900000000000001E-2</v>
      </c>
      <c r="M17" s="37"/>
      <c r="N17" s="15"/>
      <c r="P17" s="15"/>
    </row>
    <row r="18" spans="1:16" ht="12.75" customHeight="1" x14ac:dyDescent="0.2">
      <c r="A18">
        <f>+MAX($A$8:A17)+1</f>
        <v>10</v>
      </c>
      <c r="B18" t="s">
        <v>211</v>
      </c>
      <c r="C18" t="s">
        <v>49</v>
      </c>
      <c r="D18" t="s">
        <v>21</v>
      </c>
      <c r="E18" s="29">
        <v>597</v>
      </c>
      <c r="F18" s="14">
        <v>52.840171500000004</v>
      </c>
      <c r="G18" s="15">
        <f t="shared" si="0"/>
        <v>2.9000000000000001E-2</v>
      </c>
      <c r="H18" s="16"/>
      <c r="J18" s="15" t="s">
        <v>36</v>
      </c>
      <c r="K18" s="49">
        <f t="shared" si="1"/>
        <v>2.3E-2</v>
      </c>
      <c r="M18" s="37"/>
      <c r="N18" s="15"/>
      <c r="P18" s="15"/>
    </row>
    <row r="19" spans="1:16" ht="12.75" customHeight="1" x14ac:dyDescent="0.2">
      <c r="A19">
        <f>+MAX($A$8:A18)+1</f>
        <v>11</v>
      </c>
      <c r="B19" t="s">
        <v>17</v>
      </c>
      <c r="C19" t="s">
        <v>18</v>
      </c>
      <c r="D19" t="s">
        <v>10</v>
      </c>
      <c r="E19" s="29">
        <v>16679</v>
      </c>
      <c r="F19" s="14">
        <v>44.699719999999999</v>
      </c>
      <c r="G19" s="15">
        <f t="shared" si="0"/>
        <v>2.46E-2</v>
      </c>
      <c r="H19" s="16"/>
      <c r="J19" s="15" t="s">
        <v>19</v>
      </c>
      <c r="K19" s="49">
        <f t="shared" si="1"/>
        <v>1.5299999999999999E-2</v>
      </c>
      <c r="M19" s="37"/>
      <c r="N19" s="15"/>
      <c r="P19" s="15"/>
    </row>
    <row r="20" spans="1:16" ht="12.75" customHeight="1" x14ac:dyDescent="0.2">
      <c r="A20">
        <f>+MAX($A$8:A19)+1</f>
        <v>12</v>
      </c>
      <c r="B20" t="s">
        <v>241</v>
      </c>
      <c r="C20" t="s">
        <v>101</v>
      </c>
      <c r="D20" t="s">
        <v>26</v>
      </c>
      <c r="E20" s="29">
        <v>3210</v>
      </c>
      <c r="F20" s="14">
        <v>42.299774999999997</v>
      </c>
      <c r="G20" s="15">
        <f t="shared" si="0"/>
        <v>2.3199999999999998E-2</v>
      </c>
      <c r="H20" s="16"/>
      <c r="J20" s="15" t="s">
        <v>34</v>
      </c>
      <c r="K20" s="49">
        <f t="shared" si="1"/>
        <v>1.4E-2</v>
      </c>
      <c r="M20" s="37"/>
      <c r="N20" s="15"/>
      <c r="P20" s="15"/>
    </row>
    <row r="21" spans="1:16" ht="12.75" customHeight="1" x14ac:dyDescent="0.2">
      <c r="A21">
        <f>+MAX($A$8:A20)+1</f>
        <v>13</v>
      </c>
      <c r="B21" t="s">
        <v>243</v>
      </c>
      <c r="C21" t="s">
        <v>103</v>
      </c>
      <c r="D21" t="s">
        <v>10</v>
      </c>
      <c r="E21" s="29">
        <v>2289</v>
      </c>
      <c r="F21" s="14">
        <v>38.472367499999997</v>
      </c>
      <c r="G21" s="15">
        <f t="shared" si="0"/>
        <v>2.1100000000000001E-2</v>
      </c>
      <c r="H21" s="16"/>
      <c r="J21" s="15" t="s">
        <v>99</v>
      </c>
      <c r="K21" s="49">
        <f t="shared" si="1"/>
        <v>1.3100000000000001E-2</v>
      </c>
      <c r="M21" s="37"/>
      <c r="N21" s="15"/>
      <c r="P21" s="15"/>
    </row>
    <row r="22" spans="1:16" ht="12.75" customHeight="1" x14ac:dyDescent="0.2">
      <c r="A22">
        <f>+MAX($A$8:A21)+1</f>
        <v>14</v>
      </c>
      <c r="B22" t="s">
        <v>219</v>
      </c>
      <c r="C22" t="s">
        <v>29</v>
      </c>
      <c r="D22" t="s">
        <v>10</v>
      </c>
      <c r="E22" s="29">
        <v>7144</v>
      </c>
      <c r="F22" s="14">
        <v>37.773899999999998</v>
      </c>
      <c r="G22" s="15">
        <f t="shared" si="0"/>
        <v>2.0799999999999999E-2</v>
      </c>
      <c r="H22" s="16"/>
      <c r="J22" s="15" t="s">
        <v>106</v>
      </c>
      <c r="K22" s="49">
        <f t="shared" si="1"/>
        <v>1.29E-2</v>
      </c>
      <c r="M22" s="37"/>
      <c r="N22" s="15"/>
      <c r="P22" s="15"/>
    </row>
    <row r="23" spans="1:16" ht="12.75" customHeight="1" x14ac:dyDescent="0.2">
      <c r="A23">
        <f>+MAX($A$8:A22)+1</f>
        <v>15</v>
      </c>
      <c r="B23" t="s">
        <v>198</v>
      </c>
      <c r="C23" t="s">
        <v>22</v>
      </c>
      <c r="D23" t="s">
        <v>21</v>
      </c>
      <c r="E23" s="29">
        <v>8304</v>
      </c>
      <c r="F23" s="14">
        <v>30.716495999999999</v>
      </c>
      <c r="G23" s="15">
        <f t="shared" si="0"/>
        <v>1.6899999999999998E-2</v>
      </c>
      <c r="H23" s="16"/>
      <c r="J23" s="15" t="s">
        <v>51</v>
      </c>
      <c r="K23" s="49">
        <f t="shared" si="1"/>
        <v>0.01</v>
      </c>
      <c r="M23" s="37"/>
      <c r="N23" s="15"/>
      <c r="P23" s="15"/>
    </row>
    <row r="24" spans="1:16" ht="12.75" customHeight="1" x14ac:dyDescent="0.2">
      <c r="A24">
        <f>+MAX($A$8:A23)+1</f>
        <v>16</v>
      </c>
      <c r="B24" t="s">
        <v>242</v>
      </c>
      <c r="C24" t="s">
        <v>100</v>
      </c>
      <c r="D24" t="s">
        <v>21</v>
      </c>
      <c r="E24" s="29">
        <v>4190</v>
      </c>
      <c r="F24" s="14">
        <v>30.517865</v>
      </c>
      <c r="G24" s="15">
        <f t="shared" si="0"/>
        <v>1.6799999999999999E-2</v>
      </c>
      <c r="H24" s="16"/>
      <c r="J24" s="15" t="s">
        <v>37</v>
      </c>
      <c r="K24" s="49">
        <f t="shared" si="1"/>
        <v>7.7000000000000002E-3</v>
      </c>
      <c r="M24" s="37"/>
      <c r="N24" s="15"/>
      <c r="P24" s="15"/>
    </row>
    <row r="25" spans="1:16" ht="12.75" customHeight="1" x14ac:dyDescent="0.2">
      <c r="A25">
        <f>+MAX($A$8:A24)+1</f>
        <v>17</v>
      </c>
      <c r="B25" t="s">
        <v>440</v>
      </c>
      <c r="C25" t="s">
        <v>441</v>
      </c>
      <c r="D25" t="s">
        <v>45</v>
      </c>
      <c r="E25" s="29">
        <v>8352</v>
      </c>
      <c r="F25" s="14">
        <v>27.54072</v>
      </c>
      <c r="G25" s="15">
        <f t="shared" si="0"/>
        <v>1.5100000000000001E-2</v>
      </c>
      <c r="H25" s="16"/>
      <c r="J25" s="15" t="s">
        <v>102</v>
      </c>
      <c r="K25" s="49">
        <f t="shared" si="1"/>
        <v>7.6E-3</v>
      </c>
      <c r="M25" s="37"/>
      <c r="N25" s="15"/>
      <c r="P25" s="15"/>
    </row>
    <row r="26" spans="1:16" ht="12.75" customHeight="1" x14ac:dyDescent="0.2">
      <c r="A26">
        <f>+MAX($A$8:A25)+1</f>
        <v>18</v>
      </c>
      <c r="B26" t="s">
        <v>253</v>
      </c>
      <c r="C26" t="s">
        <v>542</v>
      </c>
      <c r="D26" t="s">
        <v>10</v>
      </c>
      <c r="E26" s="29">
        <v>8259</v>
      </c>
      <c r="F26" s="14">
        <v>26.618757000000002</v>
      </c>
      <c r="G26" s="15">
        <f t="shared" si="0"/>
        <v>1.46E-2</v>
      </c>
      <c r="H26" s="16"/>
      <c r="J26" s="15" t="s">
        <v>47</v>
      </c>
      <c r="K26" s="49">
        <f t="shared" si="1"/>
        <v>7.3000000000000001E-3</v>
      </c>
      <c r="M26" s="37"/>
      <c r="N26" s="15"/>
      <c r="P26" s="15"/>
    </row>
    <row r="27" spans="1:16" ht="12.75" customHeight="1" x14ac:dyDescent="0.2">
      <c r="A27">
        <f>+MAX($A$8:A26)+1</f>
        <v>19</v>
      </c>
      <c r="B27" t="s">
        <v>430</v>
      </c>
      <c r="C27" t="s">
        <v>68</v>
      </c>
      <c r="D27" t="s">
        <v>23</v>
      </c>
      <c r="E27" s="29">
        <v>4959</v>
      </c>
      <c r="F27" s="14">
        <v>26.5480065</v>
      </c>
      <c r="G27" s="15">
        <f t="shared" si="0"/>
        <v>1.46E-2</v>
      </c>
      <c r="H27" s="16"/>
      <c r="J27" t="s">
        <v>132</v>
      </c>
      <c r="K27" s="49">
        <f t="shared" si="1"/>
        <v>6.6E-3</v>
      </c>
      <c r="M27" s="37"/>
      <c r="N27" s="15"/>
      <c r="P27" s="15"/>
    </row>
    <row r="28" spans="1:16" ht="12.75" customHeight="1" x14ac:dyDescent="0.2">
      <c r="A28">
        <f>+MAX($A$8:A27)+1</f>
        <v>20</v>
      </c>
      <c r="B28" t="s">
        <v>216</v>
      </c>
      <c r="C28" t="s">
        <v>65</v>
      </c>
      <c r="D28" t="s">
        <v>34</v>
      </c>
      <c r="E28" s="29">
        <v>5928</v>
      </c>
      <c r="F28" s="14">
        <v>25.404443999999998</v>
      </c>
      <c r="G28" s="15">
        <f t="shared" si="0"/>
        <v>1.4E-2</v>
      </c>
      <c r="H28" s="16"/>
      <c r="J28" s="15" t="s">
        <v>346</v>
      </c>
      <c r="K28" s="49">
        <f t="shared" si="1"/>
        <v>6.6E-3</v>
      </c>
      <c r="M28" s="37"/>
      <c r="N28" s="15"/>
      <c r="P28" s="15"/>
    </row>
    <row r="29" spans="1:16" ht="12.75" customHeight="1" x14ac:dyDescent="0.2">
      <c r="A29">
        <f>+MAX($A$8:A28)+1</f>
        <v>21</v>
      </c>
      <c r="B29" t="s">
        <v>245</v>
      </c>
      <c r="C29" t="s">
        <v>107</v>
      </c>
      <c r="D29" t="s">
        <v>99</v>
      </c>
      <c r="E29" s="29">
        <v>12687</v>
      </c>
      <c r="F29" s="14">
        <v>23.889621000000002</v>
      </c>
      <c r="G29" s="15">
        <f t="shared" si="0"/>
        <v>1.3100000000000001E-2</v>
      </c>
      <c r="H29" s="16"/>
      <c r="J29" s="15" t="s">
        <v>38</v>
      </c>
      <c r="K29" s="49">
        <f t="shared" si="1"/>
        <v>4.1999999999999997E-3</v>
      </c>
      <c r="N29" s="15"/>
      <c r="P29" s="15"/>
    </row>
    <row r="30" spans="1:16" ht="12.75" customHeight="1" x14ac:dyDescent="0.2">
      <c r="A30">
        <f>+MAX($A$8:A29)+1</f>
        <v>22</v>
      </c>
      <c r="B30" t="s">
        <v>199</v>
      </c>
      <c r="C30" t="s">
        <v>25</v>
      </c>
      <c r="D30" t="s">
        <v>15</v>
      </c>
      <c r="E30" s="29">
        <v>2502</v>
      </c>
      <c r="F30" s="14">
        <v>23.526306000000002</v>
      </c>
      <c r="G30" s="15">
        <f t="shared" si="0"/>
        <v>1.29E-2</v>
      </c>
      <c r="H30" s="16"/>
      <c r="J30" s="15" t="s">
        <v>64</v>
      </c>
      <c r="K30" s="49">
        <f>+SUMIFS($G$5:$G$996,$B$5:$B$996,"CBLO / Reverse Repo Investments")+SUMIFS($G$5:$G$996,$B$5:$B$996,"Net Receivable/Payable")</f>
        <v>7.000000000000001E-4</v>
      </c>
      <c r="N30" s="15"/>
      <c r="P30" s="15"/>
    </row>
    <row r="31" spans="1:16" ht="12.75" customHeight="1" x14ac:dyDescent="0.2">
      <c r="A31">
        <f>+MAX($A$8:A30)+1</f>
        <v>23</v>
      </c>
      <c r="B31" t="s">
        <v>258</v>
      </c>
      <c r="C31" t="s">
        <v>122</v>
      </c>
      <c r="D31" t="s">
        <v>106</v>
      </c>
      <c r="E31" s="29">
        <v>3493</v>
      </c>
      <c r="F31" s="14">
        <v>23.458987999999998</v>
      </c>
      <c r="G31" s="15">
        <f t="shared" si="0"/>
        <v>1.29E-2</v>
      </c>
      <c r="H31" s="16"/>
      <c r="L31" s="55"/>
      <c r="M31" s="37"/>
      <c r="N31" s="15"/>
      <c r="P31" s="15"/>
    </row>
    <row r="32" spans="1:16" ht="12.75" customHeight="1" x14ac:dyDescent="0.2">
      <c r="A32">
        <f>+MAX($A$8:A31)+1</f>
        <v>24</v>
      </c>
      <c r="B32" t="s">
        <v>247</v>
      </c>
      <c r="C32" t="s">
        <v>110</v>
      </c>
      <c r="D32" t="s">
        <v>26</v>
      </c>
      <c r="E32" s="29">
        <v>2026</v>
      </c>
      <c r="F32" s="14">
        <v>22.645614999999999</v>
      </c>
      <c r="G32" s="15">
        <f t="shared" si="0"/>
        <v>1.24E-2</v>
      </c>
      <c r="H32" s="16"/>
      <c r="J32" s="15"/>
      <c r="L32" s="55">
        <f>+SUM($K$9:K32)</f>
        <v>1.0000000000000002</v>
      </c>
    </row>
    <row r="33" spans="1:13" ht="12.75" customHeight="1" x14ac:dyDescent="0.2">
      <c r="A33">
        <f>+MAX($A$8:A32)+1</f>
        <v>25</v>
      </c>
      <c r="B33" t="s">
        <v>252</v>
      </c>
      <c r="C33" t="s">
        <v>115</v>
      </c>
      <c r="D33" t="s">
        <v>36</v>
      </c>
      <c r="E33" s="29">
        <v>13709</v>
      </c>
      <c r="F33" s="14">
        <v>22.379942499999999</v>
      </c>
      <c r="G33" s="15">
        <f t="shared" si="0"/>
        <v>1.23E-2</v>
      </c>
      <c r="H33" s="16"/>
    </row>
    <row r="34" spans="1:13" ht="12.75" customHeight="1" x14ac:dyDescent="0.2">
      <c r="A34">
        <f>+MAX($A$8:A33)+1</f>
        <v>26</v>
      </c>
      <c r="B34" t="s">
        <v>250</v>
      </c>
      <c r="C34" t="s">
        <v>112</v>
      </c>
      <c r="D34" t="s">
        <v>21</v>
      </c>
      <c r="E34" s="29">
        <v>583</v>
      </c>
      <c r="F34" s="14">
        <v>20.968761000000001</v>
      </c>
      <c r="G34" s="15">
        <f t="shared" si="0"/>
        <v>1.15E-2</v>
      </c>
      <c r="H34" s="16"/>
      <c r="M34" s="15"/>
    </row>
    <row r="35" spans="1:13" ht="12.75" customHeight="1" x14ac:dyDescent="0.2">
      <c r="A35">
        <f>+MAX($A$8:A34)+1</f>
        <v>27</v>
      </c>
      <c r="B35" t="s">
        <v>249</v>
      </c>
      <c r="C35" t="s">
        <v>114</v>
      </c>
      <c r="D35" t="s">
        <v>36</v>
      </c>
      <c r="E35" s="29">
        <v>9874</v>
      </c>
      <c r="F35" s="14">
        <v>19.520897999999999</v>
      </c>
      <c r="G35" s="15">
        <f t="shared" si="0"/>
        <v>1.0699999999999999E-2</v>
      </c>
      <c r="H35" s="16"/>
    </row>
    <row r="36" spans="1:13" ht="12.75" customHeight="1" x14ac:dyDescent="0.2">
      <c r="A36">
        <f>+MAX($A$8:A35)+1</f>
        <v>28</v>
      </c>
      <c r="B36" t="s">
        <v>206</v>
      </c>
      <c r="C36" t="s">
        <v>53</v>
      </c>
      <c r="D36" t="s">
        <v>19</v>
      </c>
      <c r="E36" s="29">
        <v>469</v>
      </c>
      <c r="F36" s="14">
        <v>19.489763999999997</v>
      </c>
      <c r="G36" s="15">
        <f t="shared" si="0"/>
        <v>1.0699999999999999E-2</v>
      </c>
      <c r="H36" s="16"/>
    </row>
    <row r="37" spans="1:13" ht="12.75" customHeight="1" x14ac:dyDescent="0.2">
      <c r="A37">
        <f>+MAX($A$8:A36)+1</f>
        <v>29</v>
      </c>
      <c r="B37" t="s">
        <v>201</v>
      </c>
      <c r="C37" t="s">
        <v>39</v>
      </c>
      <c r="D37" t="s">
        <v>21</v>
      </c>
      <c r="E37" s="29">
        <v>611</v>
      </c>
      <c r="F37" s="14">
        <v>18.455866</v>
      </c>
      <c r="G37" s="15">
        <f t="shared" si="0"/>
        <v>1.01E-2</v>
      </c>
      <c r="H37" s="16"/>
    </row>
    <row r="38" spans="1:13" ht="12.75" customHeight="1" x14ac:dyDescent="0.2">
      <c r="A38">
        <f>+MAX($A$8:A37)+1</f>
        <v>30</v>
      </c>
      <c r="B38" t="s">
        <v>349</v>
      </c>
      <c r="C38" t="s">
        <v>350</v>
      </c>
      <c r="D38" t="s">
        <v>24</v>
      </c>
      <c r="E38" s="29">
        <v>1455</v>
      </c>
      <c r="F38" s="14">
        <v>18.247154999999999</v>
      </c>
      <c r="G38" s="15">
        <f t="shared" si="0"/>
        <v>0.01</v>
      </c>
      <c r="H38" s="16"/>
    </row>
    <row r="39" spans="1:13" ht="12.75" customHeight="1" x14ac:dyDescent="0.2">
      <c r="A39">
        <f>+MAX($A$8:A38)+1</f>
        <v>31</v>
      </c>
      <c r="B39" t="s">
        <v>230</v>
      </c>
      <c r="C39" t="s">
        <v>79</v>
      </c>
      <c r="D39" t="s">
        <v>51</v>
      </c>
      <c r="E39" s="29">
        <v>5858</v>
      </c>
      <c r="F39" s="14">
        <v>18.110007</v>
      </c>
      <c r="G39" s="15">
        <f t="shared" si="0"/>
        <v>0.01</v>
      </c>
      <c r="H39" s="16"/>
    </row>
    <row r="40" spans="1:13" ht="12.75" customHeight="1" x14ac:dyDescent="0.2">
      <c r="A40">
        <f>+MAX($A$8:A39)+1</f>
        <v>32</v>
      </c>
      <c r="B40" t="s">
        <v>273</v>
      </c>
      <c r="C40" t="s">
        <v>365</v>
      </c>
      <c r="D40" t="s">
        <v>24</v>
      </c>
      <c r="E40" s="29">
        <v>1062</v>
      </c>
      <c r="F40" s="14">
        <v>17.419454999999999</v>
      </c>
      <c r="G40" s="15">
        <f t="shared" si="0"/>
        <v>9.5999999999999992E-3</v>
      </c>
      <c r="H40" s="16"/>
    </row>
    <row r="41" spans="1:13" ht="12.75" customHeight="1" x14ac:dyDescent="0.2">
      <c r="A41">
        <f>+MAX($A$8:A40)+1</f>
        <v>33</v>
      </c>
      <c r="B41" t="s">
        <v>288</v>
      </c>
      <c r="C41" t="s">
        <v>177</v>
      </c>
      <c r="D41" t="s">
        <v>30</v>
      </c>
      <c r="E41" s="29">
        <v>4582</v>
      </c>
      <c r="F41" s="14">
        <v>17.379526000000002</v>
      </c>
      <c r="G41" s="15">
        <f t="shared" si="0"/>
        <v>9.4999999999999998E-3</v>
      </c>
      <c r="H41" s="16"/>
    </row>
    <row r="42" spans="1:13" ht="12.75" customHeight="1" x14ac:dyDescent="0.2">
      <c r="A42">
        <f>+MAX($A$8:A41)+1</f>
        <v>34</v>
      </c>
      <c r="B42" t="s">
        <v>251</v>
      </c>
      <c r="C42" t="s">
        <v>113</v>
      </c>
      <c r="D42" t="s">
        <v>15</v>
      </c>
      <c r="E42" s="29">
        <v>2810</v>
      </c>
      <c r="F42" s="14">
        <v>17.215464999999998</v>
      </c>
      <c r="G42" s="15">
        <f t="shared" si="0"/>
        <v>9.4999999999999998E-3</v>
      </c>
      <c r="H42" s="16"/>
    </row>
    <row r="43" spans="1:13" ht="12.75" customHeight="1" x14ac:dyDescent="0.2">
      <c r="A43">
        <f>+MAX($A$8:A42)+1</f>
        <v>35</v>
      </c>
      <c r="B43" t="s">
        <v>271</v>
      </c>
      <c r="C43" t="s">
        <v>142</v>
      </c>
      <c r="D43" t="s">
        <v>21</v>
      </c>
      <c r="E43" s="29">
        <v>60</v>
      </c>
      <c r="F43" s="14">
        <v>16.46265</v>
      </c>
      <c r="G43" s="15">
        <f t="shared" si="0"/>
        <v>8.9999999999999993E-3</v>
      </c>
      <c r="H43" s="16"/>
    </row>
    <row r="44" spans="1:13" ht="12.75" customHeight="1" x14ac:dyDescent="0.2">
      <c r="A44">
        <f>+MAX($A$8:A43)+1</f>
        <v>36</v>
      </c>
      <c r="B44" t="s">
        <v>262</v>
      </c>
      <c r="C44" t="s">
        <v>124</v>
      </c>
      <c r="D44" t="s">
        <v>45</v>
      </c>
      <c r="E44" s="29">
        <v>6557</v>
      </c>
      <c r="F44" s="14">
        <v>16.090878</v>
      </c>
      <c r="G44" s="15">
        <f t="shared" si="0"/>
        <v>8.8000000000000005E-3</v>
      </c>
      <c r="H44" s="16"/>
    </row>
    <row r="45" spans="1:13" ht="12.75" customHeight="1" x14ac:dyDescent="0.2">
      <c r="A45">
        <f>+MAX($A$8:A44)+1</f>
        <v>37</v>
      </c>
      <c r="B45" t="s">
        <v>254</v>
      </c>
      <c r="C45" t="s">
        <v>117</v>
      </c>
      <c r="D45" t="s">
        <v>30</v>
      </c>
      <c r="E45" s="29">
        <v>3509</v>
      </c>
      <c r="F45" s="14">
        <v>15.0729095</v>
      </c>
      <c r="G45" s="15">
        <f t="shared" si="0"/>
        <v>8.3000000000000001E-3</v>
      </c>
      <c r="H45" s="16"/>
    </row>
    <row r="46" spans="1:13" ht="12.75" customHeight="1" x14ac:dyDescent="0.2">
      <c r="A46">
        <f>+MAX($A$8:A45)+1</f>
        <v>38</v>
      </c>
      <c r="B46" t="s">
        <v>248</v>
      </c>
      <c r="C46" t="s">
        <v>111</v>
      </c>
      <c r="D46" t="s">
        <v>15</v>
      </c>
      <c r="E46" s="29">
        <v>5081</v>
      </c>
      <c r="F46" s="14">
        <v>14.877168000000001</v>
      </c>
      <c r="G46" s="15">
        <f t="shared" si="0"/>
        <v>8.2000000000000007E-3</v>
      </c>
      <c r="H46" s="16"/>
    </row>
    <row r="47" spans="1:13" ht="12.75" customHeight="1" x14ac:dyDescent="0.2">
      <c r="A47">
        <f>+MAX($A$8:A46)+1</f>
        <v>39</v>
      </c>
      <c r="B47" t="s">
        <v>256</v>
      </c>
      <c r="C47" t="s">
        <v>116</v>
      </c>
      <c r="D47" t="s">
        <v>37</v>
      </c>
      <c r="E47" s="29">
        <v>3443</v>
      </c>
      <c r="F47" s="14">
        <v>14.059490500000001</v>
      </c>
      <c r="G47" s="15">
        <f t="shared" si="0"/>
        <v>7.7000000000000002E-3</v>
      </c>
      <c r="H47" s="16"/>
    </row>
    <row r="48" spans="1:13" ht="12.75" customHeight="1" x14ac:dyDescent="0.2">
      <c r="A48">
        <f>+MAX($A$8:A47)+1</f>
        <v>40</v>
      </c>
      <c r="B48" t="s">
        <v>255</v>
      </c>
      <c r="C48" t="s">
        <v>118</v>
      </c>
      <c r="D48" t="s">
        <v>102</v>
      </c>
      <c r="E48" s="29">
        <v>2460</v>
      </c>
      <c r="F48" s="14">
        <v>13.90761</v>
      </c>
      <c r="G48" s="15">
        <f t="shared" si="0"/>
        <v>7.6E-3</v>
      </c>
      <c r="H48" s="16"/>
    </row>
    <row r="49" spans="1:9" ht="12.75" customHeight="1" x14ac:dyDescent="0.2">
      <c r="A49">
        <f>+MAX($A$8:A48)+1</f>
        <v>41</v>
      </c>
      <c r="B49" t="s">
        <v>210</v>
      </c>
      <c r="C49" t="s">
        <v>69</v>
      </c>
      <c r="D49" t="s">
        <v>23</v>
      </c>
      <c r="E49" s="29">
        <v>2279</v>
      </c>
      <c r="F49" s="14">
        <v>13.438123500000001</v>
      </c>
      <c r="G49" s="15">
        <f t="shared" si="0"/>
        <v>7.4000000000000003E-3</v>
      </c>
      <c r="H49" s="16"/>
    </row>
    <row r="50" spans="1:9" ht="12.75" customHeight="1" x14ac:dyDescent="0.2">
      <c r="A50">
        <f>+MAX($A$8:A49)+1</f>
        <v>42</v>
      </c>
      <c r="B50" t="s">
        <v>257</v>
      </c>
      <c r="C50" t="s">
        <v>119</v>
      </c>
      <c r="D50" t="s">
        <v>47</v>
      </c>
      <c r="E50" s="29">
        <v>2888</v>
      </c>
      <c r="F50" s="14">
        <v>13.2126</v>
      </c>
      <c r="G50" s="15">
        <f t="shared" si="0"/>
        <v>7.3000000000000001E-3</v>
      </c>
      <c r="H50" s="16"/>
    </row>
    <row r="51" spans="1:9" ht="12.75" customHeight="1" x14ac:dyDescent="0.2">
      <c r="A51">
        <f>+MAX($A$8:A50)+1</f>
        <v>43</v>
      </c>
      <c r="B51" t="s">
        <v>231</v>
      </c>
      <c r="C51" t="s">
        <v>80</v>
      </c>
      <c r="D51" t="s">
        <v>30</v>
      </c>
      <c r="E51" s="29">
        <v>3355</v>
      </c>
      <c r="F51" s="14">
        <v>12.754032499999999</v>
      </c>
      <c r="G51" s="15">
        <f t="shared" si="0"/>
        <v>7.0000000000000001E-3</v>
      </c>
      <c r="H51" s="16"/>
    </row>
    <row r="52" spans="1:9" ht="12.75" customHeight="1" x14ac:dyDescent="0.2">
      <c r="A52">
        <f>+MAX($A$8:A51)+1</f>
        <v>44</v>
      </c>
      <c r="B52" t="s">
        <v>246</v>
      </c>
      <c r="C52" t="s">
        <v>109</v>
      </c>
      <c r="D52" t="s">
        <v>23</v>
      </c>
      <c r="E52" s="29">
        <v>544</v>
      </c>
      <c r="F52" s="14">
        <v>12.170640000000001</v>
      </c>
      <c r="G52" s="15">
        <f t="shared" si="0"/>
        <v>6.7000000000000002E-3</v>
      </c>
      <c r="H52" s="16"/>
    </row>
    <row r="53" spans="1:9" ht="12.75" customHeight="1" x14ac:dyDescent="0.2">
      <c r="A53">
        <f>+MAX($A$8:A52)+1</f>
        <v>45</v>
      </c>
      <c r="B53" t="s">
        <v>326</v>
      </c>
      <c r="C53" t="s">
        <v>327</v>
      </c>
      <c r="D53" t="s">
        <v>346</v>
      </c>
      <c r="E53" s="29">
        <v>3491</v>
      </c>
      <c r="F53" s="14">
        <v>12.103297</v>
      </c>
      <c r="G53" s="15">
        <f t="shared" si="0"/>
        <v>6.6E-3</v>
      </c>
      <c r="H53" s="16"/>
    </row>
    <row r="54" spans="1:9" ht="12.75" customHeight="1" x14ac:dyDescent="0.2">
      <c r="A54">
        <f>+MAX($A$8:A53)+1</f>
        <v>46</v>
      </c>
      <c r="B54" t="s">
        <v>283</v>
      </c>
      <c r="C54" t="s">
        <v>156</v>
      </c>
      <c r="D54" t="s">
        <v>132</v>
      </c>
      <c r="E54" s="29">
        <v>1645</v>
      </c>
      <c r="F54" s="14">
        <v>11.987937499999999</v>
      </c>
      <c r="G54" s="15">
        <f t="shared" si="0"/>
        <v>6.6E-3</v>
      </c>
      <c r="H54" s="16"/>
    </row>
    <row r="55" spans="1:9" ht="12.75" customHeight="1" x14ac:dyDescent="0.2">
      <c r="A55">
        <f>+MAX($A$8:A54)+1</f>
        <v>47</v>
      </c>
      <c r="B55" t="s">
        <v>244</v>
      </c>
      <c r="C55" t="s">
        <v>104</v>
      </c>
      <c r="D55" t="s">
        <v>23</v>
      </c>
      <c r="E55" s="29">
        <v>1076</v>
      </c>
      <c r="F55" s="14">
        <v>8.8226619999999993</v>
      </c>
      <c r="G55" s="15">
        <f t="shared" si="0"/>
        <v>4.7999999999999996E-3</v>
      </c>
      <c r="H55" s="16"/>
    </row>
    <row r="56" spans="1:9" ht="12.75" customHeight="1" x14ac:dyDescent="0.2">
      <c r="A56">
        <f>+MAX($A$8:A55)+1</f>
        <v>48</v>
      </c>
      <c r="B56" t="s">
        <v>260</v>
      </c>
      <c r="C56" t="s">
        <v>121</v>
      </c>
      <c r="D56" t="s">
        <v>19</v>
      </c>
      <c r="E56" s="29">
        <v>3301</v>
      </c>
      <c r="F56" s="14">
        <v>8.3300734999999992</v>
      </c>
      <c r="G56" s="15">
        <f t="shared" si="0"/>
        <v>4.5999999999999999E-3</v>
      </c>
      <c r="H56" s="16"/>
    </row>
    <row r="57" spans="1:9" ht="12.75" customHeight="1" x14ac:dyDescent="0.2">
      <c r="A57">
        <f>+MAX($A$8:A56)+1</f>
        <v>49</v>
      </c>
      <c r="B57" t="s">
        <v>217</v>
      </c>
      <c r="C57" t="s">
        <v>61</v>
      </c>
      <c r="D57" t="s">
        <v>23</v>
      </c>
      <c r="E57" s="29">
        <v>1264</v>
      </c>
      <c r="F57" s="14">
        <v>7.7596959999999999</v>
      </c>
      <c r="G57" s="15">
        <f t="shared" si="0"/>
        <v>4.3E-3</v>
      </c>
      <c r="H57" s="16"/>
    </row>
    <row r="58" spans="1:9" ht="12.75" customHeight="1" x14ac:dyDescent="0.2">
      <c r="A58">
        <f>+MAX($A$8:A57)+1</f>
        <v>50</v>
      </c>
      <c r="B58" t="s">
        <v>259</v>
      </c>
      <c r="C58" t="s">
        <v>120</v>
      </c>
      <c r="D58" t="s">
        <v>38</v>
      </c>
      <c r="E58" s="29">
        <v>41</v>
      </c>
      <c r="F58" s="14">
        <v>7.6617930000000003</v>
      </c>
      <c r="G58" s="15">
        <f t="shared" si="0"/>
        <v>4.1999999999999997E-3</v>
      </c>
      <c r="H58" s="16"/>
    </row>
    <row r="59" spans="1:9" ht="12.75" customHeight="1" x14ac:dyDescent="0.2">
      <c r="B59" s="19" t="s">
        <v>85</v>
      </c>
      <c r="C59" s="19"/>
      <c r="D59" s="19"/>
      <c r="E59" s="30"/>
      <c r="F59" s="20">
        <f>SUM(F9:F58)</f>
        <v>1819.1427469999999</v>
      </c>
      <c r="G59" s="21">
        <f>SUM(G9:G58)</f>
        <v>0.9993000000000003</v>
      </c>
      <c r="H59" s="22"/>
      <c r="I59" s="36"/>
    </row>
    <row r="60" spans="1:9" ht="12.75" customHeight="1" x14ac:dyDescent="0.2">
      <c r="F60" s="14"/>
      <c r="G60" s="15"/>
      <c r="H60" s="16"/>
    </row>
    <row r="61" spans="1:9" ht="12.75" customHeight="1" x14ac:dyDescent="0.2">
      <c r="A61" s="96" t="s">
        <v>371</v>
      </c>
      <c r="B61" s="17" t="s">
        <v>93</v>
      </c>
      <c r="C61" s="17"/>
      <c r="F61" s="14">
        <v>3.3954</v>
      </c>
      <c r="G61" s="15">
        <f t="shared" ref="G61" si="2">+ROUND(F61/VLOOKUP("Grand Total",$B$4:$F$283,5,0),4)</f>
        <v>1.9E-3</v>
      </c>
      <c r="H61" s="16">
        <v>43160</v>
      </c>
    </row>
    <row r="62" spans="1:9" ht="12.75" customHeight="1" x14ac:dyDescent="0.2">
      <c r="B62" s="19" t="s">
        <v>85</v>
      </c>
      <c r="C62" s="19"/>
      <c r="D62" s="19"/>
      <c r="E62" s="30"/>
      <c r="F62" s="20">
        <f>SUM(F61)</f>
        <v>3.3954</v>
      </c>
      <c r="G62" s="21">
        <f>SUM(G61)</f>
        <v>1.9E-3</v>
      </c>
      <c r="H62" s="22"/>
      <c r="I62" s="36"/>
    </row>
    <row r="63" spans="1:9" ht="12.75" customHeight="1" x14ac:dyDescent="0.2">
      <c r="F63" s="14"/>
      <c r="G63" s="15"/>
      <c r="H63" s="16"/>
    </row>
    <row r="64" spans="1:9" ht="12.75" customHeight="1" x14ac:dyDescent="0.2">
      <c r="B64" s="17" t="s">
        <v>94</v>
      </c>
      <c r="C64" s="17"/>
      <c r="F64" s="14"/>
      <c r="G64" s="15"/>
      <c r="H64" s="16"/>
    </row>
    <row r="65" spans="2:9" ht="12.75" customHeight="1" x14ac:dyDescent="0.2">
      <c r="B65" s="17" t="s">
        <v>95</v>
      </c>
      <c r="C65" s="17"/>
      <c r="F65" s="14">
        <v>-2.4444344000005458</v>
      </c>
      <c r="G65" s="123">
        <f>+ROUND(F65/VLOOKUP("Grand Total",$B$4:$F$283,5,0),4)+0.01%</f>
        <v>-1.1999999999999999E-3</v>
      </c>
      <c r="H65" s="16"/>
    </row>
    <row r="66" spans="2:9" ht="12.75" customHeight="1" x14ac:dyDescent="0.2">
      <c r="B66" s="19" t="s">
        <v>85</v>
      </c>
      <c r="C66" s="19"/>
      <c r="D66" s="19"/>
      <c r="E66" s="30"/>
      <c r="F66" s="20">
        <f>SUM(F65)</f>
        <v>-2.4444344000005458</v>
      </c>
      <c r="G66" s="124">
        <f>SUM(G65)</f>
        <v>-1.1999999999999999E-3</v>
      </c>
      <c r="H66" s="22"/>
      <c r="I66" s="36"/>
    </row>
    <row r="67" spans="2:9" ht="12.75" customHeight="1" x14ac:dyDescent="0.2">
      <c r="B67" s="23" t="s">
        <v>96</v>
      </c>
      <c r="C67" s="23"/>
      <c r="D67" s="23"/>
      <c r="E67" s="31"/>
      <c r="F67" s="24">
        <f>+SUMIF($B$5:B66,"Total",$F$5:F66)</f>
        <v>1820.0937125999994</v>
      </c>
      <c r="G67" s="25">
        <f>+SUMIF($B$5:B66,"Total",$G$5:G66)</f>
        <v>1.0000000000000002</v>
      </c>
      <c r="H67" s="26"/>
      <c r="I67" s="36"/>
    </row>
    <row r="68" spans="2:9" ht="12.75" customHeight="1" x14ac:dyDescent="0.2"/>
    <row r="69" spans="2:9" ht="12.75" customHeight="1" x14ac:dyDescent="0.2">
      <c r="B69" s="17"/>
      <c r="C69" s="17"/>
    </row>
    <row r="70" spans="2:9" ht="12.75" customHeight="1" x14ac:dyDescent="0.2">
      <c r="B70" s="17"/>
      <c r="C70" s="17"/>
    </row>
    <row r="71" spans="2:9" ht="12.75" customHeight="1" x14ac:dyDescent="0.2">
      <c r="B71" s="17"/>
      <c r="C71" s="17"/>
    </row>
    <row r="72" spans="2:9" ht="12.75" customHeight="1" x14ac:dyDescent="0.2">
      <c r="B72" s="17"/>
      <c r="C72" s="17"/>
    </row>
    <row r="73" spans="2:9" ht="12.75" customHeight="1" x14ac:dyDescent="0.2">
      <c r="B73" s="17"/>
      <c r="C73" s="17"/>
    </row>
    <row r="74" spans="2:9" ht="12.75" customHeight="1" x14ac:dyDescent="0.2"/>
    <row r="75" spans="2:9" ht="12.75" customHeight="1" x14ac:dyDescent="0.2"/>
    <row r="76" spans="2:9" ht="12.75" customHeight="1" x14ac:dyDescent="0.2"/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EDB3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.28515625" style="37" bestFit="1" customWidth="1"/>
  </cols>
  <sheetData>
    <row r="1" spans="1:12" ht="18.75" x14ac:dyDescent="0.2">
      <c r="A1" s="95" t="s">
        <v>390</v>
      </c>
      <c r="B1" s="126" t="s">
        <v>489</v>
      </c>
      <c r="C1" s="127"/>
      <c r="D1" s="127"/>
      <c r="E1" s="127"/>
      <c r="F1" s="127"/>
      <c r="G1" s="127"/>
      <c r="H1" s="128"/>
    </row>
    <row r="2" spans="1:12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2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2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2" ht="12.75" customHeight="1" x14ac:dyDescent="0.2">
      <c r="F5" s="14"/>
      <c r="G5" s="15"/>
      <c r="H5" s="16"/>
    </row>
    <row r="6" spans="1:12" ht="12.75" customHeight="1" x14ac:dyDescent="0.2">
      <c r="F6" s="14"/>
      <c r="G6" s="15"/>
      <c r="H6" s="16"/>
    </row>
    <row r="7" spans="1:12" ht="12.75" customHeight="1" x14ac:dyDescent="0.2">
      <c r="B7" s="17" t="s">
        <v>92</v>
      </c>
      <c r="C7" s="17"/>
      <c r="F7" s="14"/>
      <c r="G7" s="15"/>
      <c r="H7" s="16"/>
    </row>
    <row r="8" spans="1:12" ht="12.75" customHeight="1" x14ac:dyDescent="0.2">
      <c r="A8">
        <f>+MAX($A$7:A7)+1</f>
        <v>1</v>
      </c>
      <c r="B8" t="s">
        <v>455</v>
      </c>
      <c r="C8" t="s">
        <v>300</v>
      </c>
      <c r="D8" t="s">
        <v>321</v>
      </c>
      <c r="E8" s="29">
        <v>144114.67319999999</v>
      </c>
      <c r="F8" s="14">
        <v>45.141471399999993</v>
      </c>
      <c r="G8" s="15">
        <f>+ROUND(F8/VLOOKUP("Grand Total",$B$4:$F$298,5,0),4)</f>
        <v>0.39319999999999999</v>
      </c>
      <c r="H8" s="16" t="s">
        <v>372</v>
      </c>
      <c r="J8" s="18" t="s">
        <v>699</v>
      </c>
      <c r="K8" s="38" t="s">
        <v>13</v>
      </c>
    </row>
    <row r="9" spans="1:12" ht="12.75" customHeight="1" x14ac:dyDescent="0.2">
      <c r="A9">
        <f>+MAX($A$7:A8)+1</f>
        <v>2</v>
      </c>
      <c r="B9" t="s">
        <v>456</v>
      </c>
      <c r="C9" t="s">
        <v>301</v>
      </c>
      <c r="D9" t="s">
        <v>321</v>
      </c>
      <c r="E9" s="29">
        <v>55925.794699999999</v>
      </c>
      <c r="F9" s="14">
        <v>35.099028799999999</v>
      </c>
      <c r="G9" s="15">
        <f>+ROUND(F9/VLOOKUP("Grand Total",$B$4:$F$298,5,0),4)</f>
        <v>0.30570000000000003</v>
      </c>
      <c r="H9" s="16" t="s">
        <v>372</v>
      </c>
      <c r="J9" s="15" t="s">
        <v>321</v>
      </c>
      <c r="K9" s="49">
        <f>SUMIFS($G$5:$G$321,$D$5:$D$321,J9)</f>
        <v>0.98180000000000012</v>
      </c>
    </row>
    <row r="10" spans="1:12" ht="12.75" customHeight="1" x14ac:dyDescent="0.2">
      <c r="A10">
        <f>+MAX($A$7:A9)+1</f>
        <v>3</v>
      </c>
      <c r="B10" t="s">
        <v>336</v>
      </c>
      <c r="C10" t="s">
        <v>302</v>
      </c>
      <c r="D10" t="s">
        <v>321</v>
      </c>
      <c r="E10" s="29">
        <v>689.96479999999997</v>
      </c>
      <c r="F10" s="14">
        <v>19.539397399999999</v>
      </c>
      <c r="G10" s="15">
        <f>+ROUND(F10/VLOOKUP("Grand Total",$B$4:$F$298,5,0),4)</f>
        <v>0.17019999999999999</v>
      </c>
      <c r="H10" s="16" t="s">
        <v>372</v>
      </c>
      <c r="J10" s="15" t="s">
        <v>64</v>
      </c>
      <c r="K10" s="49">
        <f>+SUMIFS($G$5:$G$996,$B$5:$B$996,"CBLO / Reverse Repo Investments")+SUMIFS($G$5:$G$996,$B$5:$B$996,"Net Receivable/Payable")</f>
        <v>1.8200000000000001E-2</v>
      </c>
    </row>
    <row r="11" spans="1:12" ht="12.75" customHeight="1" x14ac:dyDescent="0.2">
      <c r="A11">
        <f>+MAX($A$7:A10)+1</f>
        <v>4</v>
      </c>
      <c r="B11" t="s">
        <v>304</v>
      </c>
      <c r="C11" t="s">
        <v>303</v>
      </c>
      <c r="D11" t="s">
        <v>321</v>
      </c>
      <c r="E11" s="29">
        <v>11427.009400000001</v>
      </c>
      <c r="F11" s="14">
        <v>12.941088200000001</v>
      </c>
      <c r="G11" s="15">
        <f>+ROUND(F11/VLOOKUP("Grand Total",$B$4:$F$298,5,0),4)</f>
        <v>0.11269999999999999</v>
      </c>
      <c r="H11" s="16" t="s">
        <v>372</v>
      </c>
    </row>
    <row r="12" spans="1:12" ht="12.75" customHeight="1" x14ac:dyDescent="0.2">
      <c r="B12" s="19" t="s">
        <v>85</v>
      </c>
      <c r="C12" s="19"/>
      <c r="D12" s="19"/>
      <c r="E12" s="30"/>
      <c r="F12" s="20">
        <f>SUM(F8:F11)</f>
        <v>112.72098579999998</v>
      </c>
      <c r="G12" s="21">
        <f>SUM(G8:G11)</f>
        <v>0.98180000000000012</v>
      </c>
      <c r="H12" s="22"/>
      <c r="I12" s="36"/>
      <c r="L12" s="55">
        <f>+SUM($K$9:K9)</f>
        <v>0.98180000000000012</v>
      </c>
    </row>
    <row r="13" spans="1:12" ht="12.75" hidden="1" customHeight="1" x14ac:dyDescent="0.2">
      <c r="F13" s="14"/>
      <c r="G13" s="15"/>
      <c r="H13" s="16"/>
    </row>
    <row r="14" spans="1:12" ht="12.75" hidden="1" customHeight="1" x14ac:dyDescent="0.2">
      <c r="B14" s="17" t="s">
        <v>93</v>
      </c>
      <c r="C14" s="17"/>
      <c r="F14" s="14"/>
      <c r="G14" s="15">
        <f>+ROUND(F14/VLOOKUP("Grand Total",$B$4:$F$294,5,0),4)</f>
        <v>0</v>
      </c>
      <c r="H14" s="16"/>
    </row>
    <row r="15" spans="1:12" ht="12.75" hidden="1" customHeight="1" x14ac:dyDescent="0.2">
      <c r="B15" s="19" t="s">
        <v>85</v>
      </c>
      <c r="C15" s="19"/>
      <c r="D15" s="19"/>
      <c r="E15" s="30"/>
      <c r="F15" s="20">
        <f>SUM(F14:F14)</f>
        <v>0</v>
      </c>
      <c r="G15" s="21">
        <f>SUM(G14:G14)</f>
        <v>0</v>
      </c>
      <c r="H15" s="22"/>
      <c r="I15" s="36"/>
    </row>
    <row r="16" spans="1:12" ht="12.75" customHeight="1" x14ac:dyDescent="0.2">
      <c r="F16" s="14"/>
      <c r="G16" s="15"/>
      <c r="H16" s="16"/>
    </row>
    <row r="17" spans="1:9" ht="12.75" customHeight="1" x14ac:dyDescent="0.2">
      <c r="A17" s="96" t="s">
        <v>371</v>
      </c>
      <c r="B17" s="17" t="s">
        <v>93</v>
      </c>
      <c r="C17" s="17"/>
      <c r="F17" s="14">
        <v>2.2968899999999999</v>
      </c>
      <c r="G17" s="15">
        <f>+ROUND(F17/VLOOKUP("Grand Total",$B$4:$F$292,5,0),4)</f>
        <v>0.02</v>
      </c>
      <c r="H17" s="16">
        <v>43160</v>
      </c>
    </row>
    <row r="18" spans="1:9" ht="12.75" customHeight="1" x14ac:dyDescent="0.2">
      <c r="B18" s="19" t="s">
        <v>85</v>
      </c>
      <c r="C18" s="19"/>
      <c r="D18" s="19"/>
      <c r="E18" s="30"/>
      <c r="F18" s="20">
        <f>SUM(F17)</f>
        <v>2.2968899999999999</v>
      </c>
      <c r="G18" s="21">
        <f>SUM(G17)</f>
        <v>0.02</v>
      </c>
      <c r="H18" s="22"/>
      <c r="I18" s="36"/>
    </row>
    <row r="19" spans="1:9" ht="12.75" customHeight="1" x14ac:dyDescent="0.2">
      <c r="F19" s="14"/>
      <c r="G19" s="15"/>
      <c r="H19" s="16"/>
    </row>
    <row r="20" spans="1:9" ht="12.75" customHeight="1" x14ac:dyDescent="0.2">
      <c r="B20" s="17" t="s">
        <v>94</v>
      </c>
      <c r="C20" s="17"/>
      <c r="F20" s="14"/>
      <c r="G20" s="15"/>
      <c r="H20" s="16"/>
    </row>
    <row r="21" spans="1:9" ht="12.75" customHeight="1" x14ac:dyDescent="0.2">
      <c r="B21" s="17" t="s">
        <v>95</v>
      </c>
      <c r="C21" s="17"/>
      <c r="F21" s="44">
        <v>-0.21413680000000568</v>
      </c>
      <c r="G21" s="123">
        <f>+ROUND(F21/VLOOKUP("Grand Total",$B$4:$F$298,5,0),4)+0.01%</f>
        <v>-1.8E-3</v>
      </c>
      <c r="H21" s="16"/>
    </row>
    <row r="22" spans="1:9" ht="12.75" customHeight="1" x14ac:dyDescent="0.2">
      <c r="B22" s="19" t="s">
        <v>85</v>
      </c>
      <c r="C22" s="19"/>
      <c r="D22" s="19"/>
      <c r="E22" s="30"/>
      <c r="F22" s="51">
        <f>SUM(F21)</f>
        <v>-0.21413680000000568</v>
      </c>
      <c r="G22" s="124">
        <f>SUM(G21)</f>
        <v>-1.8E-3</v>
      </c>
      <c r="H22" s="22"/>
      <c r="I22" s="36"/>
    </row>
    <row r="23" spans="1:9" ht="12.75" customHeight="1" x14ac:dyDescent="0.2">
      <c r="B23" s="23" t="s">
        <v>96</v>
      </c>
      <c r="C23" s="23"/>
      <c r="D23" s="23"/>
      <c r="E23" s="31"/>
      <c r="F23" s="24">
        <f>+SUMIF($B$5:B22,"Total",$F$5:F22)</f>
        <v>114.80373899999998</v>
      </c>
      <c r="G23" s="25">
        <f>+SUMIF($B$5:B22,"Total",$G$5:G22)</f>
        <v>1</v>
      </c>
      <c r="H23" s="26"/>
      <c r="I23" s="36"/>
    </row>
    <row r="24" spans="1:9" ht="12.75" customHeight="1" x14ac:dyDescent="0.2"/>
    <row r="25" spans="1:9" ht="12.75" customHeight="1" x14ac:dyDescent="0.2">
      <c r="B25" s="17"/>
      <c r="C25" s="17"/>
    </row>
    <row r="26" spans="1:9" ht="12.75" customHeight="1" x14ac:dyDescent="0.2">
      <c r="B26" s="17"/>
      <c r="C26" s="17"/>
    </row>
    <row r="27" spans="1:9" ht="12.75" customHeight="1" x14ac:dyDescent="0.2">
      <c r="B27" s="17"/>
      <c r="C27" s="17"/>
    </row>
    <row r="28" spans="1:9" ht="12.75" customHeight="1" x14ac:dyDescent="0.2">
      <c r="B28" s="17"/>
      <c r="C28" s="17"/>
    </row>
    <row r="29" spans="1:9" ht="12.75" customHeight="1" x14ac:dyDescent="0.2">
      <c r="B29" s="17"/>
      <c r="C29" s="17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.28515625" style="37" bestFit="1" customWidth="1"/>
  </cols>
  <sheetData>
    <row r="1" spans="1:12" ht="18.75" x14ac:dyDescent="0.2">
      <c r="A1" s="95" t="s">
        <v>391</v>
      </c>
      <c r="B1" s="126" t="s">
        <v>490</v>
      </c>
      <c r="C1" s="127"/>
      <c r="D1" s="127"/>
      <c r="E1" s="127"/>
      <c r="F1" s="127"/>
      <c r="G1" s="127"/>
      <c r="H1" s="128"/>
    </row>
    <row r="2" spans="1:12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2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2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2" ht="12.75" customHeight="1" x14ac:dyDescent="0.2">
      <c r="F5" s="14"/>
      <c r="G5" s="15"/>
      <c r="H5" s="16"/>
    </row>
    <row r="6" spans="1:12" ht="12.75" customHeight="1" x14ac:dyDescent="0.2">
      <c r="F6" s="14"/>
      <c r="G6" s="15"/>
      <c r="H6" s="16"/>
    </row>
    <row r="7" spans="1:12" ht="12.75" customHeight="1" x14ac:dyDescent="0.2">
      <c r="B7" s="17" t="s">
        <v>92</v>
      </c>
      <c r="C7" s="17"/>
      <c r="F7" s="14"/>
      <c r="G7" s="15"/>
      <c r="H7" s="16"/>
    </row>
    <row r="8" spans="1:12" ht="12.75" customHeight="1" x14ac:dyDescent="0.2">
      <c r="A8">
        <f>+MAX($A$7:A7)+1</f>
        <v>1</v>
      </c>
      <c r="B8" t="s">
        <v>455</v>
      </c>
      <c r="C8" t="s">
        <v>300</v>
      </c>
      <c r="D8" t="s">
        <v>321</v>
      </c>
      <c r="E8" s="29">
        <v>472253.8541</v>
      </c>
      <c r="F8" s="14">
        <v>147.92549149999999</v>
      </c>
      <c r="G8" s="15">
        <f>+ROUND(F8/VLOOKUP("Grand Total",$B$4:$F$294,5,0),4)</f>
        <v>0.58630000000000004</v>
      </c>
      <c r="H8" s="16" t="s">
        <v>372</v>
      </c>
      <c r="J8" s="18" t="s">
        <v>699</v>
      </c>
      <c r="K8" s="38" t="s">
        <v>13</v>
      </c>
    </row>
    <row r="9" spans="1:12" ht="12.75" customHeight="1" x14ac:dyDescent="0.2">
      <c r="A9">
        <f>+MAX($A$7:A8)+1</f>
        <v>2</v>
      </c>
      <c r="B9" t="s">
        <v>336</v>
      </c>
      <c r="C9" t="s">
        <v>302</v>
      </c>
      <c r="D9" t="s">
        <v>321</v>
      </c>
      <c r="E9" s="29">
        <v>2197.17</v>
      </c>
      <c r="F9" s="14">
        <v>62.222562500000002</v>
      </c>
      <c r="G9" s="15">
        <f>+ROUND(F9/VLOOKUP("Grand Total",$B$4:$F$294,5,0),4)</f>
        <v>0.24660000000000001</v>
      </c>
      <c r="H9" s="16" t="s">
        <v>372</v>
      </c>
      <c r="J9" s="15" t="s">
        <v>321</v>
      </c>
      <c r="K9" s="49">
        <f>SUMIFS($G$5:$G$321,$D$5:$D$321,J9)</f>
        <v>0.9910000000000001</v>
      </c>
    </row>
    <row r="10" spans="1:12" ht="12.75" customHeight="1" x14ac:dyDescent="0.2">
      <c r="A10">
        <f>+MAX($A$7:A9)+1</f>
        <v>3</v>
      </c>
      <c r="B10" t="s">
        <v>456</v>
      </c>
      <c r="C10" t="s">
        <v>301</v>
      </c>
      <c r="D10" t="s">
        <v>321</v>
      </c>
      <c r="E10" s="29">
        <v>63576.528400000003</v>
      </c>
      <c r="F10" s="14">
        <v>39.900629199999997</v>
      </c>
      <c r="G10" s="15">
        <f>+ROUND(F10/VLOOKUP("Grand Total",$B$4:$F$294,5,0),4)</f>
        <v>0.15809999999999999</v>
      </c>
      <c r="H10" s="16" t="s">
        <v>372</v>
      </c>
      <c r="J10" s="15" t="s">
        <v>64</v>
      </c>
      <c r="K10" s="49">
        <f>+SUMIFS($G$5:$G$996,$B$5:$B$996,"CBLO / Reverse Repo Investments")+SUMIFS($G$5:$G$996,$B$5:$B$996,"Net Receivable/Payable")</f>
        <v>8.9999999999999993E-3</v>
      </c>
    </row>
    <row r="11" spans="1:12" ht="12.75" customHeight="1" x14ac:dyDescent="0.2">
      <c r="B11" s="19" t="s">
        <v>85</v>
      </c>
      <c r="C11" s="19"/>
      <c r="D11" s="19"/>
      <c r="E11" s="30"/>
      <c r="F11" s="20">
        <f>SUM(F8:F10)</f>
        <v>250.0486832</v>
      </c>
      <c r="G11" s="21">
        <f>SUM(G8:G10)</f>
        <v>0.9910000000000001</v>
      </c>
      <c r="H11" s="22"/>
      <c r="I11" s="36"/>
    </row>
    <row r="12" spans="1:12" ht="12.75" customHeight="1" x14ac:dyDescent="0.2">
      <c r="F12" s="14"/>
      <c r="G12" s="15"/>
      <c r="H12" s="16"/>
      <c r="L12" s="55">
        <f>+SUM($K$9:K10)</f>
        <v>1</v>
      </c>
    </row>
    <row r="13" spans="1:12" ht="12.75" customHeight="1" x14ac:dyDescent="0.2">
      <c r="B13" s="17" t="s">
        <v>93</v>
      </c>
      <c r="C13" s="17"/>
      <c r="F13" s="14">
        <v>2.3967499999999999</v>
      </c>
      <c r="G13" s="15">
        <f>+ROUND(F13/VLOOKUP("Grand Total",$B$4:$F$294,5,0),4)</f>
        <v>9.4999999999999998E-3</v>
      </c>
      <c r="H13" s="16">
        <v>43160</v>
      </c>
    </row>
    <row r="14" spans="1:12" ht="12.75" customHeight="1" x14ac:dyDescent="0.2">
      <c r="B14" s="19" t="s">
        <v>85</v>
      </c>
      <c r="C14" s="19"/>
      <c r="D14" s="19"/>
      <c r="E14" s="30"/>
      <c r="F14" s="20">
        <f>SUM(F13)</f>
        <v>2.3967499999999999</v>
      </c>
      <c r="G14" s="21">
        <f>SUM(G13)</f>
        <v>9.4999999999999998E-3</v>
      </c>
      <c r="H14" s="22"/>
      <c r="I14" s="36"/>
      <c r="J14" s="15"/>
    </row>
    <row r="15" spans="1:12" ht="12.75" customHeight="1" x14ac:dyDescent="0.2">
      <c r="F15" s="14"/>
      <c r="G15" s="15"/>
      <c r="H15" s="16"/>
      <c r="J15" s="15"/>
      <c r="L15" s="55"/>
    </row>
    <row r="16" spans="1:12" ht="12.75" customHeight="1" x14ac:dyDescent="0.2">
      <c r="B16" s="17" t="s">
        <v>94</v>
      </c>
      <c r="C16" s="17"/>
      <c r="F16" s="14"/>
      <c r="G16" s="15"/>
      <c r="H16" s="16"/>
    </row>
    <row r="17" spans="2:12" ht="12.75" customHeight="1" x14ac:dyDescent="0.2">
      <c r="B17" s="17" t="s">
        <v>95</v>
      </c>
      <c r="C17" s="17"/>
      <c r="F17" s="44">
        <v>-0.13881710000001135</v>
      </c>
      <c r="G17" s="123">
        <f>+ROUND(F17/VLOOKUP("Grand Total",$B$4:$F$294,5,0),4)+0.01%</f>
        <v>-4.999999999999999E-4</v>
      </c>
      <c r="H17" s="16"/>
      <c r="J17" s="15"/>
      <c r="L17" s="55"/>
    </row>
    <row r="18" spans="2:12" ht="12.75" customHeight="1" x14ac:dyDescent="0.2">
      <c r="B18" s="19" t="s">
        <v>85</v>
      </c>
      <c r="C18" s="19"/>
      <c r="D18" s="19"/>
      <c r="E18" s="30"/>
      <c r="F18" s="51">
        <f>SUM(F17:F17)</f>
        <v>-0.13881710000001135</v>
      </c>
      <c r="G18" s="124">
        <f>SUM(G17:G17)</f>
        <v>-4.999999999999999E-4</v>
      </c>
      <c r="H18" s="22"/>
    </row>
    <row r="19" spans="2:12" ht="12.75" customHeight="1" x14ac:dyDescent="0.2">
      <c r="B19" s="23" t="s">
        <v>96</v>
      </c>
      <c r="C19" s="23"/>
      <c r="D19" s="23"/>
      <c r="E19" s="31"/>
      <c r="F19" s="24">
        <f>+SUMIF($B$5:B18,"Total",$F$5:F18)</f>
        <v>252.30661609999999</v>
      </c>
      <c r="G19" s="25">
        <f>+SUMIF($B$5:B18,"Total",$G$5:G18)</f>
        <v>1.0000000000000002</v>
      </c>
      <c r="H19" s="26"/>
    </row>
    <row r="20" spans="2:12" ht="12.75" customHeight="1" x14ac:dyDescent="0.2">
      <c r="I20" s="36"/>
    </row>
    <row r="21" spans="2:12" ht="12.75" customHeight="1" x14ac:dyDescent="0.2">
      <c r="I21" s="36"/>
    </row>
    <row r="22" spans="2:12" ht="12.75" customHeight="1" x14ac:dyDescent="0.2"/>
    <row r="23" spans="2:12" ht="12.75" customHeight="1" x14ac:dyDescent="0.2">
      <c r="B23" s="17"/>
      <c r="C23" s="17"/>
    </row>
    <row r="24" spans="2:12" ht="12.75" customHeight="1" x14ac:dyDescent="0.2">
      <c r="B24" s="17"/>
      <c r="C24" s="17"/>
    </row>
    <row r="25" spans="2:12" ht="12.75" customHeight="1" x14ac:dyDescent="0.2">
      <c r="B25" s="17"/>
      <c r="C25" s="17"/>
    </row>
    <row r="26" spans="2:12" ht="12.75" customHeight="1" x14ac:dyDescent="0.2">
      <c r="B26" s="17"/>
      <c r="C26" s="17"/>
    </row>
    <row r="27" spans="2:12" ht="12.75" customHeight="1" x14ac:dyDescent="0.2">
      <c r="B27" s="17"/>
      <c r="C27" s="17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.28515625" style="37" bestFit="1" customWidth="1"/>
  </cols>
  <sheetData>
    <row r="1" spans="1:12" ht="18.75" x14ac:dyDescent="0.2">
      <c r="A1" s="95" t="s">
        <v>392</v>
      </c>
      <c r="B1" s="126" t="s">
        <v>491</v>
      </c>
      <c r="C1" s="127"/>
      <c r="D1" s="127"/>
      <c r="E1" s="127"/>
      <c r="F1" s="127"/>
      <c r="G1" s="127"/>
      <c r="H1" s="128"/>
    </row>
    <row r="2" spans="1:12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2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2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2" ht="12.75" customHeight="1" x14ac:dyDescent="0.2">
      <c r="F5" s="14"/>
      <c r="G5" s="15"/>
      <c r="H5" s="16"/>
    </row>
    <row r="6" spans="1:12" ht="12.75" customHeight="1" x14ac:dyDescent="0.2">
      <c r="F6" s="14"/>
      <c r="G6" s="15"/>
      <c r="H6" s="16"/>
    </row>
    <row r="7" spans="1:12" ht="12.75" customHeight="1" x14ac:dyDescent="0.2">
      <c r="B7" s="17" t="s">
        <v>92</v>
      </c>
      <c r="C7" s="17"/>
      <c r="F7" s="14"/>
      <c r="G7" s="15"/>
      <c r="H7" s="16"/>
    </row>
    <row r="8" spans="1:12" ht="12.75" customHeight="1" x14ac:dyDescent="0.2">
      <c r="A8">
        <f>+MAX($A$7:A7)+1</f>
        <v>1</v>
      </c>
      <c r="B8" t="s">
        <v>456</v>
      </c>
      <c r="C8" t="s">
        <v>301</v>
      </c>
      <c r="D8" t="s">
        <v>321</v>
      </c>
      <c r="E8" s="29">
        <v>141770.89350000001</v>
      </c>
      <c r="F8" s="14">
        <v>88.975412799999987</v>
      </c>
      <c r="G8" s="15">
        <f>+ROUND(F8/VLOOKUP("Grand Total",$B$4:$F$295,5,0),4)</f>
        <v>0.54359999999999997</v>
      </c>
      <c r="H8" s="16" t="s">
        <v>372</v>
      </c>
      <c r="J8" s="18" t="s">
        <v>699</v>
      </c>
      <c r="K8" s="38" t="s">
        <v>13</v>
      </c>
    </row>
    <row r="9" spans="1:12" ht="12.75" customHeight="1" x14ac:dyDescent="0.2">
      <c r="A9">
        <f>+MAX($A$7:A8)+1</f>
        <v>2</v>
      </c>
      <c r="B9" t="s">
        <v>304</v>
      </c>
      <c r="C9" t="s">
        <v>303</v>
      </c>
      <c r="D9" t="s">
        <v>321</v>
      </c>
      <c r="E9" s="29">
        <v>31697.969000000001</v>
      </c>
      <c r="F9" s="14">
        <v>35.8979499</v>
      </c>
      <c r="G9" s="15">
        <f>+ROUND(F9/VLOOKUP("Grand Total",$B$4:$F$295,5,0),4)</f>
        <v>0.21929999999999999</v>
      </c>
      <c r="H9" s="16" t="s">
        <v>372</v>
      </c>
      <c r="J9" s="15" t="s">
        <v>321</v>
      </c>
      <c r="K9" s="49">
        <f>SUMIFS($G$5:$G$321,$D$5:$D$321,J9)</f>
        <v>0.99059999999999993</v>
      </c>
    </row>
    <row r="10" spans="1:12" ht="12.75" customHeight="1" x14ac:dyDescent="0.2">
      <c r="A10">
        <f>+MAX($A$7:A9)+1</f>
        <v>3</v>
      </c>
      <c r="B10" t="s">
        <v>455</v>
      </c>
      <c r="C10" t="s">
        <v>300</v>
      </c>
      <c r="D10" t="s">
        <v>321</v>
      </c>
      <c r="E10" s="29">
        <v>80663.514200000005</v>
      </c>
      <c r="F10" s="14">
        <v>25.266474500000001</v>
      </c>
      <c r="G10" s="15">
        <f>+ROUND(F10/VLOOKUP("Grand Total",$B$4:$F$295,5,0),4)</f>
        <v>0.15440000000000001</v>
      </c>
      <c r="H10" s="16" t="s">
        <v>372</v>
      </c>
      <c r="J10" s="15" t="s">
        <v>64</v>
      </c>
      <c r="K10" s="49">
        <f>+SUMIFS($G$5:$G$996,$B$5:$B$996,"CBLO / Reverse Repo Investments")+SUMIFS($G$5:$G$996,$B$5:$B$996,"Net Receivable/Payable")</f>
        <v>9.3999999999999986E-3</v>
      </c>
    </row>
    <row r="11" spans="1:12" ht="12.75" customHeight="1" x14ac:dyDescent="0.2">
      <c r="A11">
        <f>+MAX($A$7:A10)+1</f>
        <v>4</v>
      </c>
      <c r="B11" t="s">
        <v>336</v>
      </c>
      <c r="C11" t="s">
        <v>302</v>
      </c>
      <c r="D11" t="s">
        <v>321</v>
      </c>
      <c r="E11" s="29">
        <v>423.62299999999999</v>
      </c>
      <c r="F11" s="14">
        <v>11.996754299999999</v>
      </c>
      <c r="G11" s="15">
        <f>+ROUND(F11/VLOOKUP("Grand Total",$B$4:$F$295,5,0),4)</f>
        <v>7.3300000000000004E-2</v>
      </c>
      <c r="H11" s="16" t="s">
        <v>372</v>
      </c>
      <c r="J11" s="15"/>
    </row>
    <row r="12" spans="1:12" ht="12.75" customHeight="1" x14ac:dyDescent="0.2">
      <c r="B12" s="19" t="s">
        <v>85</v>
      </c>
      <c r="C12" s="19"/>
      <c r="D12" s="19"/>
      <c r="E12" s="30"/>
      <c r="F12" s="20">
        <f>SUM(F8:F11)</f>
        <v>162.13659149999998</v>
      </c>
      <c r="G12" s="21">
        <f>SUM(G8:G11)</f>
        <v>0.99059999999999993</v>
      </c>
      <c r="H12" s="22"/>
      <c r="I12" s="36"/>
    </row>
    <row r="13" spans="1:12" ht="11.25" customHeight="1" x14ac:dyDescent="0.2">
      <c r="F13" s="14"/>
      <c r="G13" s="15"/>
      <c r="H13" s="16"/>
      <c r="L13" s="55">
        <f>+SUM($K$10:K10)</f>
        <v>9.3999999999999986E-3</v>
      </c>
    </row>
    <row r="14" spans="1:12" ht="12.75" customHeight="1" x14ac:dyDescent="0.2">
      <c r="A14" s="96" t="s">
        <v>371</v>
      </c>
      <c r="B14" s="17" t="s">
        <v>93</v>
      </c>
      <c r="C14" s="17"/>
      <c r="F14" s="14">
        <v>4.7934999999999999</v>
      </c>
      <c r="G14" s="15">
        <f>+ROUND(F14/VLOOKUP("Grand Total",$B$4:$F$288,5,0),4)</f>
        <v>2.93E-2</v>
      </c>
      <c r="H14" s="16">
        <v>43160</v>
      </c>
    </row>
    <row r="15" spans="1:12" ht="12.75" customHeight="1" x14ac:dyDescent="0.2">
      <c r="B15" s="19" t="s">
        <v>85</v>
      </c>
      <c r="C15" s="19"/>
      <c r="D15" s="19"/>
      <c r="E15" s="30"/>
      <c r="F15" s="20">
        <f>SUM(F14:F14)</f>
        <v>4.7934999999999999</v>
      </c>
      <c r="G15" s="21">
        <f>SUM(G14:G14)</f>
        <v>2.93E-2</v>
      </c>
      <c r="H15" s="22"/>
      <c r="I15" s="36"/>
    </row>
    <row r="16" spans="1:12" ht="12.75" customHeight="1" x14ac:dyDescent="0.2"/>
    <row r="17" spans="2:9" ht="12.75" customHeight="1" x14ac:dyDescent="0.2">
      <c r="B17" s="17" t="s">
        <v>94</v>
      </c>
      <c r="C17" s="17"/>
      <c r="F17" s="14"/>
      <c r="G17" s="15"/>
      <c r="H17" s="16"/>
    </row>
    <row r="18" spans="2:9" ht="12.75" customHeight="1" x14ac:dyDescent="0.2">
      <c r="B18" s="17" t="s">
        <v>95</v>
      </c>
      <c r="C18" s="17"/>
      <c r="F18" s="14">
        <v>-3.260070499999955</v>
      </c>
      <c r="G18" s="123">
        <f>+ROUND(F18/VLOOKUP("Grand Total",$B$4:$F$295,5,0),4)</f>
        <v>-1.9900000000000001E-2</v>
      </c>
      <c r="H18" s="16"/>
    </row>
    <row r="19" spans="2:9" ht="12.75" customHeight="1" x14ac:dyDescent="0.2">
      <c r="B19" s="19" t="s">
        <v>85</v>
      </c>
      <c r="C19" s="19"/>
      <c r="D19" s="19"/>
      <c r="E19" s="30"/>
      <c r="F19" s="20">
        <f>SUM(F18:F18)</f>
        <v>-3.260070499999955</v>
      </c>
      <c r="G19" s="124">
        <f>SUM(G18:G18)</f>
        <v>-1.9900000000000001E-2</v>
      </c>
      <c r="H19" s="22"/>
      <c r="I19" s="36"/>
    </row>
    <row r="20" spans="2:9" ht="12.75" customHeight="1" x14ac:dyDescent="0.2">
      <c r="B20" s="23" t="s">
        <v>96</v>
      </c>
      <c r="C20" s="23"/>
      <c r="D20" s="23"/>
      <c r="E20" s="31"/>
      <c r="F20" s="24">
        <f>+SUMIF($B$5:B19,"Total",$F$5:F19)</f>
        <v>163.67002100000002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/>
      <c r="C22" s="17"/>
    </row>
    <row r="23" spans="2:9" ht="12.75" customHeight="1" x14ac:dyDescent="0.2">
      <c r="B23" s="17"/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2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5703125" customWidth="1"/>
    <col min="4" max="4" width="21.5703125" bestFit="1" customWidth="1"/>
    <col min="5" max="5" width="12.42578125" style="29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4" customWidth="1"/>
    <col min="11" max="11" width="21.5703125" bestFit="1" customWidth="1"/>
    <col min="12" max="12" width="8.28515625" style="37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5" t="s">
        <v>393</v>
      </c>
      <c r="B1" s="126" t="s">
        <v>331</v>
      </c>
      <c r="C1" s="127"/>
      <c r="D1" s="127"/>
      <c r="E1" s="127"/>
      <c r="F1" s="127"/>
      <c r="G1" s="127"/>
      <c r="H1" s="67"/>
      <c r="I1" s="67"/>
    </row>
    <row r="2" spans="1:13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  <c r="I2" s="7"/>
    </row>
    <row r="3" spans="1:13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13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125" t="s">
        <v>765</v>
      </c>
      <c r="I4" s="33" t="s">
        <v>7</v>
      </c>
      <c r="J4" s="35"/>
    </row>
    <row r="5" spans="1:13" ht="12.75" customHeight="1" x14ac:dyDescent="0.2">
      <c r="B5" s="17"/>
      <c r="F5" s="14"/>
      <c r="G5" s="15"/>
      <c r="H5" s="15"/>
      <c r="I5" s="16"/>
    </row>
    <row r="6" spans="1:13" ht="12.75" customHeight="1" x14ac:dyDescent="0.2">
      <c r="B6" s="17"/>
      <c r="F6" s="14"/>
      <c r="G6" s="15"/>
      <c r="H6" s="15"/>
      <c r="I6" s="16"/>
    </row>
    <row r="7" spans="1:13" ht="12.75" customHeight="1" x14ac:dyDescent="0.2">
      <c r="B7" s="17" t="s">
        <v>9</v>
      </c>
      <c r="C7" s="17"/>
      <c r="F7" s="14"/>
      <c r="G7" s="15"/>
      <c r="H7" s="15"/>
      <c r="I7" s="16"/>
      <c r="K7" s="18" t="s">
        <v>699</v>
      </c>
      <c r="L7" s="38" t="s">
        <v>13</v>
      </c>
    </row>
    <row r="8" spans="1:13" ht="12.75" customHeight="1" x14ac:dyDescent="0.2">
      <c r="B8" s="17" t="s">
        <v>731</v>
      </c>
      <c r="C8" s="17"/>
      <c r="F8" s="14"/>
      <c r="G8" s="15"/>
      <c r="H8" s="15"/>
      <c r="I8" s="16"/>
      <c r="K8" s="107" t="s">
        <v>321</v>
      </c>
      <c r="L8" s="49">
        <f t="shared" ref="L8:L21" si="0">SUMIFS($G$5:$G$325,$D$5:$D$325,K8)</f>
        <v>0.13059999999999999</v>
      </c>
    </row>
    <row r="9" spans="1:13" s="78" customFormat="1" ht="12.75" customHeight="1" x14ac:dyDescent="0.2">
      <c r="A9" s="78">
        <f>+MAX($A$7:A8)+1</f>
        <v>1</v>
      </c>
      <c r="B9" s="78" t="s">
        <v>216</v>
      </c>
      <c r="C9" s="78" t="s">
        <v>65</v>
      </c>
      <c r="D9" s="78" t="s">
        <v>34</v>
      </c>
      <c r="E9" s="75">
        <v>17000</v>
      </c>
      <c r="F9" s="76">
        <v>72.853499999999997</v>
      </c>
      <c r="G9" s="77">
        <f>+ROUND(F9/VLOOKUP("Grand Total",$B$4:$F$225,5,0),4)</f>
        <v>8.7499999999999994E-2</v>
      </c>
      <c r="H9" s="77"/>
      <c r="I9" s="105"/>
      <c r="J9" s="106"/>
      <c r="K9" s="107" t="s">
        <v>24</v>
      </c>
      <c r="L9" s="49">
        <f t="shared" si="0"/>
        <v>0.1235</v>
      </c>
      <c r="M9" s="76"/>
    </row>
    <row r="10" spans="1:13" s="78" customFormat="1" ht="12.75" customHeight="1" x14ac:dyDescent="0.2">
      <c r="A10" s="78">
        <f>+A9+1</f>
        <v>2</v>
      </c>
      <c r="B10" s="78" t="s">
        <v>216</v>
      </c>
      <c r="C10" s="122" t="s">
        <v>667</v>
      </c>
      <c r="D10" s="78" t="s">
        <v>324</v>
      </c>
      <c r="E10" s="75">
        <v>-17000</v>
      </c>
      <c r="F10" s="76">
        <v>-73.185000000000002</v>
      </c>
      <c r="G10" s="77"/>
      <c r="H10" s="77">
        <f>+ROUND(F10/VLOOKUP("Grand Total",$B$4:$F$225,5,0),4)</f>
        <v>-8.7900000000000006E-2</v>
      </c>
      <c r="I10" s="105">
        <v>43187</v>
      </c>
      <c r="J10" s="106"/>
      <c r="K10" s="107" t="s">
        <v>291</v>
      </c>
      <c r="L10" s="49">
        <f t="shared" si="0"/>
        <v>0.10680000000000001</v>
      </c>
      <c r="M10" s="76"/>
    </row>
    <row r="11" spans="1:13" s="78" customFormat="1" ht="12.75" customHeight="1" x14ac:dyDescent="0.2">
      <c r="A11" s="78">
        <f t="shared" ref="A11:A32" si="1">+A10+1</f>
        <v>3</v>
      </c>
      <c r="B11" s="78" t="s">
        <v>217</v>
      </c>
      <c r="C11" s="78" t="s">
        <v>61</v>
      </c>
      <c r="D11" s="78" t="s">
        <v>23</v>
      </c>
      <c r="E11" s="75">
        <v>10400</v>
      </c>
      <c r="F11" s="76">
        <v>63.845599999999997</v>
      </c>
      <c r="G11" s="77">
        <f>+ROUND(F11/VLOOKUP("Grand Total",$B$4:$F$225,5,0),4)</f>
        <v>7.6700000000000004E-2</v>
      </c>
      <c r="H11" s="77"/>
      <c r="I11" s="105"/>
      <c r="J11" s="106"/>
      <c r="K11" s="107" t="s">
        <v>34</v>
      </c>
      <c r="L11" s="49">
        <f t="shared" si="0"/>
        <v>8.7499999999999994E-2</v>
      </c>
      <c r="M11" s="76"/>
    </row>
    <row r="12" spans="1:13" s="78" customFormat="1" ht="12.75" customHeight="1" x14ac:dyDescent="0.2">
      <c r="A12" s="78">
        <f t="shared" si="1"/>
        <v>4</v>
      </c>
      <c r="B12" s="78" t="s">
        <v>217</v>
      </c>
      <c r="C12" s="122" t="s">
        <v>667</v>
      </c>
      <c r="D12" s="78" t="s">
        <v>324</v>
      </c>
      <c r="E12" s="75">
        <v>-10400</v>
      </c>
      <c r="F12" s="76">
        <v>-64.074399999999997</v>
      </c>
      <c r="G12" s="77"/>
      <c r="H12" s="77">
        <f>+ROUND(F12/VLOOKUP("Grand Total",$B$4:$F$225,5,0),4)</f>
        <v>-7.6999999999999999E-2</v>
      </c>
      <c r="I12" s="105">
        <v>43187</v>
      </c>
      <c r="J12" s="106"/>
      <c r="K12" s="107" t="s">
        <v>23</v>
      </c>
      <c r="L12" s="49">
        <f t="shared" si="0"/>
        <v>7.6700000000000004E-2</v>
      </c>
      <c r="M12" s="76"/>
    </row>
    <row r="13" spans="1:13" s="78" customFormat="1" ht="12.75" customHeight="1" x14ac:dyDescent="0.2">
      <c r="A13" s="78">
        <f t="shared" si="1"/>
        <v>5</v>
      </c>
      <c r="B13" s="78" t="s">
        <v>337</v>
      </c>
      <c r="C13" s="78" t="s">
        <v>338</v>
      </c>
      <c r="D13" s="78" t="s">
        <v>24</v>
      </c>
      <c r="E13" s="75">
        <v>118800</v>
      </c>
      <c r="F13" s="76">
        <v>62.904600000000002</v>
      </c>
      <c r="G13" s="77">
        <f>+ROUND(F13/VLOOKUP("Grand Total",$B$4:$F$225,5,0),4)</f>
        <v>7.5600000000000001E-2</v>
      </c>
      <c r="H13" s="77"/>
      <c r="I13" s="105"/>
      <c r="J13" s="106"/>
      <c r="K13" s="107" t="s">
        <v>32</v>
      </c>
      <c r="L13" s="49">
        <f t="shared" si="0"/>
        <v>7.5499999999999998E-2</v>
      </c>
      <c r="M13" s="76"/>
    </row>
    <row r="14" spans="1:13" s="78" customFormat="1" ht="12.75" customHeight="1" x14ac:dyDescent="0.2">
      <c r="A14" s="78">
        <f t="shared" si="1"/>
        <v>6</v>
      </c>
      <c r="B14" s="78" t="s">
        <v>337</v>
      </c>
      <c r="C14" s="122" t="s">
        <v>667</v>
      </c>
      <c r="D14" s="78" t="s">
        <v>324</v>
      </c>
      <c r="E14" s="75">
        <v>-118800</v>
      </c>
      <c r="F14" s="76">
        <v>-63.023400000000002</v>
      </c>
      <c r="G14" s="77"/>
      <c r="H14" s="77">
        <f>+ROUND(F14/VLOOKUP("Grand Total",$B$4:$F$225,5,0),4)</f>
        <v>-7.5700000000000003E-2</v>
      </c>
      <c r="I14" s="105">
        <v>43187</v>
      </c>
      <c r="J14" s="106"/>
      <c r="K14" s="107" t="s">
        <v>30</v>
      </c>
      <c r="L14" s="49">
        <f t="shared" si="0"/>
        <v>6.88E-2</v>
      </c>
      <c r="M14" s="76"/>
    </row>
    <row r="15" spans="1:13" s="78" customFormat="1" ht="12.75" customHeight="1" x14ac:dyDescent="0.2">
      <c r="A15" s="78">
        <f t="shared" si="1"/>
        <v>7</v>
      </c>
      <c r="B15" s="78" t="s">
        <v>220</v>
      </c>
      <c r="C15" s="78" t="s">
        <v>73</v>
      </c>
      <c r="D15" s="78" t="s">
        <v>32</v>
      </c>
      <c r="E15" s="75">
        <v>27500</v>
      </c>
      <c r="F15" s="76">
        <v>62.865000000000002</v>
      </c>
      <c r="G15" s="77">
        <f>+ROUND(F15/VLOOKUP("Grand Total",$B$4:$F$225,5,0),4)</f>
        <v>7.5499999999999998E-2</v>
      </c>
      <c r="H15" s="77"/>
      <c r="I15" s="105"/>
      <c r="J15" s="106"/>
      <c r="K15" s="107" t="s">
        <v>19</v>
      </c>
      <c r="L15" s="49">
        <f t="shared" si="0"/>
        <v>6.7000000000000004E-2</v>
      </c>
      <c r="M15" s="76"/>
    </row>
    <row r="16" spans="1:13" s="78" customFormat="1" ht="12.75" customHeight="1" x14ac:dyDescent="0.2">
      <c r="A16" s="78">
        <f t="shared" si="1"/>
        <v>8</v>
      </c>
      <c r="B16" s="78" t="s">
        <v>220</v>
      </c>
      <c r="C16" s="122" t="s">
        <v>667</v>
      </c>
      <c r="D16" s="78" t="s">
        <v>324</v>
      </c>
      <c r="E16" s="75">
        <v>-27500</v>
      </c>
      <c r="F16" s="76">
        <v>-63.181249999999999</v>
      </c>
      <c r="G16" s="77"/>
      <c r="H16" s="77">
        <f>+ROUND(F16/VLOOKUP("Grand Total",$B$4:$F$225,5,0),4)</f>
        <v>-7.5899999999999995E-2</v>
      </c>
      <c r="I16" s="105">
        <v>43187</v>
      </c>
      <c r="J16" s="106"/>
      <c r="K16" s="107" t="s">
        <v>10</v>
      </c>
      <c r="L16" s="49">
        <f t="shared" si="0"/>
        <v>5.4199999999999998E-2</v>
      </c>
      <c r="M16" s="76"/>
    </row>
    <row r="17" spans="1:13" s="78" customFormat="1" ht="12.75" customHeight="1" x14ac:dyDescent="0.2">
      <c r="A17" s="78">
        <f t="shared" si="1"/>
        <v>9</v>
      </c>
      <c r="B17" s="78" t="s">
        <v>196</v>
      </c>
      <c r="C17" s="78" t="s">
        <v>31</v>
      </c>
      <c r="D17" s="78" t="s">
        <v>30</v>
      </c>
      <c r="E17" s="75">
        <v>6000</v>
      </c>
      <c r="F17" s="76">
        <v>57.273000000000003</v>
      </c>
      <c r="G17" s="77">
        <f>+ROUND(F17/VLOOKUP("Grand Total",$B$4:$F$225,5,0),4)</f>
        <v>6.88E-2</v>
      </c>
      <c r="H17" s="77"/>
      <c r="I17" s="105"/>
      <c r="J17" s="106"/>
      <c r="K17" s="107" t="s">
        <v>178</v>
      </c>
      <c r="L17" s="49">
        <f t="shared" si="0"/>
        <v>4.7E-2</v>
      </c>
      <c r="M17" s="76"/>
    </row>
    <row r="18" spans="1:13" s="78" customFormat="1" ht="12.75" customHeight="1" x14ac:dyDescent="0.2">
      <c r="A18" s="78">
        <f t="shared" si="1"/>
        <v>10</v>
      </c>
      <c r="B18" s="78" t="s">
        <v>196</v>
      </c>
      <c r="C18" s="122" t="s">
        <v>667</v>
      </c>
      <c r="D18" s="78" t="s">
        <v>324</v>
      </c>
      <c r="E18" s="75">
        <v>-6000</v>
      </c>
      <c r="F18" s="76">
        <v>-57.335999999999999</v>
      </c>
      <c r="G18" s="77"/>
      <c r="H18" s="77">
        <f>+ROUND(F18/VLOOKUP("Grand Total",$B$4:$F$225,5,0),4)</f>
        <v>-6.8900000000000003E-2</v>
      </c>
      <c r="I18" s="105">
        <v>43187</v>
      </c>
      <c r="J18" s="106"/>
      <c r="K18" s="107" t="s">
        <v>37</v>
      </c>
      <c r="L18" s="49">
        <f t="shared" si="0"/>
        <v>4.2999999999999997E-2</v>
      </c>
      <c r="M18" s="76"/>
    </row>
    <row r="19" spans="1:13" s="78" customFormat="1" ht="12.75" customHeight="1" x14ac:dyDescent="0.2">
      <c r="A19" s="78">
        <f t="shared" si="1"/>
        <v>11</v>
      </c>
      <c r="B19" s="78" t="s">
        <v>311</v>
      </c>
      <c r="C19" s="78" t="s">
        <v>67</v>
      </c>
      <c r="D19" s="78" t="s">
        <v>19</v>
      </c>
      <c r="E19" s="75">
        <v>35000</v>
      </c>
      <c r="F19" s="76">
        <v>55.737499999999997</v>
      </c>
      <c r="G19" s="77">
        <f>+ROUND(F19/VLOOKUP("Grand Total",$B$4:$F$225,5,0),4)</f>
        <v>6.7000000000000004E-2</v>
      </c>
      <c r="H19" s="77"/>
      <c r="I19" s="105"/>
      <c r="J19" s="106"/>
      <c r="K19" s="107" t="s">
        <v>36</v>
      </c>
      <c r="L19" s="49">
        <f t="shared" si="0"/>
        <v>4.0599999999999997E-2</v>
      </c>
      <c r="M19" s="76"/>
    </row>
    <row r="20" spans="1:13" s="78" customFormat="1" ht="12.75" customHeight="1" x14ac:dyDescent="0.2">
      <c r="A20" s="78">
        <f t="shared" si="1"/>
        <v>12</v>
      </c>
      <c r="B20" s="78" t="s">
        <v>311</v>
      </c>
      <c r="C20" s="122" t="s">
        <v>667</v>
      </c>
      <c r="D20" s="78" t="s">
        <v>324</v>
      </c>
      <c r="E20" s="75">
        <v>-35000</v>
      </c>
      <c r="F20" s="76">
        <v>-56.07</v>
      </c>
      <c r="G20" s="77"/>
      <c r="H20" s="77">
        <f>+ROUND(F20/VLOOKUP("Grand Total",$B$4:$F$225,5,0),4)</f>
        <v>-6.7400000000000002E-2</v>
      </c>
      <c r="I20" s="105">
        <v>43187</v>
      </c>
      <c r="J20" s="106"/>
      <c r="K20" s="107" t="s">
        <v>571</v>
      </c>
      <c r="L20" s="49">
        <f t="shared" si="0"/>
        <v>1.15E-2</v>
      </c>
      <c r="M20" s="76"/>
    </row>
    <row r="21" spans="1:13" s="78" customFormat="1" ht="12.75" customHeight="1" x14ac:dyDescent="0.2">
      <c r="A21" s="78">
        <f t="shared" si="1"/>
        <v>13</v>
      </c>
      <c r="B21" s="78" t="s">
        <v>253</v>
      </c>
      <c r="C21" s="78" t="s">
        <v>542</v>
      </c>
      <c r="D21" s="78" t="s">
        <v>10</v>
      </c>
      <c r="E21" s="75">
        <v>14000</v>
      </c>
      <c r="F21" s="76">
        <v>45.122</v>
      </c>
      <c r="G21" s="77">
        <f>+ROUND(F21/VLOOKUP("Grand Total",$B$4:$F$225,5,0),4)</f>
        <v>5.4199999999999998E-2</v>
      </c>
      <c r="H21" s="77"/>
      <c r="I21" s="105"/>
      <c r="J21" s="106"/>
      <c r="K21" s="107" t="s">
        <v>324</v>
      </c>
      <c r="L21" s="49">
        <f t="shared" si="0"/>
        <v>0</v>
      </c>
      <c r="M21" s="76"/>
    </row>
    <row r="22" spans="1:13" s="78" customFormat="1" ht="12.75" customHeight="1" x14ac:dyDescent="0.2">
      <c r="A22" s="78">
        <f t="shared" si="1"/>
        <v>14</v>
      </c>
      <c r="B22" s="78" t="s">
        <v>253</v>
      </c>
      <c r="C22" s="122" t="s">
        <v>667</v>
      </c>
      <c r="D22" s="78" t="s">
        <v>324</v>
      </c>
      <c r="E22" s="75">
        <v>-14000</v>
      </c>
      <c r="F22" s="76">
        <v>-45.36</v>
      </c>
      <c r="G22" s="77"/>
      <c r="H22" s="77">
        <f>+ROUND(F22/VLOOKUP("Grand Total",$B$4:$F$225,5,0),4)</f>
        <v>-5.45E-2</v>
      </c>
      <c r="I22" s="105">
        <v>43187</v>
      </c>
      <c r="J22" s="106"/>
      <c r="K22" s="15" t="s">
        <v>64</v>
      </c>
      <c r="L22" s="49">
        <f>+SUMIFS($G$5:$G$996,$B$5:$B$996,"CBLO / Reverse Repo Investments")+SUMIFS($G$5:$G$996,$B$5:$B$996,"Net Receivable/Payable")</f>
        <v>6.7299999999999999E-2</v>
      </c>
      <c r="M22" s="76"/>
    </row>
    <row r="23" spans="1:13" s="78" customFormat="1" ht="12.75" customHeight="1" x14ac:dyDescent="0.2">
      <c r="A23" s="78">
        <f t="shared" si="1"/>
        <v>15</v>
      </c>
      <c r="B23" s="78" t="s">
        <v>480</v>
      </c>
      <c r="C23" s="78" t="s">
        <v>481</v>
      </c>
      <c r="D23" s="78" t="s">
        <v>178</v>
      </c>
      <c r="E23" s="75">
        <v>24500</v>
      </c>
      <c r="F23" s="76">
        <v>39.151000000000003</v>
      </c>
      <c r="G23" s="77">
        <f>+ROUND(F23/VLOOKUP("Grand Total",$B$4:$F$225,5,0),4)</f>
        <v>4.7E-2</v>
      </c>
      <c r="H23" s="77"/>
      <c r="I23" s="105"/>
      <c r="J23" s="106"/>
      <c r="K23" s="107"/>
      <c r="L23" s="104"/>
      <c r="M23" s="76"/>
    </row>
    <row r="24" spans="1:13" s="78" customFormat="1" ht="12.75" customHeight="1" x14ac:dyDescent="0.2">
      <c r="A24" s="78">
        <f t="shared" si="1"/>
        <v>16</v>
      </c>
      <c r="B24" s="78" t="s">
        <v>480</v>
      </c>
      <c r="C24" s="122" t="s">
        <v>667</v>
      </c>
      <c r="D24" s="78" t="s">
        <v>324</v>
      </c>
      <c r="E24" s="75">
        <v>-24500</v>
      </c>
      <c r="F24" s="76">
        <v>-39.224499999999999</v>
      </c>
      <c r="G24" s="77"/>
      <c r="H24" s="77">
        <f>+ROUND(F24/VLOOKUP("Grand Total",$B$4:$F$225,5,0),4)</f>
        <v>-4.7100000000000003E-2</v>
      </c>
      <c r="I24" s="105">
        <v>43187</v>
      </c>
      <c r="J24" s="106"/>
      <c r="K24" s="107"/>
      <c r="L24" s="104"/>
      <c r="M24" s="76"/>
    </row>
    <row r="25" spans="1:13" s="78" customFormat="1" ht="12.75" customHeight="1" x14ac:dyDescent="0.2">
      <c r="A25" s="78">
        <f t="shared" si="1"/>
        <v>17</v>
      </c>
      <c r="B25" s="78" t="s">
        <v>223</v>
      </c>
      <c r="C25" s="78" t="s">
        <v>224</v>
      </c>
      <c r="D25" s="78" t="s">
        <v>37</v>
      </c>
      <c r="E25" s="75">
        <v>4800</v>
      </c>
      <c r="F25" s="76">
        <v>35.812800000000003</v>
      </c>
      <c r="G25" s="77">
        <f>+ROUND(F25/VLOOKUP("Grand Total",$B$4:$F$225,5,0),4)</f>
        <v>4.2999999999999997E-2</v>
      </c>
      <c r="H25" s="77"/>
      <c r="I25" s="105"/>
      <c r="J25" s="106"/>
      <c r="K25" s="107"/>
      <c r="L25" s="104"/>
      <c r="M25" s="76"/>
    </row>
    <row r="26" spans="1:13" s="78" customFormat="1" ht="12.75" customHeight="1" x14ac:dyDescent="0.2">
      <c r="A26" s="78">
        <f t="shared" si="1"/>
        <v>18</v>
      </c>
      <c r="B26" s="78" t="s">
        <v>223</v>
      </c>
      <c r="C26" s="122" t="s">
        <v>667</v>
      </c>
      <c r="D26" s="78" t="s">
        <v>324</v>
      </c>
      <c r="E26" s="75">
        <v>-4800</v>
      </c>
      <c r="F26" s="76">
        <v>-35.973599999999998</v>
      </c>
      <c r="G26" s="77"/>
      <c r="H26" s="77">
        <f>+ROUND(F26/VLOOKUP("Grand Total",$B$4:$F$225,5,0),4)</f>
        <v>-4.3200000000000002E-2</v>
      </c>
      <c r="I26" s="105">
        <v>43187</v>
      </c>
      <c r="J26" s="106"/>
      <c r="K26" s="107"/>
      <c r="L26" s="104"/>
      <c r="M26" s="76"/>
    </row>
    <row r="27" spans="1:13" s="78" customFormat="1" ht="12.75" customHeight="1" x14ac:dyDescent="0.2">
      <c r="A27" s="78">
        <f t="shared" si="1"/>
        <v>19</v>
      </c>
      <c r="B27" s="78" t="s">
        <v>652</v>
      </c>
      <c r="C27" s="78" t="s">
        <v>653</v>
      </c>
      <c r="D27" s="78" t="s">
        <v>36</v>
      </c>
      <c r="E27" s="75">
        <v>3300</v>
      </c>
      <c r="F27" s="76">
        <v>33.773850000000003</v>
      </c>
      <c r="G27" s="77">
        <f>+ROUND(F27/VLOOKUP("Grand Total",$B$4:$F$225,5,0),4)</f>
        <v>4.0599999999999997E-2</v>
      </c>
      <c r="H27" s="77"/>
      <c r="I27" s="105"/>
      <c r="J27" s="106"/>
      <c r="K27" s="107"/>
      <c r="L27" s="104"/>
      <c r="M27" s="76"/>
    </row>
    <row r="28" spans="1:13" s="78" customFormat="1" ht="12.75" customHeight="1" x14ac:dyDescent="0.2">
      <c r="A28" s="78">
        <f t="shared" si="1"/>
        <v>20</v>
      </c>
      <c r="B28" s="78" t="s">
        <v>652</v>
      </c>
      <c r="C28" s="122" t="s">
        <v>667</v>
      </c>
      <c r="D28" s="78" t="s">
        <v>324</v>
      </c>
      <c r="E28" s="75">
        <v>-3300</v>
      </c>
      <c r="F28" s="76">
        <v>-33.556049999999999</v>
      </c>
      <c r="G28" s="77"/>
      <c r="H28" s="77">
        <f>+ROUND(F28/VLOOKUP("Grand Total",$B$4:$F$225,5,0),4)</f>
        <v>-4.0300000000000002E-2</v>
      </c>
      <c r="I28" s="105">
        <v>43187</v>
      </c>
      <c r="J28" s="106"/>
      <c r="K28" s="107"/>
      <c r="L28" s="104"/>
      <c r="M28" s="76"/>
    </row>
    <row r="29" spans="1:13" s="78" customFormat="1" ht="12.75" customHeight="1" x14ac:dyDescent="0.2">
      <c r="A29" s="78">
        <f t="shared" si="1"/>
        <v>21</v>
      </c>
      <c r="B29" s="78" t="s">
        <v>204</v>
      </c>
      <c r="C29" s="78" t="s">
        <v>44</v>
      </c>
      <c r="D29" s="78" t="s">
        <v>24</v>
      </c>
      <c r="E29" s="75">
        <v>6000</v>
      </c>
      <c r="F29" s="76">
        <v>32.771999999999998</v>
      </c>
      <c r="G29" s="77">
        <f>+ROUND(F29/VLOOKUP("Grand Total",$B$4:$F$225,5,0),4)</f>
        <v>3.9399999999999998E-2</v>
      </c>
      <c r="H29" s="77"/>
      <c r="I29" s="105"/>
      <c r="J29" s="106"/>
      <c r="K29" s="107"/>
      <c r="L29" s="104"/>
      <c r="M29" s="76"/>
    </row>
    <row r="30" spans="1:13" s="78" customFormat="1" ht="12.75" customHeight="1" x14ac:dyDescent="0.2">
      <c r="A30" s="78">
        <f t="shared" si="1"/>
        <v>22</v>
      </c>
      <c r="B30" s="78" t="s">
        <v>204</v>
      </c>
      <c r="C30" s="122" t="s">
        <v>667</v>
      </c>
      <c r="D30" s="78" t="s">
        <v>324</v>
      </c>
      <c r="E30" s="75">
        <v>-6000</v>
      </c>
      <c r="F30" s="76">
        <v>-32.948999999999998</v>
      </c>
      <c r="G30" s="77"/>
      <c r="H30" s="77">
        <f>+ROUND(F30/VLOOKUP("Grand Total",$B$4:$F$225,5,0),4)</f>
        <v>-3.9600000000000003E-2</v>
      </c>
      <c r="I30" s="105">
        <v>43187</v>
      </c>
      <c r="J30" s="106"/>
      <c r="K30" s="107"/>
      <c r="L30" s="104"/>
      <c r="M30" s="76"/>
    </row>
    <row r="31" spans="1:13" s="78" customFormat="1" ht="12.75" customHeight="1" x14ac:dyDescent="0.2">
      <c r="A31" s="78">
        <f t="shared" si="1"/>
        <v>23</v>
      </c>
      <c r="B31" s="78" t="s">
        <v>619</v>
      </c>
      <c r="C31" s="78" t="s">
        <v>620</v>
      </c>
      <c r="D31" s="78" t="s">
        <v>24</v>
      </c>
      <c r="E31" s="75">
        <v>1500</v>
      </c>
      <c r="F31" s="76">
        <v>7.0837500000000002</v>
      </c>
      <c r="G31" s="77">
        <f>+ROUND(F31/VLOOKUP("Grand Total",$B$4:$F$225,5,0),4)</f>
        <v>8.5000000000000006E-3</v>
      </c>
      <c r="H31" s="77"/>
      <c r="I31" s="105"/>
      <c r="J31" s="106"/>
      <c r="K31" s="107"/>
      <c r="L31" s="104"/>
      <c r="M31" s="76"/>
    </row>
    <row r="32" spans="1:13" s="78" customFormat="1" ht="12.75" customHeight="1" x14ac:dyDescent="0.2">
      <c r="A32" s="78">
        <f t="shared" si="1"/>
        <v>24</v>
      </c>
      <c r="B32" s="78" t="s">
        <v>619</v>
      </c>
      <c r="C32" s="122" t="s">
        <v>667</v>
      </c>
      <c r="D32" s="78" t="s">
        <v>324</v>
      </c>
      <c r="E32" s="75">
        <v>-1500</v>
      </c>
      <c r="F32" s="76">
        <v>-7.1189999999999998</v>
      </c>
      <c r="G32" s="77"/>
      <c r="H32" s="77">
        <f>+ROUND(F32/VLOOKUP("Grand Total",$B$4:$F$225,5,0),4)</f>
        <v>-8.6E-3</v>
      </c>
      <c r="I32" s="105">
        <v>43187</v>
      </c>
      <c r="J32" s="106"/>
      <c r="K32" s="107"/>
      <c r="L32" s="104"/>
      <c r="M32" s="76"/>
    </row>
    <row r="33" spans="1:12" ht="12.75" customHeight="1" x14ac:dyDescent="0.2">
      <c r="B33" s="19" t="s">
        <v>85</v>
      </c>
      <c r="C33" s="19"/>
      <c r="D33" s="19"/>
      <c r="E33" s="20"/>
      <c r="F33" s="20">
        <f>+F9+F11+F13+F15+F17+F19+F21+F23+F25+F27+F29+F31</f>
        <v>569.19460000000015</v>
      </c>
      <c r="G33" s="21">
        <f>+G9+G11+G13+G15+G17+G19+G21+G23+G25+G27+G29+G31</f>
        <v>0.68379999999999996</v>
      </c>
      <c r="H33" s="21">
        <f>SUM(H9:H32)</f>
        <v>-0.68610000000000015</v>
      </c>
      <c r="I33" s="22"/>
      <c r="J33" s="56"/>
      <c r="K33" s="47"/>
      <c r="L33" s="49"/>
    </row>
    <row r="34" spans="1:12" s="47" customFormat="1" ht="12.75" customHeight="1" x14ac:dyDescent="0.2">
      <c r="B34" s="68"/>
      <c r="C34" s="68"/>
      <c r="D34" s="68"/>
      <c r="E34" s="69"/>
      <c r="F34" s="70"/>
      <c r="G34" s="71"/>
      <c r="H34" s="71"/>
      <c r="I34" s="34"/>
      <c r="K34" s="15"/>
      <c r="L34" s="49"/>
    </row>
    <row r="35" spans="1:12" ht="12.75" customHeight="1" x14ac:dyDescent="0.2">
      <c r="B35" s="17" t="s">
        <v>91</v>
      </c>
      <c r="C35" s="17"/>
      <c r="F35" s="14"/>
      <c r="G35" s="15"/>
      <c r="H35" s="15"/>
      <c r="I35" s="34"/>
      <c r="J35"/>
      <c r="K35" s="37"/>
      <c r="L35"/>
    </row>
    <row r="36" spans="1:12" ht="12.75" customHeight="1" x14ac:dyDescent="0.2">
      <c r="B36" s="17" t="s">
        <v>307</v>
      </c>
      <c r="C36" s="17"/>
      <c r="F36" s="14"/>
      <c r="G36" s="15"/>
      <c r="H36" s="15"/>
      <c r="I36" s="34"/>
      <c r="J36"/>
      <c r="K36" s="37"/>
      <c r="L36"/>
    </row>
    <row r="37" spans="1:12" ht="12.75" customHeight="1" x14ac:dyDescent="0.2">
      <c r="A37">
        <f>+MAX($A$7:A36)+1</f>
        <v>25</v>
      </c>
      <c r="B37" s="66" t="s">
        <v>705</v>
      </c>
      <c r="C37" t="s">
        <v>706</v>
      </c>
      <c r="D37" t="s">
        <v>291</v>
      </c>
      <c r="E37" s="29">
        <v>14</v>
      </c>
      <c r="F37" s="14">
        <v>69.003690000000006</v>
      </c>
      <c r="G37" s="15">
        <f>+ROUND(F37/VLOOKUP("Grand Total",$B$4:$F$251,5,0),4)</f>
        <v>8.2900000000000001E-2</v>
      </c>
      <c r="H37" s="15"/>
      <c r="I37" s="16">
        <v>43228</v>
      </c>
      <c r="J37"/>
      <c r="K37" s="37"/>
      <c r="L37"/>
    </row>
    <row r="38" spans="1:12" ht="12.75" customHeight="1" x14ac:dyDescent="0.2">
      <c r="A38">
        <f>+MAX($A$7:A37)+1</f>
        <v>26</v>
      </c>
      <c r="B38" s="66" t="s">
        <v>509</v>
      </c>
      <c r="C38" t="s">
        <v>725</v>
      </c>
      <c r="D38" t="s">
        <v>291</v>
      </c>
      <c r="E38" s="29">
        <v>4</v>
      </c>
      <c r="F38" s="14">
        <v>19.892119999999998</v>
      </c>
      <c r="G38" s="15">
        <f>+ROUND(F38/VLOOKUP("Grand Total",$B$4:$F$251,5,0),4)</f>
        <v>2.3900000000000001E-2</v>
      </c>
      <c r="H38" s="15"/>
      <c r="I38" s="16">
        <v>43185</v>
      </c>
      <c r="J38"/>
      <c r="K38" s="37"/>
      <c r="L38"/>
    </row>
    <row r="39" spans="1:12" ht="12.75" customHeight="1" x14ac:dyDescent="0.2">
      <c r="A39">
        <f>+MAX($A$7:A38)+1</f>
        <v>27</v>
      </c>
      <c r="B39" s="66" t="s">
        <v>292</v>
      </c>
      <c r="C39" t="s">
        <v>557</v>
      </c>
      <c r="D39" t="s">
        <v>571</v>
      </c>
      <c r="E39" s="29">
        <v>2</v>
      </c>
      <c r="F39" s="14">
        <v>9.5543800000000001</v>
      </c>
      <c r="G39" s="15">
        <f>+ROUND(F39/VLOOKUP("Grand Total",$B$4:$F$251,5,0),4)</f>
        <v>1.15E-2</v>
      </c>
      <c r="H39" s="15"/>
      <c r="I39" s="16">
        <v>43350</v>
      </c>
      <c r="J39"/>
      <c r="K39" s="37"/>
      <c r="L39"/>
    </row>
    <row r="40" spans="1:12" ht="12.75" customHeight="1" x14ac:dyDescent="0.2">
      <c r="B40" s="19" t="s">
        <v>85</v>
      </c>
      <c r="C40" s="19"/>
      <c r="D40" s="19"/>
      <c r="E40" s="30"/>
      <c r="F40" s="20">
        <f>SUM(F37:F39)</f>
        <v>98.450190000000006</v>
      </c>
      <c r="G40" s="21">
        <f>SUM(G37:G39)</f>
        <v>0.1183</v>
      </c>
      <c r="H40" s="21"/>
      <c r="I40" s="22"/>
      <c r="J40"/>
      <c r="K40" s="37"/>
      <c r="L40"/>
    </row>
    <row r="41" spans="1:12" s="47" customFormat="1" ht="12.75" customHeight="1" x14ac:dyDescent="0.2">
      <c r="B41" s="68"/>
      <c r="C41" s="68"/>
      <c r="D41" s="68"/>
      <c r="E41" s="69"/>
      <c r="F41" s="70"/>
      <c r="G41" s="71"/>
      <c r="H41" s="71"/>
      <c r="I41" s="34"/>
      <c r="K41" s="49"/>
    </row>
    <row r="42" spans="1:12" ht="12.75" customHeight="1" x14ac:dyDescent="0.2">
      <c r="B42" s="17" t="s">
        <v>92</v>
      </c>
      <c r="C42" s="17"/>
      <c r="F42" s="14"/>
      <c r="G42" s="15"/>
      <c r="H42" s="15"/>
      <c r="I42" s="34"/>
      <c r="J42"/>
      <c r="K42" s="37"/>
      <c r="L42"/>
    </row>
    <row r="43" spans="1:12" ht="12.75" customHeight="1" x14ac:dyDescent="0.2">
      <c r="A43">
        <f>+MAX($A$7:A42)+1</f>
        <v>28</v>
      </c>
      <c r="B43" t="s">
        <v>447</v>
      </c>
      <c r="C43" t="s">
        <v>355</v>
      </c>
      <c r="D43" t="s">
        <v>321</v>
      </c>
      <c r="E43" s="29">
        <v>6489.9966000000004</v>
      </c>
      <c r="F43" s="14">
        <v>108.7314301</v>
      </c>
      <c r="G43" s="15">
        <f>+ROUND(F43/VLOOKUP("Grand Total",$B$4:$F$260,5,0),4)</f>
        <v>0.13059999999999999</v>
      </c>
      <c r="H43" s="15"/>
      <c r="I43" s="34" t="s">
        <v>372</v>
      </c>
      <c r="J43"/>
      <c r="K43" s="37"/>
      <c r="L43"/>
    </row>
    <row r="44" spans="1:12" ht="12.75" customHeight="1" x14ac:dyDescent="0.2">
      <c r="B44" s="19" t="s">
        <v>85</v>
      </c>
      <c r="C44" s="19"/>
      <c r="D44" s="19"/>
      <c r="E44" s="30"/>
      <c r="F44" s="20">
        <f>SUM(F43)</f>
        <v>108.7314301</v>
      </c>
      <c r="G44" s="21">
        <f>SUM(G43)</f>
        <v>0.13059999999999999</v>
      </c>
      <c r="H44" s="21"/>
      <c r="I44" s="22"/>
      <c r="J44"/>
      <c r="K44" s="37"/>
      <c r="L44"/>
    </row>
    <row r="45" spans="1:12" s="47" customFormat="1" ht="12.75" customHeight="1" x14ac:dyDescent="0.2">
      <c r="B45" s="68"/>
      <c r="C45" s="68"/>
      <c r="D45" s="68"/>
      <c r="E45" s="69"/>
      <c r="F45" s="70"/>
      <c r="G45" s="71"/>
      <c r="H45" s="71"/>
      <c r="I45" s="34"/>
      <c r="K45" s="49"/>
    </row>
    <row r="46" spans="1:12" ht="12.75" customHeight="1" x14ac:dyDescent="0.2">
      <c r="A46" s="96" t="s">
        <v>371</v>
      </c>
      <c r="B46" s="17" t="s">
        <v>93</v>
      </c>
      <c r="C46" s="17"/>
      <c r="F46" s="14">
        <v>47.235999999999997</v>
      </c>
      <c r="G46" s="15">
        <f>+ROUND(F46/VLOOKUP("Grand Total",$B$4:$F$225,5,0),4)</f>
        <v>5.67E-2</v>
      </c>
      <c r="H46" s="15"/>
      <c r="I46" s="16">
        <v>43160</v>
      </c>
      <c r="J46" s="57"/>
      <c r="K46" s="47"/>
      <c r="L46" s="75"/>
    </row>
    <row r="47" spans="1:12" ht="12.75" customHeight="1" x14ac:dyDescent="0.2">
      <c r="B47" s="19" t="s">
        <v>85</v>
      </c>
      <c r="C47" s="19"/>
      <c r="D47" s="19"/>
      <c r="E47" s="30"/>
      <c r="F47" s="20">
        <f>SUM(F46)</f>
        <v>47.235999999999997</v>
      </c>
      <c r="G47" s="21">
        <f>SUM(G46)</f>
        <v>5.67E-2</v>
      </c>
      <c r="H47" s="21"/>
      <c r="I47" s="22"/>
      <c r="J47" s="56"/>
      <c r="K47" s="47"/>
      <c r="L47" s="75"/>
    </row>
    <row r="48" spans="1:12" ht="12.75" customHeight="1" x14ac:dyDescent="0.2">
      <c r="F48" s="14"/>
      <c r="G48" s="15"/>
      <c r="H48" s="15"/>
      <c r="I48" s="16"/>
      <c r="J48" s="57"/>
      <c r="K48" s="47"/>
      <c r="L48" s="75"/>
    </row>
    <row r="49" spans="2:12" ht="12.75" customHeight="1" x14ac:dyDescent="0.2">
      <c r="B49" s="17" t="s">
        <v>94</v>
      </c>
      <c r="C49" s="17"/>
      <c r="F49" s="14"/>
      <c r="G49" s="15"/>
      <c r="H49" s="15"/>
      <c r="I49" s="16"/>
      <c r="J49" s="57"/>
      <c r="K49" s="47"/>
      <c r="L49" s="75"/>
    </row>
    <row r="50" spans="2:12" ht="12.75" customHeight="1" x14ac:dyDescent="0.2">
      <c r="B50" s="17" t="s">
        <v>95</v>
      </c>
      <c r="C50" s="17"/>
      <c r="F50" s="45">
        <f>+F52-SUMIF($B$5:B49,"Total",$F$5:F49)</f>
        <v>8.7402558999998519</v>
      </c>
      <c r="G50" s="46">
        <f>+ROUND(F50/VLOOKUP("Grand Total",$B$4:$F$225,5,0),4)+0.01%</f>
        <v>1.06E-2</v>
      </c>
      <c r="H50" s="46"/>
      <c r="I50" s="16"/>
      <c r="J50" s="57"/>
      <c r="K50" s="47"/>
      <c r="L50" s="75"/>
    </row>
    <row r="51" spans="2:12" ht="12.75" customHeight="1" x14ac:dyDescent="0.2">
      <c r="B51" s="19" t="s">
        <v>85</v>
      </c>
      <c r="C51" s="19"/>
      <c r="D51" s="19"/>
      <c r="E51" s="30"/>
      <c r="F51" s="20">
        <f>SUM(F50:F50)</f>
        <v>8.7402558999998519</v>
      </c>
      <c r="G51" s="21">
        <f>SUM(G50:G50)</f>
        <v>1.06E-2</v>
      </c>
      <c r="H51" s="21"/>
      <c r="I51" s="22"/>
      <c r="J51" s="56"/>
      <c r="K51" s="47"/>
      <c r="L51" s="75"/>
    </row>
    <row r="52" spans="2:12" ht="12.75" customHeight="1" x14ac:dyDescent="0.2">
      <c r="B52" s="23" t="s">
        <v>96</v>
      </c>
      <c r="C52" s="23"/>
      <c r="D52" s="23"/>
      <c r="E52" s="31"/>
      <c r="F52" s="24">
        <v>832.35247600000002</v>
      </c>
      <c r="G52" s="25">
        <f>+SUMIF($B$5:B51,"Total",$G$5:G51)</f>
        <v>0.99999999999999989</v>
      </c>
      <c r="H52" s="25"/>
      <c r="I52" s="26"/>
      <c r="J52" s="40"/>
      <c r="K52" s="47"/>
      <c r="L52" s="75"/>
    </row>
    <row r="53" spans="2:12" ht="12.75" customHeight="1" x14ac:dyDescent="0.2">
      <c r="F53" s="41"/>
      <c r="K53" s="47"/>
      <c r="L53" s="75"/>
    </row>
    <row r="54" spans="2:12" ht="12.75" customHeight="1" x14ac:dyDescent="0.2">
      <c r="B54" s="17" t="s">
        <v>634</v>
      </c>
      <c r="C54" s="17"/>
      <c r="K54" s="47"/>
      <c r="L54" s="75"/>
    </row>
    <row r="55" spans="2:12" ht="12.75" customHeight="1" x14ac:dyDescent="0.2">
      <c r="B55" s="17" t="s">
        <v>188</v>
      </c>
      <c r="C55" s="17"/>
      <c r="G55" s="15"/>
      <c r="H55" s="15"/>
    </row>
    <row r="56" spans="2:12" ht="12.75" customHeight="1" x14ac:dyDescent="0.2">
      <c r="B56" s="17"/>
      <c r="C56" s="17"/>
    </row>
    <row r="57" spans="2:12" ht="12.75" customHeight="1" x14ac:dyDescent="0.2">
      <c r="B57" s="17"/>
      <c r="C57" s="17"/>
      <c r="K57" s="47"/>
      <c r="L57" s="49"/>
    </row>
    <row r="58" spans="2:12" x14ac:dyDescent="0.2">
      <c r="E58"/>
      <c r="F58" s="101"/>
      <c r="J58"/>
      <c r="K58" s="47"/>
      <c r="L58" s="49"/>
    </row>
    <row r="59" spans="2:12" x14ac:dyDescent="0.2">
      <c r="E59"/>
      <c r="J59"/>
    </row>
    <row r="60" spans="2:12" x14ac:dyDescent="0.2">
      <c r="E60"/>
      <c r="J60"/>
    </row>
    <row r="61" spans="2:12" x14ac:dyDescent="0.2">
      <c r="E61"/>
      <c r="J61"/>
    </row>
    <row r="62" spans="2:12" x14ac:dyDescent="0.2">
      <c r="E62"/>
      <c r="J62"/>
      <c r="K62" s="37"/>
      <c r="L62"/>
    </row>
    <row r="63" spans="2:12" x14ac:dyDescent="0.2">
      <c r="E63"/>
      <c r="J63"/>
      <c r="K63" s="37"/>
      <c r="L63"/>
    </row>
    <row r="64" spans="2:12" x14ac:dyDescent="0.2">
      <c r="E64"/>
      <c r="J64"/>
      <c r="K64" s="37"/>
      <c r="L64"/>
    </row>
    <row r="65" spans="5:12" x14ac:dyDescent="0.2">
      <c r="E65"/>
      <c r="J65"/>
      <c r="K65" s="37"/>
      <c r="L65"/>
    </row>
    <row r="66" spans="5:12" x14ac:dyDescent="0.2">
      <c r="E66"/>
      <c r="J66"/>
      <c r="K66" s="37"/>
      <c r="L66"/>
    </row>
    <row r="67" spans="5:12" x14ac:dyDescent="0.2">
      <c r="E67"/>
      <c r="J67"/>
      <c r="K67" s="37"/>
      <c r="L67"/>
    </row>
    <row r="68" spans="5:12" x14ac:dyDescent="0.2">
      <c r="E68"/>
      <c r="J68"/>
      <c r="K68" s="37"/>
      <c r="L68"/>
    </row>
    <row r="69" spans="5:12" x14ac:dyDescent="0.2">
      <c r="E69"/>
      <c r="J69"/>
      <c r="K69" s="37"/>
      <c r="L69"/>
    </row>
    <row r="70" spans="5:12" x14ac:dyDescent="0.2">
      <c r="E70"/>
      <c r="J70"/>
      <c r="K70" s="37"/>
      <c r="L70"/>
    </row>
    <row r="71" spans="5:12" x14ac:dyDescent="0.2">
      <c r="E71"/>
      <c r="J71"/>
      <c r="K71" s="37"/>
      <c r="L71"/>
    </row>
    <row r="72" spans="5:12" x14ac:dyDescent="0.2">
      <c r="E72"/>
      <c r="J72"/>
      <c r="K72" s="37"/>
      <c r="L72"/>
    </row>
    <row r="73" spans="5:12" x14ac:dyDescent="0.2">
      <c r="E73"/>
      <c r="J73"/>
      <c r="K73" s="37"/>
      <c r="L73"/>
    </row>
    <row r="74" spans="5:12" x14ac:dyDescent="0.2">
      <c r="E74"/>
      <c r="J74"/>
      <c r="K74" s="37"/>
      <c r="L74"/>
    </row>
    <row r="75" spans="5:12" x14ac:dyDescent="0.2">
      <c r="E75"/>
      <c r="J75"/>
    </row>
    <row r="76" spans="5:12" x14ac:dyDescent="0.2">
      <c r="E76"/>
      <c r="J76"/>
    </row>
    <row r="77" spans="5:12" x14ac:dyDescent="0.2">
      <c r="E77"/>
      <c r="J77"/>
    </row>
    <row r="78" spans="5:12" x14ac:dyDescent="0.2">
      <c r="E78"/>
      <c r="J78"/>
    </row>
    <row r="79" spans="5:12" x14ac:dyDescent="0.2">
      <c r="E79"/>
      <c r="J79"/>
    </row>
    <row r="80" spans="5:12" x14ac:dyDescent="0.2">
      <c r="E80"/>
      <c r="J80"/>
    </row>
    <row r="81" spans="5:12" x14ac:dyDescent="0.2">
      <c r="E81"/>
      <c r="J81"/>
    </row>
    <row r="82" spans="5:12" x14ac:dyDescent="0.2">
      <c r="E82"/>
      <c r="J82"/>
    </row>
    <row r="83" spans="5:12" x14ac:dyDescent="0.2">
      <c r="E83"/>
      <c r="J83"/>
    </row>
    <row r="84" spans="5:12" x14ac:dyDescent="0.2">
      <c r="E84"/>
      <c r="J84"/>
    </row>
    <row r="85" spans="5:12" x14ac:dyDescent="0.2">
      <c r="E85"/>
      <c r="J85"/>
    </row>
    <row r="86" spans="5:12" x14ac:dyDescent="0.2">
      <c r="E86"/>
      <c r="J86"/>
      <c r="L86"/>
    </row>
    <row r="87" spans="5:12" x14ac:dyDescent="0.2">
      <c r="E87"/>
      <c r="J87"/>
      <c r="L87"/>
    </row>
    <row r="88" spans="5:12" x14ac:dyDescent="0.2">
      <c r="E88"/>
      <c r="J88"/>
      <c r="L88"/>
    </row>
    <row r="89" spans="5:12" x14ac:dyDescent="0.2">
      <c r="E89"/>
      <c r="J89"/>
      <c r="L89"/>
    </row>
    <row r="90" spans="5:12" x14ac:dyDescent="0.2">
      <c r="E90"/>
      <c r="J90"/>
      <c r="L90"/>
    </row>
    <row r="91" spans="5:12" x14ac:dyDescent="0.2">
      <c r="E91"/>
      <c r="J91"/>
      <c r="L91"/>
    </row>
    <row r="92" spans="5:12" x14ac:dyDescent="0.2">
      <c r="E92"/>
      <c r="J92"/>
      <c r="L92"/>
    </row>
    <row r="93" spans="5:12" x14ac:dyDescent="0.2">
      <c r="E93"/>
      <c r="J93"/>
      <c r="L93"/>
    </row>
    <row r="94" spans="5:12" x14ac:dyDescent="0.2">
      <c r="E94"/>
      <c r="J94"/>
      <c r="L94"/>
    </row>
    <row r="95" spans="5:12" x14ac:dyDescent="0.2">
      <c r="E95"/>
      <c r="J95"/>
      <c r="L95"/>
    </row>
    <row r="96" spans="5:12" x14ac:dyDescent="0.2">
      <c r="L96"/>
    </row>
    <row r="97" spans="5:12" x14ac:dyDescent="0.2">
      <c r="L97"/>
    </row>
    <row r="98" spans="5:12" x14ac:dyDescent="0.2">
      <c r="L98"/>
    </row>
    <row r="99" spans="5:12" x14ac:dyDescent="0.2">
      <c r="L99"/>
    </row>
    <row r="100" spans="5:12" x14ac:dyDescent="0.2">
      <c r="L100"/>
    </row>
    <row r="101" spans="5:12" x14ac:dyDescent="0.2">
      <c r="L101"/>
    </row>
    <row r="102" spans="5:12" x14ac:dyDescent="0.2">
      <c r="L102"/>
    </row>
    <row r="103" spans="5:12" x14ac:dyDescent="0.2">
      <c r="E103"/>
      <c r="J103"/>
      <c r="L103"/>
    </row>
    <row r="104" spans="5:12" x14ac:dyDescent="0.2">
      <c r="E104"/>
      <c r="J104"/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</sheetData>
  <sheetProtection password="EDB3" sheet="1" objects="1" scenarios="1"/>
  <sortState ref="K8:L21">
    <sortCondition descending="1" ref="L8:L21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6.85546875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42.85546875" bestFit="1" customWidth="1"/>
    <col min="11" max="11" width="8" style="37" customWidth="1"/>
  </cols>
  <sheetData>
    <row r="1" spans="1:16" ht="18.75" x14ac:dyDescent="0.2">
      <c r="A1" s="95" t="s">
        <v>374</v>
      </c>
      <c r="B1" s="126" t="s">
        <v>126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+MAX($A$8:A8)+1</f>
        <v>1</v>
      </c>
      <c r="B9" t="s">
        <v>194</v>
      </c>
      <c r="C9" t="s">
        <v>14</v>
      </c>
      <c r="D9" t="s">
        <v>10</v>
      </c>
      <c r="E9" s="29">
        <v>97268</v>
      </c>
      <c r="F9" s="14">
        <v>1832.7236559999999</v>
      </c>
      <c r="G9" s="15">
        <f t="shared" ref="G9:G40" si="0">+ROUND(F9/VLOOKUP("Grand Total",$B$4:$F$290,5,0),4)</f>
        <v>5.9200000000000003E-2</v>
      </c>
      <c r="H9" s="16"/>
      <c r="J9" s="15" t="s">
        <v>10</v>
      </c>
      <c r="K9" s="49">
        <f t="shared" ref="K9:K31" si="1">SUMIFS($G$5:$G$323,$D$5:$D$323,J9)</f>
        <v>0.2336</v>
      </c>
    </row>
    <row r="10" spans="1:16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9">
        <v>508908</v>
      </c>
      <c r="F10" s="14">
        <v>1594.1543099999999</v>
      </c>
      <c r="G10" s="15">
        <f t="shared" si="0"/>
        <v>5.1499999999999997E-2</v>
      </c>
      <c r="H10" s="16"/>
      <c r="J10" s="15" t="s">
        <v>26</v>
      </c>
      <c r="K10" s="49">
        <f t="shared" si="1"/>
        <v>0.1187</v>
      </c>
    </row>
    <row r="11" spans="1:16" ht="12.75" customHeight="1" x14ac:dyDescent="0.2">
      <c r="A11">
        <f>+MAX($A$8:A10)+1</f>
        <v>3</v>
      </c>
      <c r="B11" t="s">
        <v>196</v>
      </c>
      <c r="C11" t="s">
        <v>31</v>
      </c>
      <c r="D11" t="s">
        <v>30</v>
      </c>
      <c r="E11" s="29">
        <v>152446</v>
      </c>
      <c r="F11" s="14">
        <v>1455.1732930000001</v>
      </c>
      <c r="G11" s="15">
        <f t="shared" si="0"/>
        <v>4.7E-2</v>
      </c>
      <c r="H11" s="16"/>
      <c r="J11" s="15" t="s">
        <v>15</v>
      </c>
      <c r="K11" s="49">
        <f t="shared" si="1"/>
        <v>9.1299999999999992E-2</v>
      </c>
      <c r="L11" s="37"/>
      <c r="M11" s="15"/>
      <c r="N11" s="37"/>
      <c r="P11" s="15"/>
    </row>
    <row r="12" spans="1:16" ht="12.75" customHeight="1" x14ac:dyDescent="0.2">
      <c r="A12">
        <f>+MAX($A$8:A11)+1</f>
        <v>4</v>
      </c>
      <c r="B12" t="s">
        <v>211</v>
      </c>
      <c r="C12" t="s">
        <v>49</v>
      </c>
      <c r="D12" t="s">
        <v>21</v>
      </c>
      <c r="E12" s="29">
        <v>15964</v>
      </c>
      <c r="F12" s="14">
        <v>1412.9656580000001</v>
      </c>
      <c r="G12" s="15">
        <f t="shared" si="0"/>
        <v>4.5600000000000002E-2</v>
      </c>
      <c r="H12" s="16"/>
      <c r="J12" s="15" t="s">
        <v>21</v>
      </c>
      <c r="K12" s="49">
        <f t="shared" si="1"/>
        <v>8.9700000000000002E-2</v>
      </c>
      <c r="L12" s="37"/>
      <c r="M12" s="15"/>
      <c r="N12" s="37"/>
      <c r="P12" s="15"/>
    </row>
    <row r="13" spans="1:16" ht="12.75" customHeight="1" x14ac:dyDescent="0.2">
      <c r="A13">
        <f>+MAX($A$8:A12)+1</f>
        <v>5</v>
      </c>
      <c r="B13" t="s">
        <v>200</v>
      </c>
      <c r="C13" t="s">
        <v>27</v>
      </c>
      <c r="D13" t="s">
        <v>24</v>
      </c>
      <c r="E13" s="29">
        <v>74227</v>
      </c>
      <c r="F13" s="14">
        <v>1342.5437490000002</v>
      </c>
      <c r="G13" s="15">
        <f t="shared" si="0"/>
        <v>4.3299999999999998E-2</v>
      </c>
      <c r="H13" s="16"/>
      <c r="J13" s="15" t="s">
        <v>30</v>
      </c>
      <c r="K13" s="49">
        <f t="shared" si="1"/>
        <v>7.7200000000000005E-2</v>
      </c>
      <c r="L13" s="37"/>
      <c r="M13" s="15"/>
      <c r="N13" s="37"/>
      <c r="P13" s="15"/>
    </row>
    <row r="14" spans="1:16" ht="12.75" customHeight="1" x14ac:dyDescent="0.2">
      <c r="A14">
        <f>+MAX($A$8:A13)+1</f>
        <v>6</v>
      </c>
      <c r="B14" t="s">
        <v>203</v>
      </c>
      <c r="C14" t="s">
        <v>46</v>
      </c>
      <c r="D14" t="s">
        <v>26</v>
      </c>
      <c r="E14" s="29">
        <v>459000</v>
      </c>
      <c r="F14" s="14">
        <v>1216.5795000000001</v>
      </c>
      <c r="G14" s="15">
        <f t="shared" si="0"/>
        <v>3.9300000000000002E-2</v>
      </c>
      <c r="H14" s="16"/>
      <c r="J14" s="15" t="s">
        <v>24</v>
      </c>
      <c r="K14" s="49">
        <f t="shared" si="1"/>
        <v>7.2099999999999997E-2</v>
      </c>
      <c r="L14" s="37"/>
      <c r="M14" s="15"/>
      <c r="N14" s="37"/>
      <c r="P14" s="15"/>
    </row>
    <row r="15" spans="1:16" ht="12.75" customHeight="1" x14ac:dyDescent="0.2">
      <c r="A15">
        <f>+MAX($A$8:A14)+1</f>
        <v>7</v>
      </c>
      <c r="B15" t="s">
        <v>195</v>
      </c>
      <c r="C15" t="s">
        <v>16</v>
      </c>
      <c r="D15" t="s">
        <v>15</v>
      </c>
      <c r="E15" s="29">
        <v>96900</v>
      </c>
      <c r="F15" s="14">
        <v>1136.2493999999999</v>
      </c>
      <c r="G15" s="15">
        <f t="shared" si="0"/>
        <v>3.6700000000000003E-2</v>
      </c>
      <c r="H15" s="16"/>
      <c r="J15" s="15" t="s">
        <v>19</v>
      </c>
      <c r="K15" s="49">
        <f t="shared" si="1"/>
        <v>4.1800000000000004E-2</v>
      </c>
      <c r="L15" s="37"/>
      <c r="M15" s="15"/>
      <c r="N15" s="37"/>
      <c r="P15" s="15"/>
    </row>
    <row r="16" spans="1:16" ht="12.75" customHeight="1" x14ac:dyDescent="0.2">
      <c r="A16">
        <f>+MAX($A$8:A15)+1</f>
        <v>8</v>
      </c>
      <c r="B16" t="s">
        <v>241</v>
      </c>
      <c r="C16" t="s">
        <v>101</v>
      </c>
      <c r="D16" t="s">
        <v>26</v>
      </c>
      <c r="E16" s="29">
        <v>81582</v>
      </c>
      <c r="F16" s="14">
        <v>1075.0468049999999</v>
      </c>
      <c r="G16" s="15">
        <f t="shared" si="0"/>
        <v>3.4700000000000002E-2</v>
      </c>
      <c r="H16" s="16"/>
      <c r="J16" s="15" t="s">
        <v>23</v>
      </c>
      <c r="K16" s="49">
        <f t="shared" si="1"/>
        <v>4.1599999999999998E-2</v>
      </c>
      <c r="L16" s="37"/>
      <c r="M16" s="15"/>
      <c r="N16" s="37"/>
      <c r="P16" s="15"/>
    </row>
    <row r="17" spans="1:16" ht="12.75" customHeight="1" x14ac:dyDescent="0.2">
      <c r="A17">
        <f>+MAX($A$8:A16)+1</f>
        <v>9</v>
      </c>
      <c r="B17" t="s">
        <v>227</v>
      </c>
      <c r="C17" t="s">
        <v>71</v>
      </c>
      <c r="D17" t="s">
        <v>28</v>
      </c>
      <c r="E17" s="29">
        <v>78900</v>
      </c>
      <c r="F17" s="14">
        <v>1040.02035</v>
      </c>
      <c r="G17" s="15">
        <f t="shared" si="0"/>
        <v>3.3599999999999998E-2</v>
      </c>
      <c r="H17" s="16"/>
      <c r="J17" s="15" t="s">
        <v>28</v>
      </c>
      <c r="K17" s="49">
        <f t="shared" si="1"/>
        <v>3.3599999999999998E-2</v>
      </c>
      <c r="L17" s="37"/>
      <c r="M17" s="15"/>
      <c r="N17" s="37"/>
      <c r="P17" s="15"/>
    </row>
    <row r="18" spans="1:16" ht="12.75" customHeight="1" x14ac:dyDescent="0.2">
      <c r="A18">
        <f>+MAX($A$8:A17)+1</f>
        <v>10</v>
      </c>
      <c r="B18" t="s">
        <v>214</v>
      </c>
      <c r="C18" t="s">
        <v>98</v>
      </c>
      <c r="D18" t="s">
        <v>10</v>
      </c>
      <c r="E18" s="29">
        <v>93000</v>
      </c>
      <c r="F18" s="14">
        <v>1014.2115</v>
      </c>
      <c r="G18" s="15">
        <f t="shared" si="0"/>
        <v>3.27E-2</v>
      </c>
      <c r="H18" s="16"/>
      <c r="J18" s="15" t="s">
        <v>106</v>
      </c>
      <c r="K18" s="49">
        <f t="shared" si="1"/>
        <v>2.4900000000000002E-2</v>
      </c>
      <c r="L18" s="37"/>
      <c r="M18" s="15"/>
      <c r="N18" s="37"/>
      <c r="P18" s="15"/>
    </row>
    <row r="19" spans="1:16" ht="12.75" customHeight="1" x14ac:dyDescent="0.2">
      <c r="A19">
        <f>+MAX($A$8:A18)+1</f>
        <v>11</v>
      </c>
      <c r="B19" t="s">
        <v>205</v>
      </c>
      <c r="C19" t="s">
        <v>48</v>
      </c>
      <c r="D19" t="s">
        <v>26</v>
      </c>
      <c r="E19" s="29">
        <v>19500</v>
      </c>
      <c r="F19" s="14">
        <v>973.87874999999997</v>
      </c>
      <c r="G19" s="15">
        <f t="shared" si="0"/>
        <v>3.1399999999999997E-2</v>
      </c>
      <c r="H19" s="16"/>
      <c r="J19" s="15" t="s">
        <v>133</v>
      </c>
      <c r="K19" s="49">
        <f t="shared" si="1"/>
        <v>2.1299999999999999E-2</v>
      </c>
      <c r="L19" s="37"/>
      <c r="M19" s="15"/>
      <c r="N19" s="37"/>
      <c r="P19" s="15"/>
    </row>
    <row r="20" spans="1:16" ht="12.75" customHeight="1" x14ac:dyDescent="0.2">
      <c r="A20">
        <f>+MAX($A$8:A19)+1</f>
        <v>12</v>
      </c>
      <c r="B20" t="s">
        <v>17</v>
      </c>
      <c r="C20" t="s">
        <v>18</v>
      </c>
      <c r="D20" t="s">
        <v>10</v>
      </c>
      <c r="E20" s="29">
        <v>352500</v>
      </c>
      <c r="F20" s="14">
        <v>944.7</v>
      </c>
      <c r="G20" s="15">
        <f t="shared" si="0"/>
        <v>3.0499999999999999E-2</v>
      </c>
      <c r="H20" s="16"/>
      <c r="J20" s="15" t="s">
        <v>102</v>
      </c>
      <c r="K20" s="49">
        <f t="shared" si="1"/>
        <v>2.0400000000000001E-2</v>
      </c>
      <c r="L20" s="37"/>
      <c r="M20" s="15"/>
      <c r="N20" s="37"/>
      <c r="P20" s="15"/>
    </row>
    <row r="21" spans="1:16" ht="12.75" customHeight="1" x14ac:dyDescent="0.2">
      <c r="A21">
        <f>+MAX($A$8:A20)+1</f>
        <v>13</v>
      </c>
      <c r="B21" t="s">
        <v>243</v>
      </c>
      <c r="C21" t="s">
        <v>103</v>
      </c>
      <c r="D21" t="s">
        <v>10</v>
      </c>
      <c r="E21" s="29">
        <v>52617</v>
      </c>
      <c r="F21" s="14">
        <v>884.36022749999995</v>
      </c>
      <c r="G21" s="15">
        <f t="shared" si="0"/>
        <v>2.8500000000000001E-2</v>
      </c>
      <c r="H21" s="16"/>
      <c r="J21" s="15" t="s">
        <v>45</v>
      </c>
      <c r="K21" s="49">
        <f t="shared" si="1"/>
        <v>1.9199999999999998E-2</v>
      </c>
      <c r="L21" s="37"/>
      <c r="M21" s="15"/>
      <c r="N21" s="37"/>
      <c r="P21" s="15"/>
    </row>
    <row r="22" spans="1:16" ht="12.75" customHeight="1" x14ac:dyDescent="0.2">
      <c r="A22">
        <f>+MAX($A$8:A21)+1</f>
        <v>14</v>
      </c>
      <c r="B22" t="s">
        <v>250</v>
      </c>
      <c r="C22" t="s">
        <v>112</v>
      </c>
      <c r="D22" t="s">
        <v>21</v>
      </c>
      <c r="E22" s="29">
        <v>21660</v>
      </c>
      <c r="F22" s="14">
        <v>779.04521999999997</v>
      </c>
      <c r="G22" s="15">
        <f t="shared" si="0"/>
        <v>2.5100000000000001E-2</v>
      </c>
      <c r="H22" s="16"/>
      <c r="J22" s="15" t="s">
        <v>47</v>
      </c>
      <c r="K22" s="49">
        <f t="shared" si="1"/>
        <v>1.2699999999999999E-2</v>
      </c>
      <c r="L22" s="37"/>
      <c r="M22" s="15"/>
      <c r="N22" s="37"/>
      <c r="P22" s="15"/>
    </row>
    <row r="23" spans="1:16" ht="12.75" customHeight="1" x14ac:dyDescent="0.2">
      <c r="A23">
        <f>+MAX($A$8:A22)+1</f>
        <v>15</v>
      </c>
      <c r="B23" t="s">
        <v>199</v>
      </c>
      <c r="C23" t="s">
        <v>25</v>
      </c>
      <c r="D23" t="s">
        <v>15</v>
      </c>
      <c r="E23" s="29">
        <v>78900</v>
      </c>
      <c r="F23" s="14">
        <v>741.89670000000001</v>
      </c>
      <c r="G23" s="15">
        <f t="shared" si="0"/>
        <v>2.3900000000000001E-2</v>
      </c>
      <c r="H23" s="16"/>
      <c r="J23" s="15" t="s">
        <v>38</v>
      </c>
      <c r="K23" s="49">
        <f t="shared" si="1"/>
        <v>1.2E-2</v>
      </c>
      <c r="L23" s="37"/>
      <c r="M23" s="15"/>
      <c r="N23" s="37"/>
      <c r="P23" s="15"/>
    </row>
    <row r="24" spans="1:16" ht="12.75" customHeight="1" x14ac:dyDescent="0.2">
      <c r="A24">
        <f>+MAX($A$8:A23)+1</f>
        <v>16</v>
      </c>
      <c r="B24" t="s">
        <v>635</v>
      </c>
      <c r="C24" t="s">
        <v>127</v>
      </c>
      <c r="D24" t="s">
        <v>19</v>
      </c>
      <c r="E24" s="29">
        <v>4196</v>
      </c>
      <c r="F24" s="14">
        <v>697.51996200000008</v>
      </c>
      <c r="G24" s="15">
        <f t="shared" si="0"/>
        <v>2.2499999999999999E-2</v>
      </c>
      <c r="H24" s="16"/>
      <c r="J24" s="15" t="s">
        <v>411</v>
      </c>
      <c r="K24" s="49">
        <f t="shared" si="1"/>
        <v>1.06E-2</v>
      </c>
      <c r="L24" s="37"/>
      <c r="M24" s="15"/>
      <c r="N24" s="37"/>
      <c r="P24" s="15"/>
    </row>
    <row r="25" spans="1:16" ht="12.75" customHeight="1" x14ac:dyDescent="0.2">
      <c r="A25">
        <f>+MAX($A$8:A24)+1</f>
        <v>17</v>
      </c>
      <c r="B25" t="s">
        <v>255</v>
      </c>
      <c r="C25" t="s">
        <v>118</v>
      </c>
      <c r="D25" t="s">
        <v>102</v>
      </c>
      <c r="E25" s="29">
        <v>111900</v>
      </c>
      <c r="F25" s="14">
        <v>632.62665000000004</v>
      </c>
      <c r="G25" s="15">
        <f t="shared" si="0"/>
        <v>2.0400000000000001E-2</v>
      </c>
      <c r="H25" s="16"/>
      <c r="J25" s="15" t="s">
        <v>43</v>
      </c>
      <c r="K25" s="49">
        <f t="shared" si="1"/>
        <v>1.06E-2</v>
      </c>
      <c r="M25" s="15"/>
      <c r="N25" s="37"/>
      <c r="P25" s="15"/>
    </row>
    <row r="26" spans="1:16" ht="12.75" customHeight="1" x14ac:dyDescent="0.2">
      <c r="A26">
        <f>+MAX($A$8:A25)+1</f>
        <v>18</v>
      </c>
      <c r="B26" t="s">
        <v>231</v>
      </c>
      <c r="C26" t="s">
        <v>80</v>
      </c>
      <c r="D26" t="s">
        <v>30</v>
      </c>
      <c r="E26" s="29">
        <v>162000</v>
      </c>
      <c r="F26" s="14">
        <v>615.84299999999996</v>
      </c>
      <c r="G26" s="15">
        <f t="shared" si="0"/>
        <v>1.9900000000000001E-2</v>
      </c>
      <c r="H26" s="16"/>
      <c r="J26" s="15" t="s">
        <v>32</v>
      </c>
      <c r="K26" s="49">
        <f t="shared" si="1"/>
        <v>1.0500000000000001E-2</v>
      </c>
      <c r="L26" s="37"/>
      <c r="M26" s="15"/>
      <c r="N26" s="37"/>
      <c r="P26" s="15"/>
    </row>
    <row r="27" spans="1:16" ht="12.75" customHeight="1" x14ac:dyDescent="0.2">
      <c r="A27">
        <f>+MAX($A$8:A26)+1</f>
        <v>19</v>
      </c>
      <c r="B27" t="s">
        <v>497</v>
      </c>
      <c r="C27" t="s">
        <v>498</v>
      </c>
      <c r="D27" t="s">
        <v>15</v>
      </c>
      <c r="E27" s="29">
        <v>43500</v>
      </c>
      <c r="F27" s="14">
        <v>606.2595</v>
      </c>
      <c r="G27" s="15">
        <f t="shared" si="0"/>
        <v>1.9599999999999999E-2</v>
      </c>
      <c r="H27" s="16"/>
      <c r="J27" s="15" t="s">
        <v>36</v>
      </c>
      <c r="K27" s="49">
        <f t="shared" si="1"/>
        <v>1.01E-2</v>
      </c>
      <c r="L27" s="55"/>
      <c r="M27" s="15"/>
      <c r="N27" s="37"/>
      <c r="P27" s="15"/>
    </row>
    <row r="28" spans="1:16" ht="12.75" customHeight="1" x14ac:dyDescent="0.2">
      <c r="A28">
        <f>+MAX($A$8:A27)+1</f>
        <v>20</v>
      </c>
      <c r="B28" t="s">
        <v>206</v>
      </c>
      <c r="C28" t="s">
        <v>53</v>
      </c>
      <c r="D28" t="s">
        <v>19</v>
      </c>
      <c r="E28" s="29">
        <v>14400</v>
      </c>
      <c r="F28" s="14">
        <v>598.40639999999996</v>
      </c>
      <c r="G28" s="15">
        <f t="shared" si="0"/>
        <v>1.9300000000000001E-2</v>
      </c>
      <c r="H28" s="16"/>
      <c r="J28" t="s">
        <v>34</v>
      </c>
      <c r="K28" s="49">
        <f t="shared" si="1"/>
        <v>8.9999999999999993E-3</v>
      </c>
      <c r="M28" s="15"/>
      <c r="N28" s="37"/>
      <c r="P28" s="15"/>
    </row>
    <row r="29" spans="1:16" ht="12.75" customHeight="1" x14ac:dyDescent="0.2">
      <c r="A29">
        <f>+MAX($A$8:A28)+1</f>
        <v>21</v>
      </c>
      <c r="B29" t="s">
        <v>262</v>
      </c>
      <c r="C29" t="s">
        <v>124</v>
      </c>
      <c r="D29" t="s">
        <v>45</v>
      </c>
      <c r="E29" s="29">
        <v>243000</v>
      </c>
      <c r="F29" s="14">
        <v>596.322</v>
      </c>
      <c r="G29" s="15">
        <f t="shared" si="0"/>
        <v>1.9199999999999998E-2</v>
      </c>
      <c r="H29" s="16"/>
      <c r="J29" s="15" t="s">
        <v>105</v>
      </c>
      <c r="K29" s="49">
        <f t="shared" si="1"/>
        <v>7.4999999999999997E-3</v>
      </c>
      <c r="M29" s="15"/>
      <c r="N29" s="37"/>
      <c r="P29" s="15"/>
    </row>
    <row r="30" spans="1:16" ht="12.75" customHeight="1" x14ac:dyDescent="0.2">
      <c r="A30">
        <f>+MAX($A$8:A29)+1</f>
        <v>22</v>
      </c>
      <c r="B30" t="s">
        <v>198</v>
      </c>
      <c r="C30" t="s">
        <v>22</v>
      </c>
      <c r="D30" t="s">
        <v>21</v>
      </c>
      <c r="E30" s="29">
        <v>159000</v>
      </c>
      <c r="F30" s="14">
        <v>588.14099999999996</v>
      </c>
      <c r="G30" s="15">
        <f t="shared" si="0"/>
        <v>1.9E-2</v>
      </c>
      <c r="H30" s="16"/>
      <c r="J30" s="15" t="s">
        <v>41</v>
      </c>
      <c r="K30" s="49">
        <f t="shared" si="1"/>
        <v>5.7000000000000002E-3</v>
      </c>
      <c r="N30" s="37"/>
      <c r="P30" s="15"/>
    </row>
    <row r="31" spans="1:16" ht="12.75" customHeight="1" x14ac:dyDescent="0.2">
      <c r="A31">
        <f>+MAX($A$8:A30)+1</f>
        <v>23</v>
      </c>
      <c r="B31" t="s">
        <v>207</v>
      </c>
      <c r="C31" t="s">
        <v>50</v>
      </c>
      <c r="D31" t="s">
        <v>23</v>
      </c>
      <c r="E31" s="29">
        <v>7800</v>
      </c>
      <c r="F31" s="14">
        <v>447.96179999999998</v>
      </c>
      <c r="G31" s="15">
        <f t="shared" si="0"/>
        <v>1.4500000000000001E-2</v>
      </c>
      <c r="H31" s="16"/>
      <c r="J31" s="15" t="s">
        <v>324</v>
      </c>
      <c r="K31" s="49">
        <f t="shared" si="1"/>
        <v>5.3E-3</v>
      </c>
      <c r="M31" s="15"/>
      <c r="N31" s="37"/>
      <c r="P31" s="15"/>
    </row>
    <row r="32" spans="1:16" ht="12.75" customHeight="1" x14ac:dyDescent="0.2">
      <c r="A32">
        <f>+MAX($A$8:A31)+1</f>
        <v>24</v>
      </c>
      <c r="B32" t="s">
        <v>247</v>
      </c>
      <c r="C32" t="s">
        <v>110</v>
      </c>
      <c r="D32" t="s">
        <v>26</v>
      </c>
      <c r="E32" s="29">
        <v>36907</v>
      </c>
      <c r="F32" s="14">
        <v>412.52799249999998</v>
      </c>
      <c r="G32" s="15">
        <f t="shared" si="0"/>
        <v>1.3299999999999999E-2</v>
      </c>
      <c r="H32" s="16"/>
      <c r="J32" s="15" t="s">
        <v>64</v>
      </c>
      <c r="K32" s="49">
        <f>+SUMIFS($G$5:$G$996,$B$5:$B$996,"CBLO / Reverse Repo Investments")+SUMIFS($G$5:$G$996,$B$5:$B$996,"Net Receivable/Payable")</f>
        <v>2.06E-2</v>
      </c>
    </row>
    <row r="33" spans="1:8" ht="12.75" customHeight="1" x14ac:dyDescent="0.2">
      <c r="A33">
        <f>+MAX($A$8:A32)+1</f>
        <v>25</v>
      </c>
      <c r="B33" t="s">
        <v>313</v>
      </c>
      <c r="C33" t="s">
        <v>501</v>
      </c>
      <c r="D33" t="s">
        <v>133</v>
      </c>
      <c r="E33" s="29">
        <v>48000</v>
      </c>
      <c r="F33" s="14">
        <v>388.84800000000001</v>
      </c>
      <c r="G33" s="15">
        <f t="shared" si="0"/>
        <v>1.26E-2</v>
      </c>
      <c r="H33" s="16"/>
    </row>
    <row r="34" spans="1:8" ht="12.75" customHeight="1" x14ac:dyDescent="0.2">
      <c r="A34">
        <f>+MAX($A$8:A33)+1</f>
        <v>26</v>
      </c>
      <c r="B34" t="s">
        <v>502</v>
      </c>
      <c r="C34" t="s">
        <v>503</v>
      </c>
      <c r="D34" t="s">
        <v>38</v>
      </c>
      <c r="E34" s="29">
        <v>135000</v>
      </c>
      <c r="F34" s="14">
        <v>370.64249999999998</v>
      </c>
      <c r="G34" s="15">
        <f t="shared" si="0"/>
        <v>1.2E-2</v>
      </c>
      <c r="H34" s="16"/>
    </row>
    <row r="35" spans="1:8" ht="12.75" customHeight="1" x14ac:dyDescent="0.2">
      <c r="A35">
        <f>+MAX($A$8:A34)+1</f>
        <v>27</v>
      </c>
      <c r="B35" t="s">
        <v>253</v>
      </c>
      <c r="C35" t="s">
        <v>542</v>
      </c>
      <c r="D35" t="s">
        <v>10</v>
      </c>
      <c r="E35" s="29">
        <v>108000</v>
      </c>
      <c r="F35" s="14">
        <v>348.084</v>
      </c>
      <c r="G35" s="15">
        <f t="shared" si="0"/>
        <v>1.12E-2</v>
      </c>
      <c r="H35" s="16"/>
    </row>
    <row r="36" spans="1:8" ht="12.75" customHeight="1" x14ac:dyDescent="0.2">
      <c r="A36">
        <f>+MAX($A$8:A35)+1</f>
        <v>28</v>
      </c>
      <c r="B36" t="s">
        <v>270</v>
      </c>
      <c r="C36" t="s">
        <v>82</v>
      </c>
      <c r="D36" t="s">
        <v>15</v>
      </c>
      <c r="E36" s="29">
        <v>54000</v>
      </c>
      <c r="F36" s="14">
        <v>343.73700000000002</v>
      </c>
      <c r="G36" s="15">
        <f t="shared" si="0"/>
        <v>1.11E-2</v>
      </c>
      <c r="H36" s="16"/>
    </row>
    <row r="37" spans="1:8" ht="12.75" customHeight="1" x14ac:dyDescent="0.2">
      <c r="A37">
        <f>+MAX($A$8:A36)+1</f>
        <v>29</v>
      </c>
      <c r="B37" t="s">
        <v>434</v>
      </c>
      <c r="C37" t="s">
        <v>435</v>
      </c>
      <c r="D37" t="s">
        <v>106</v>
      </c>
      <c r="E37" s="29">
        <v>108000</v>
      </c>
      <c r="F37" s="14">
        <v>337.17599999999999</v>
      </c>
      <c r="G37" s="15">
        <f t="shared" si="0"/>
        <v>1.09E-2</v>
      </c>
      <c r="H37" s="16"/>
    </row>
    <row r="38" spans="1:8" ht="12.75" customHeight="1" x14ac:dyDescent="0.2">
      <c r="A38">
        <f>+MAX($A$8:A37)+1</f>
        <v>30</v>
      </c>
      <c r="B38" s="1" t="s">
        <v>493</v>
      </c>
      <c r="C38" t="s">
        <v>494</v>
      </c>
      <c r="D38" t="s">
        <v>43</v>
      </c>
      <c r="E38" s="29">
        <v>34500</v>
      </c>
      <c r="F38" s="14">
        <v>329.28525000000002</v>
      </c>
      <c r="G38" s="15">
        <f t="shared" si="0"/>
        <v>1.06E-2</v>
      </c>
      <c r="H38" s="16"/>
    </row>
    <row r="39" spans="1:8" ht="12.75" customHeight="1" x14ac:dyDescent="0.2">
      <c r="A39">
        <f>+MAX($A$8:A38)+1</f>
        <v>31</v>
      </c>
      <c r="B39" t="s">
        <v>425</v>
      </c>
      <c r="C39" t="s">
        <v>426</v>
      </c>
      <c r="D39" t="s">
        <v>411</v>
      </c>
      <c r="E39" s="29">
        <v>58800</v>
      </c>
      <c r="F39" s="14">
        <v>328.54500000000002</v>
      </c>
      <c r="G39" s="15">
        <f t="shared" si="0"/>
        <v>1.06E-2</v>
      </c>
      <c r="H39" s="16"/>
    </row>
    <row r="40" spans="1:8" ht="12.75" customHeight="1" x14ac:dyDescent="0.2">
      <c r="A40">
        <f>+MAX($A$8:A39)+1</f>
        <v>32</v>
      </c>
      <c r="B40" t="s">
        <v>225</v>
      </c>
      <c r="C40" t="s">
        <v>70</v>
      </c>
      <c r="D40" t="s">
        <v>10</v>
      </c>
      <c r="E40" s="29">
        <v>345600</v>
      </c>
      <c r="F40" s="14">
        <v>325.72800000000001</v>
      </c>
      <c r="G40" s="15">
        <f t="shared" si="0"/>
        <v>1.0500000000000001E-2</v>
      </c>
      <c r="H40" s="16"/>
    </row>
    <row r="41" spans="1:8" ht="12.75" customHeight="1" x14ac:dyDescent="0.2">
      <c r="A41">
        <f>+MAX($A$8:A40)+1</f>
        <v>33</v>
      </c>
      <c r="B41" t="s">
        <v>516</v>
      </c>
      <c r="C41" t="s">
        <v>517</v>
      </c>
      <c r="D41" t="s">
        <v>32</v>
      </c>
      <c r="E41" s="29">
        <v>180000</v>
      </c>
      <c r="F41" s="14">
        <v>324.18</v>
      </c>
      <c r="G41" s="15">
        <f t="shared" ref="G41:G58" si="2">+ROUND(F41/VLOOKUP("Grand Total",$B$4:$F$290,5,0),4)</f>
        <v>1.0500000000000001E-2</v>
      </c>
      <c r="H41" s="16"/>
    </row>
    <row r="42" spans="1:8" ht="12.75" customHeight="1" x14ac:dyDescent="0.2">
      <c r="A42">
        <f>+MAX($A$8:A41)+1</f>
        <v>34</v>
      </c>
      <c r="B42" t="s">
        <v>254</v>
      </c>
      <c r="C42" t="s">
        <v>117</v>
      </c>
      <c r="D42" t="s">
        <v>30</v>
      </c>
      <c r="E42" s="29">
        <v>74360</v>
      </c>
      <c r="F42" s="14">
        <v>319.41338000000002</v>
      </c>
      <c r="G42" s="15">
        <f t="shared" si="2"/>
        <v>1.03E-2</v>
      </c>
      <c r="H42" s="16"/>
    </row>
    <row r="43" spans="1:8" ht="12.75" customHeight="1" x14ac:dyDescent="0.2">
      <c r="A43">
        <f>+MAX($A$8:A42)+1</f>
        <v>35</v>
      </c>
      <c r="B43" t="s">
        <v>451</v>
      </c>
      <c r="C43" t="s">
        <v>452</v>
      </c>
      <c r="D43" t="s">
        <v>24</v>
      </c>
      <c r="E43" s="29">
        <v>198000</v>
      </c>
      <c r="F43" s="14">
        <v>317.49299999999999</v>
      </c>
      <c r="G43" s="15">
        <f t="shared" si="2"/>
        <v>1.0200000000000001E-2</v>
      </c>
      <c r="H43" s="16"/>
    </row>
    <row r="44" spans="1:8" ht="12.75" customHeight="1" x14ac:dyDescent="0.2">
      <c r="A44">
        <f>+MAX($A$8:A43)+1</f>
        <v>36</v>
      </c>
      <c r="B44" t="s">
        <v>249</v>
      </c>
      <c r="C44" t="s">
        <v>114</v>
      </c>
      <c r="D44" t="s">
        <v>36</v>
      </c>
      <c r="E44" s="29">
        <v>159000</v>
      </c>
      <c r="F44" s="14">
        <v>314.34300000000002</v>
      </c>
      <c r="G44" s="15">
        <f t="shared" si="2"/>
        <v>1.01E-2</v>
      </c>
      <c r="H44" s="16"/>
    </row>
    <row r="45" spans="1:8" ht="12.75" customHeight="1" x14ac:dyDescent="0.2">
      <c r="A45">
        <f>+MAX($A$8:A44)+1</f>
        <v>37</v>
      </c>
      <c r="B45" t="s">
        <v>217</v>
      </c>
      <c r="C45" t="s">
        <v>61</v>
      </c>
      <c r="D45" t="s">
        <v>23</v>
      </c>
      <c r="E45" s="29">
        <v>50998</v>
      </c>
      <c r="F45" s="14">
        <v>313.07672200000002</v>
      </c>
      <c r="G45" s="15">
        <f t="shared" si="2"/>
        <v>1.01E-2</v>
      </c>
      <c r="H45" s="16"/>
    </row>
    <row r="46" spans="1:8" ht="12.75" customHeight="1" x14ac:dyDescent="0.2">
      <c r="A46">
        <f>+MAX($A$8:A45)+1</f>
        <v>38</v>
      </c>
      <c r="B46" t="s">
        <v>460</v>
      </c>
      <c r="C46" t="s">
        <v>461</v>
      </c>
      <c r="D46" t="s">
        <v>24</v>
      </c>
      <c r="E46" s="29">
        <v>396000</v>
      </c>
      <c r="F46" s="14">
        <v>304.92</v>
      </c>
      <c r="G46" s="15">
        <f t="shared" si="2"/>
        <v>9.7999999999999997E-3</v>
      </c>
      <c r="H46" s="16"/>
    </row>
    <row r="47" spans="1:8" ht="12.75" customHeight="1" x14ac:dyDescent="0.2">
      <c r="A47">
        <f>+MAX($A$8:A46)+1</f>
        <v>39</v>
      </c>
      <c r="B47" t="s">
        <v>219</v>
      </c>
      <c r="C47" t="s">
        <v>29</v>
      </c>
      <c r="D47" t="s">
        <v>10</v>
      </c>
      <c r="E47" s="29">
        <v>55800</v>
      </c>
      <c r="F47" s="14">
        <v>295.04250000000002</v>
      </c>
      <c r="G47" s="15">
        <f t="shared" si="2"/>
        <v>9.4999999999999998E-3</v>
      </c>
      <c r="H47" s="16"/>
    </row>
    <row r="48" spans="1:8" ht="12.75" customHeight="1" x14ac:dyDescent="0.2">
      <c r="A48">
        <f>+MAX($A$8:A47)+1</f>
        <v>40</v>
      </c>
      <c r="B48" t="s">
        <v>215</v>
      </c>
      <c r="C48" t="s">
        <v>59</v>
      </c>
      <c r="D48" t="s">
        <v>23</v>
      </c>
      <c r="E48" s="29">
        <v>36000</v>
      </c>
      <c r="F48" s="14">
        <v>287.53199999999998</v>
      </c>
      <c r="G48" s="15">
        <f t="shared" si="2"/>
        <v>9.2999999999999992E-3</v>
      </c>
      <c r="H48" s="16"/>
    </row>
    <row r="49" spans="1:11" ht="12.75" customHeight="1" x14ac:dyDescent="0.2">
      <c r="A49">
        <f>+MAX($A$8:A48)+1</f>
        <v>41</v>
      </c>
      <c r="B49" t="s">
        <v>216</v>
      </c>
      <c r="C49" t="s">
        <v>65</v>
      </c>
      <c r="D49" t="s">
        <v>34</v>
      </c>
      <c r="E49" s="29">
        <v>64800</v>
      </c>
      <c r="F49" s="14">
        <v>277.7004</v>
      </c>
      <c r="G49" s="15">
        <f t="shared" si="2"/>
        <v>8.9999999999999993E-3</v>
      </c>
      <c r="H49" s="16"/>
    </row>
    <row r="50" spans="1:11" ht="12.75" customHeight="1" x14ac:dyDescent="0.2">
      <c r="A50">
        <f>+MAX($A$8:A49)+1</f>
        <v>42</v>
      </c>
      <c r="B50" t="s">
        <v>606</v>
      </c>
      <c r="C50" t="s">
        <v>607</v>
      </c>
      <c r="D50" t="s">
        <v>106</v>
      </c>
      <c r="E50" s="29">
        <v>300000</v>
      </c>
      <c r="F50" s="14">
        <v>273.45</v>
      </c>
      <c r="G50" s="15">
        <f t="shared" si="2"/>
        <v>8.8000000000000005E-3</v>
      </c>
      <c r="H50" s="16"/>
    </row>
    <row r="51" spans="1:11" ht="12.75" customHeight="1" x14ac:dyDescent="0.2">
      <c r="A51">
        <f>+MAX($A$8:A50)+1</f>
        <v>43</v>
      </c>
      <c r="B51" t="s">
        <v>518</v>
      </c>
      <c r="C51" t="s">
        <v>519</v>
      </c>
      <c r="D51" t="s">
        <v>24</v>
      </c>
      <c r="E51" s="29">
        <v>5400</v>
      </c>
      <c r="F51" s="14">
        <v>272.79180000000002</v>
      </c>
      <c r="G51" s="15">
        <f t="shared" si="2"/>
        <v>8.8000000000000005E-3</v>
      </c>
      <c r="H51" s="16"/>
    </row>
    <row r="52" spans="1:11" ht="12.75" customHeight="1" x14ac:dyDescent="0.2">
      <c r="A52">
        <f>+MAX($A$8:A51)+1</f>
        <v>44</v>
      </c>
      <c r="B52" t="s">
        <v>544</v>
      </c>
      <c r="C52" t="s">
        <v>545</v>
      </c>
      <c r="D52" t="s">
        <v>133</v>
      </c>
      <c r="E52" s="29">
        <v>70800</v>
      </c>
      <c r="F52" s="14">
        <v>269.67720000000003</v>
      </c>
      <c r="G52" s="15">
        <f t="shared" si="2"/>
        <v>8.6999999999999994E-3</v>
      </c>
      <c r="H52" s="16"/>
    </row>
    <row r="53" spans="1:11" ht="12.75" customHeight="1" x14ac:dyDescent="0.2">
      <c r="A53">
        <f>+MAX($A$8:A52)+1</f>
        <v>45</v>
      </c>
      <c r="B53" t="s">
        <v>286</v>
      </c>
      <c r="C53" t="s">
        <v>179</v>
      </c>
      <c r="D53" t="s">
        <v>47</v>
      </c>
      <c r="E53" s="29">
        <v>108000</v>
      </c>
      <c r="F53" s="14">
        <v>267.084</v>
      </c>
      <c r="G53" s="15">
        <f t="shared" si="2"/>
        <v>8.6E-3</v>
      </c>
      <c r="H53" s="16"/>
    </row>
    <row r="54" spans="1:11" ht="12.75" customHeight="1" x14ac:dyDescent="0.2">
      <c r="A54">
        <f>+MAX($A$8:A53)+1</f>
        <v>46</v>
      </c>
      <c r="B54" t="s">
        <v>430</v>
      </c>
      <c r="C54" t="s">
        <v>68</v>
      </c>
      <c r="D54" t="s">
        <v>23</v>
      </c>
      <c r="E54" s="29">
        <v>44700</v>
      </c>
      <c r="F54" s="14">
        <v>239.30144999999999</v>
      </c>
      <c r="G54" s="15">
        <f t="shared" si="2"/>
        <v>7.7000000000000002E-3</v>
      </c>
      <c r="H54" s="16"/>
    </row>
    <row r="55" spans="1:11" ht="12.75" customHeight="1" x14ac:dyDescent="0.2">
      <c r="A55">
        <f>+MAX($A$8:A54)+1</f>
        <v>47</v>
      </c>
      <c r="B55" t="s">
        <v>473</v>
      </c>
      <c r="C55" t="s">
        <v>474</v>
      </c>
      <c r="D55" t="s">
        <v>105</v>
      </c>
      <c r="E55" s="29">
        <v>18900</v>
      </c>
      <c r="F55" s="14">
        <v>233.43389999999999</v>
      </c>
      <c r="G55" s="15">
        <f t="shared" si="2"/>
        <v>7.4999999999999997E-3</v>
      </c>
      <c r="H55" s="16"/>
    </row>
    <row r="56" spans="1:11" ht="12.75" customHeight="1" x14ac:dyDescent="0.2">
      <c r="A56">
        <f>+MAX($A$8:A55)+1</f>
        <v>48</v>
      </c>
      <c r="B56" t="s">
        <v>208</v>
      </c>
      <c r="C56" t="s">
        <v>52</v>
      </c>
      <c r="D56" t="s">
        <v>41</v>
      </c>
      <c r="E56" s="29">
        <v>150000</v>
      </c>
      <c r="F56" s="14">
        <v>175.42500000000001</v>
      </c>
      <c r="G56" s="15">
        <f t="shared" si="2"/>
        <v>5.7000000000000002E-3</v>
      </c>
      <c r="H56" s="16"/>
    </row>
    <row r="57" spans="1:11" ht="12.75" customHeight="1" x14ac:dyDescent="0.2">
      <c r="A57">
        <f>+MAX($A$8:A56)+1</f>
        <v>49</v>
      </c>
      <c r="B57" t="s">
        <v>636</v>
      </c>
      <c r="C57" t="s">
        <v>637</v>
      </c>
      <c r="D57" t="s">
        <v>106</v>
      </c>
      <c r="E57" s="29">
        <v>78000</v>
      </c>
      <c r="F57" s="14">
        <v>160.71899999999999</v>
      </c>
      <c r="G57" s="15">
        <f t="shared" si="2"/>
        <v>5.1999999999999998E-3</v>
      </c>
      <c r="H57" s="16"/>
    </row>
    <row r="58" spans="1:11" ht="12.75" customHeight="1" x14ac:dyDescent="0.2">
      <c r="A58">
        <f>+MAX($A$8:A57)+1</f>
        <v>50</v>
      </c>
      <c r="B58" s="66" t="s">
        <v>257</v>
      </c>
      <c r="C58" s="66" t="s">
        <v>119</v>
      </c>
      <c r="D58" t="s">
        <v>47</v>
      </c>
      <c r="E58" s="29">
        <v>28000</v>
      </c>
      <c r="F58" s="14">
        <v>128.1</v>
      </c>
      <c r="G58" s="15">
        <f t="shared" si="2"/>
        <v>4.1000000000000003E-3</v>
      </c>
      <c r="H58" s="16"/>
    </row>
    <row r="59" spans="1:11" ht="12.75" customHeight="1" x14ac:dyDescent="0.2">
      <c r="B59" s="19" t="s">
        <v>85</v>
      </c>
      <c r="C59" s="19"/>
      <c r="D59" s="19"/>
      <c r="E59" s="30"/>
      <c r="F59" s="20">
        <f>SUM(F9:F58)</f>
        <v>30184.886524999998</v>
      </c>
      <c r="G59" s="21">
        <f>SUM(G9:G58)</f>
        <v>0.97409999999999997</v>
      </c>
      <c r="H59" s="22"/>
      <c r="I59" s="36"/>
    </row>
    <row r="60" spans="1:11" s="47" customFormat="1" ht="12.75" customHeight="1" x14ac:dyDescent="0.2">
      <c r="B60" s="68"/>
      <c r="C60" s="68"/>
      <c r="D60" s="68"/>
      <c r="E60" s="69"/>
      <c r="F60" s="70"/>
      <c r="G60" s="71"/>
      <c r="H60" s="72"/>
      <c r="I60" s="36"/>
      <c r="K60" s="49"/>
    </row>
    <row r="61" spans="1:11" ht="12.75" customHeight="1" x14ac:dyDescent="0.2">
      <c r="B61" s="17" t="s">
        <v>140</v>
      </c>
      <c r="C61" s="17"/>
      <c r="F61" s="14"/>
      <c r="G61" s="15"/>
      <c r="H61" s="16"/>
      <c r="J61" s="18"/>
      <c r="K61" s="38"/>
    </row>
    <row r="62" spans="1:11" ht="12.75" customHeight="1" x14ac:dyDescent="0.2">
      <c r="A62">
        <f>+MAX($A$8:A61)+1</f>
        <v>51</v>
      </c>
      <c r="B62" t="s">
        <v>257</v>
      </c>
      <c r="C62" s="122" t="s">
        <v>667</v>
      </c>
      <c r="D62" t="s">
        <v>324</v>
      </c>
      <c r="E62" s="29">
        <v>36000</v>
      </c>
      <c r="F62" s="14">
        <v>165.22200000000001</v>
      </c>
      <c r="G62" s="15">
        <f>+ROUND(F62/VLOOKUP("Grand Total",$B$4:$F$290,5,0),4)</f>
        <v>5.3E-3</v>
      </c>
      <c r="H62" s="16">
        <v>43187</v>
      </c>
      <c r="J62" s="15"/>
      <c r="K62" s="49"/>
    </row>
    <row r="63" spans="1:11" ht="12.75" customHeight="1" x14ac:dyDescent="0.2">
      <c r="B63" s="19" t="s">
        <v>85</v>
      </c>
      <c r="C63" s="19"/>
      <c r="D63" s="19"/>
      <c r="E63" s="30"/>
      <c r="F63" s="20">
        <f>SUM(F62:F62)</f>
        <v>165.22200000000001</v>
      </c>
      <c r="G63" s="21">
        <f>SUM(G62:G62)</f>
        <v>5.3E-3</v>
      </c>
      <c r="H63" s="22"/>
      <c r="I63" s="36"/>
    </row>
    <row r="64" spans="1:11" s="47" customFormat="1" ht="12.75" customHeight="1" x14ac:dyDescent="0.2">
      <c r="B64" s="68"/>
      <c r="C64" s="68"/>
      <c r="D64" s="68"/>
      <c r="E64" s="69"/>
      <c r="F64" s="70"/>
      <c r="G64" s="71"/>
      <c r="H64" s="72"/>
      <c r="I64" s="36"/>
      <c r="K64" s="49"/>
    </row>
    <row r="65" spans="1:11" ht="12.75" customHeight="1" x14ac:dyDescent="0.2">
      <c r="A65" s="96" t="s">
        <v>371</v>
      </c>
      <c r="B65" s="17" t="s">
        <v>93</v>
      </c>
      <c r="C65" s="17"/>
      <c r="F65" s="14">
        <v>761.56808000000001</v>
      </c>
      <c r="G65" s="15">
        <f>+ROUND(F65/VLOOKUP("Grand Total",$B$4:$F$290,5,0),4)</f>
        <v>2.46E-2</v>
      </c>
      <c r="H65" s="16">
        <v>43160</v>
      </c>
    </row>
    <row r="66" spans="1:11" ht="12.75" customHeight="1" x14ac:dyDescent="0.2">
      <c r="B66" s="19" t="s">
        <v>85</v>
      </c>
      <c r="C66" s="19"/>
      <c r="D66" s="19"/>
      <c r="E66" s="30"/>
      <c r="F66" s="20">
        <f>SUM(F65)</f>
        <v>761.56808000000001</v>
      </c>
      <c r="G66" s="21">
        <f>SUM(G65)</f>
        <v>2.46E-2</v>
      </c>
      <c r="H66" s="22"/>
    </row>
    <row r="67" spans="1:11" ht="12.75" customHeight="1" x14ac:dyDescent="0.2">
      <c r="F67" s="14"/>
      <c r="G67" s="15"/>
      <c r="H67" s="16"/>
      <c r="I67" s="36"/>
    </row>
    <row r="68" spans="1:11" ht="12.75" customHeight="1" x14ac:dyDescent="0.2">
      <c r="B68" s="17" t="s">
        <v>94</v>
      </c>
      <c r="C68" s="17"/>
      <c r="F68" s="14"/>
      <c r="G68" s="15"/>
      <c r="H68" s="16"/>
      <c r="I68" s="36"/>
    </row>
    <row r="69" spans="1:11" ht="12.75" customHeight="1" x14ac:dyDescent="0.2">
      <c r="B69" s="17" t="s">
        <v>95</v>
      </c>
      <c r="C69" s="17"/>
      <c r="F69" s="14">
        <v>-132.92974369999502</v>
      </c>
      <c r="G69" s="123">
        <f>+ROUND(F69/VLOOKUP("Grand Total",$B$4:$F$290,5,0),4)+0.03%</f>
        <v>-4.0000000000000001E-3</v>
      </c>
      <c r="H69" s="16"/>
    </row>
    <row r="70" spans="1:11" ht="12.75" customHeight="1" x14ac:dyDescent="0.2">
      <c r="B70" s="19" t="s">
        <v>85</v>
      </c>
      <c r="C70" s="19"/>
      <c r="D70" s="19"/>
      <c r="E70" s="30"/>
      <c r="F70" s="20">
        <f>SUM(F69)</f>
        <v>-132.92974369999502</v>
      </c>
      <c r="G70" s="124">
        <f>SUM(G69)</f>
        <v>-4.0000000000000001E-3</v>
      </c>
      <c r="H70" s="22"/>
    </row>
    <row r="71" spans="1:11" ht="12.75" customHeight="1" x14ac:dyDescent="0.2">
      <c r="B71" s="23" t="s">
        <v>96</v>
      </c>
      <c r="C71" s="23"/>
      <c r="D71" s="23"/>
      <c r="E71" s="31"/>
      <c r="F71" s="24">
        <f>+SUMIF($B$5:B70,"Total",$F$5:F70)</f>
        <v>30978.746861300006</v>
      </c>
      <c r="G71" s="25">
        <f>+SUMIF($B$5:B70,"Total",$G$5:G70)</f>
        <v>1</v>
      </c>
      <c r="H71" s="26"/>
    </row>
    <row r="72" spans="1:11" ht="12.75" customHeight="1" x14ac:dyDescent="0.2">
      <c r="I72"/>
      <c r="K72"/>
    </row>
    <row r="73" spans="1:11" ht="12.75" customHeight="1" x14ac:dyDescent="0.2">
      <c r="B73" s="17" t="s">
        <v>762</v>
      </c>
      <c r="C73" s="17"/>
      <c r="F73" s="14"/>
      <c r="G73" s="15"/>
      <c r="I73"/>
      <c r="K73"/>
    </row>
    <row r="74" spans="1:11" ht="12.75" customHeight="1" x14ac:dyDescent="0.2">
      <c r="B74" s="17"/>
      <c r="C74" s="17"/>
      <c r="F74" s="14"/>
      <c r="G74" s="15"/>
      <c r="I74"/>
      <c r="K74"/>
    </row>
    <row r="75" spans="1:11" ht="12.75" customHeight="1" x14ac:dyDescent="0.2">
      <c r="B75" s="17"/>
      <c r="C75" s="17"/>
      <c r="F75" s="14"/>
      <c r="G75" s="15"/>
      <c r="I75"/>
      <c r="K75"/>
    </row>
    <row r="76" spans="1:11" ht="12.75" customHeight="1" x14ac:dyDescent="0.2">
      <c r="I76"/>
      <c r="K76"/>
    </row>
    <row r="77" spans="1:11" ht="12.75" customHeight="1" x14ac:dyDescent="0.2">
      <c r="F77" s="14"/>
      <c r="I77"/>
      <c r="K77"/>
    </row>
    <row r="78" spans="1:11" ht="12.75" customHeight="1" x14ac:dyDescent="0.2">
      <c r="I78"/>
      <c r="K78"/>
    </row>
    <row r="79" spans="1:11" ht="12.75" customHeight="1" x14ac:dyDescent="0.2">
      <c r="I79"/>
      <c r="K79"/>
    </row>
    <row r="80" spans="1:11" ht="12.75" customHeight="1" x14ac:dyDescent="0.2">
      <c r="I80"/>
      <c r="K80"/>
    </row>
    <row r="81" spans="5:11" ht="12.75" customHeight="1" x14ac:dyDescent="0.2">
      <c r="I81"/>
      <c r="K81"/>
    </row>
    <row r="82" spans="5:11" ht="12.75" customHeight="1" x14ac:dyDescent="0.2">
      <c r="I82"/>
      <c r="K82"/>
    </row>
    <row r="83" spans="5:11" ht="12.75" customHeight="1" x14ac:dyDescent="0.2">
      <c r="I83"/>
      <c r="K83"/>
    </row>
    <row r="84" spans="5:11" ht="12.75" customHeight="1" x14ac:dyDescent="0.2">
      <c r="I84"/>
      <c r="K84"/>
    </row>
    <row r="85" spans="5:11" ht="12.75" customHeight="1" x14ac:dyDescent="0.2"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  <row r="108" spans="5:11" ht="12.75" customHeight="1" x14ac:dyDescent="0.2">
      <c r="E108"/>
      <c r="I108"/>
      <c r="K108"/>
    </row>
  </sheetData>
  <sheetProtection password="EDB3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21.5703125" bestFit="1" customWidth="1"/>
    <col min="11" max="11" width="8" style="37" customWidth="1"/>
  </cols>
  <sheetData>
    <row r="1" spans="1:16" ht="18.75" x14ac:dyDescent="0.2">
      <c r="A1" s="95" t="s">
        <v>375</v>
      </c>
      <c r="B1" s="126" t="s">
        <v>130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+MAX($A$7:A8)+1</f>
        <v>1</v>
      </c>
      <c r="B9" t="s">
        <v>241</v>
      </c>
      <c r="C9" t="s">
        <v>101</v>
      </c>
      <c r="D9" t="s">
        <v>26</v>
      </c>
      <c r="E9" s="29">
        <v>84280</v>
      </c>
      <c r="F9" s="14">
        <v>1110.5997</v>
      </c>
      <c r="G9" s="15">
        <f t="shared" ref="G9:G40" si="0">+ROUND(F9/VLOOKUP("Grand Total",$B$4:$F$300,5,0),4)</f>
        <v>8.4500000000000006E-2</v>
      </c>
      <c r="H9" s="16"/>
      <c r="J9" s="66" t="s">
        <v>26</v>
      </c>
      <c r="K9" s="104">
        <f t="shared" ref="K9:K32" si="1">SUMIFS($G$5:$G$324,$D$5:$D$324,J9)</f>
        <v>0.17220000000000002</v>
      </c>
    </row>
    <row r="10" spans="1:16" s="66" customFormat="1" ht="12.75" customHeight="1" x14ac:dyDescent="0.2">
      <c r="A10" s="66">
        <f>+MAX($A$7:A9)+1</f>
        <v>2</v>
      </c>
      <c r="B10" s="66" t="s">
        <v>211</v>
      </c>
      <c r="C10" s="66" t="s">
        <v>49</v>
      </c>
      <c r="D10" s="66" t="s">
        <v>21</v>
      </c>
      <c r="E10" s="86">
        <v>7350</v>
      </c>
      <c r="F10" s="87">
        <v>650.54482499999995</v>
      </c>
      <c r="G10" s="91">
        <f t="shared" si="0"/>
        <v>4.9500000000000002E-2</v>
      </c>
      <c r="H10" s="90"/>
      <c r="I10" s="74"/>
      <c r="J10" s="15" t="s">
        <v>10</v>
      </c>
      <c r="K10" s="49">
        <f t="shared" si="1"/>
        <v>0.14200000000000002</v>
      </c>
      <c r="L10" s="85"/>
      <c r="M10" s="91"/>
    </row>
    <row r="11" spans="1:16" ht="12.75" customHeight="1" x14ac:dyDescent="0.2">
      <c r="A11">
        <f>+MAX($A$7:A10)+1</f>
        <v>3</v>
      </c>
      <c r="B11" t="s">
        <v>203</v>
      </c>
      <c r="C11" t="s">
        <v>46</v>
      </c>
      <c r="D11" t="s">
        <v>26</v>
      </c>
      <c r="E11" s="29">
        <v>231108</v>
      </c>
      <c r="F11" s="14">
        <v>612.55175399999996</v>
      </c>
      <c r="G11" s="15">
        <f t="shared" si="0"/>
        <v>4.6600000000000003E-2</v>
      </c>
      <c r="H11" s="16"/>
      <c r="J11" s="15" t="s">
        <v>21</v>
      </c>
      <c r="K11" s="49">
        <f t="shared" si="1"/>
        <v>0.10920000000000001</v>
      </c>
      <c r="L11" s="37"/>
      <c r="M11" s="15"/>
      <c r="N11" s="37"/>
      <c r="P11" s="15"/>
    </row>
    <row r="12" spans="1:16" ht="12.75" customHeight="1" x14ac:dyDescent="0.2">
      <c r="A12">
        <f>+MAX($A$7:A11)+1</f>
        <v>4</v>
      </c>
      <c r="B12" t="s">
        <v>197</v>
      </c>
      <c r="C12" t="s">
        <v>11</v>
      </c>
      <c r="D12" t="s">
        <v>10</v>
      </c>
      <c r="E12" s="29">
        <v>163499</v>
      </c>
      <c r="F12" s="14">
        <v>512.16061749999994</v>
      </c>
      <c r="G12" s="15">
        <f t="shared" si="0"/>
        <v>3.9E-2</v>
      </c>
      <c r="H12" s="16"/>
      <c r="J12" s="15" t="s">
        <v>15</v>
      </c>
      <c r="K12" s="49">
        <f t="shared" si="1"/>
        <v>8.2500000000000004E-2</v>
      </c>
      <c r="L12" s="37"/>
      <c r="M12" s="15"/>
      <c r="N12" s="37"/>
      <c r="P12" s="15"/>
    </row>
    <row r="13" spans="1:16" ht="12.75" customHeight="1" x14ac:dyDescent="0.2">
      <c r="A13">
        <f>+MAX($A$7:A12)+1</f>
        <v>5</v>
      </c>
      <c r="B13" t="s">
        <v>195</v>
      </c>
      <c r="C13" t="s">
        <v>16</v>
      </c>
      <c r="D13" t="s">
        <v>15</v>
      </c>
      <c r="E13" s="29">
        <v>42064</v>
      </c>
      <c r="F13" s="14">
        <v>493.24246399999998</v>
      </c>
      <c r="G13" s="15">
        <f t="shared" si="0"/>
        <v>3.7499999999999999E-2</v>
      </c>
      <c r="H13" s="16"/>
      <c r="J13" s="15" t="s">
        <v>30</v>
      </c>
      <c r="K13" s="49">
        <f t="shared" si="1"/>
        <v>8.1000000000000003E-2</v>
      </c>
      <c r="L13" s="37"/>
      <c r="M13" s="15"/>
      <c r="N13" s="37"/>
      <c r="P13" s="15"/>
    </row>
    <row r="14" spans="1:16" ht="12.75" customHeight="1" x14ac:dyDescent="0.2">
      <c r="A14">
        <f>+MAX($A$7:A13)+1</f>
        <v>6</v>
      </c>
      <c r="B14" t="s">
        <v>250</v>
      </c>
      <c r="C14" t="s">
        <v>112</v>
      </c>
      <c r="D14" t="s">
        <v>21</v>
      </c>
      <c r="E14" s="29">
        <v>13500</v>
      </c>
      <c r="F14" s="14">
        <v>485.55450000000002</v>
      </c>
      <c r="G14" s="15">
        <f t="shared" si="0"/>
        <v>3.6900000000000002E-2</v>
      </c>
      <c r="H14" s="16"/>
      <c r="J14" s="15" t="s">
        <v>19</v>
      </c>
      <c r="K14" s="49">
        <f t="shared" si="1"/>
        <v>5.3699999999999998E-2</v>
      </c>
      <c r="L14" s="37"/>
      <c r="M14" s="15"/>
      <c r="N14" s="37"/>
      <c r="P14" s="15"/>
    </row>
    <row r="15" spans="1:16" ht="12.75" customHeight="1" x14ac:dyDescent="0.2">
      <c r="A15">
        <f>+MAX($A$7:A14)+1</f>
        <v>7</v>
      </c>
      <c r="B15" t="s">
        <v>196</v>
      </c>
      <c r="C15" t="s">
        <v>31</v>
      </c>
      <c r="D15" t="s">
        <v>30</v>
      </c>
      <c r="E15" s="29">
        <v>47490</v>
      </c>
      <c r="F15" s="14">
        <v>453.31579499999998</v>
      </c>
      <c r="G15" s="15">
        <f t="shared" si="0"/>
        <v>3.4500000000000003E-2</v>
      </c>
      <c r="H15" s="16"/>
      <c r="J15" s="15" t="s">
        <v>47</v>
      </c>
      <c r="K15" s="49">
        <f t="shared" si="1"/>
        <v>4.2899999999999994E-2</v>
      </c>
      <c r="L15" s="37"/>
      <c r="M15" s="15"/>
      <c r="N15" s="37"/>
      <c r="P15" s="15"/>
    </row>
    <row r="16" spans="1:16" ht="12.75" customHeight="1" x14ac:dyDescent="0.2">
      <c r="A16">
        <f>+MAX($A$7:A15)+1</f>
        <v>8</v>
      </c>
      <c r="B16" t="s">
        <v>194</v>
      </c>
      <c r="C16" t="s">
        <v>14</v>
      </c>
      <c r="D16" t="s">
        <v>10</v>
      </c>
      <c r="E16" s="29">
        <v>21800</v>
      </c>
      <c r="F16" s="14">
        <v>410.75560000000002</v>
      </c>
      <c r="G16" s="15">
        <f t="shared" si="0"/>
        <v>3.1199999999999999E-2</v>
      </c>
      <c r="H16" s="16"/>
      <c r="J16" s="15" t="s">
        <v>133</v>
      </c>
      <c r="K16" s="49">
        <f t="shared" si="1"/>
        <v>3.6999999999999998E-2</v>
      </c>
      <c r="L16" s="37"/>
      <c r="M16" s="15"/>
      <c r="N16" s="37"/>
      <c r="P16" s="15"/>
    </row>
    <row r="17" spans="1:16" ht="12.75" customHeight="1" x14ac:dyDescent="0.2">
      <c r="A17">
        <f>+MAX($A$7:A16)+1</f>
        <v>9</v>
      </c>
      <c r="B17" t="s">
        <v>265</v>
      </c>
      <c r="C17" t="s">
        <v>134</v>
      </c>
      <c r="D17" t="s">
        <v>19</v>
      </c>
      <c r="E17" s="29">
        <v>13569</v>
      </c>
      <c r="F17" s="14">
        <v>357.20392500000003</v>
      </c>
      <c r="G17" s="15">
        <f t="shared" si="0"/>
        <v>2.7199999999999998E-2</v>
      </c>
      <c r="H17" s="16"/>
      <c r="J17" s="15" t="s">
        <v>38</v>
      </c>
      <c r="K17" s="49">
        <f t="shared" si="1"/>
        <v>2.93E-2</v>
      </c>
      <c r="L17" s="37"/>
      <c r="M17" s="15"/>
      <c r="N17" s="37"/>
      <c r="P17" s="15"/>
    </row>
    <row r="18" spans="1:16" ht="12.75" customHeight="1" x14ac:dyDescent="0.2">
      <c r="A18">
        <f>+MAX($A$7:A17)+1</f>
        <v>10</v>
      </c>
      <c r="B18" t="s">
        <v>206</v>
      </c>
      <c r="C18" t="s">
        <v>53</v>
      </c>
      <c r="D18" t="s">
        <v>19</v>
      </c>
      <c r="E18" s="29">
        <v>8400</v>
      </c>
      <c r="F18" s="14">
        <v>349.07040000000001</v>
      </c>
      <c r="G18" s="15">
        <f t="shared" si="0"/>
        <v>2.6499999999999999E-2</v>
      </c>
      <c r="H18" s="16"/>
      <c r="J18" s="15" t="s">
        <v>28</v>
      </c>
      <c r="K18" s="49">
        <f t="shared" si="1"/>
        <v>2.7200000000000002E-2</v>
      </c>
      <c r="L18" s="37"/>
      <c r="M18" s="15"/>
      <c r="N18" s="37"/>
      <c r="P18" s="15"/>
    </row>
    <row r="19" spans="1:16" ht="12.75" customHeight="1" x14ac:dyDescent="0.2">
      <c r="A19">
        <f>+MAX($A$7:A18)+1</f>
        <v>11</v>
      </c>
      <c r="B19" t="s">
        <v>266</v>
      </c>
      <c r="C19" t="s">
        <v>135</v>
      </c>
      <c r="D19" t="s">
        <v>26</v>
      </c>
      <c r="E19" s="29">
        <v>10800</v>
      </c>
      <c r="F19" s="14">
        <v>343.06740000000002</v>
      </c>
      <c r="G19" s="15">
        <f t="shared" si="0"/>
        <v>2.6100000000000002E-2</v>
      </c>
      <c r="H19" s="16"/>
      <c r="J19" s="15" t="s">
        <v>43</v>
      </c>
      <c r="K19" s="49">
        <f t="shared" si="1"/>
        <v>2.6799999999999997E-2</v>
      </c>
      <c r="L19" s="37"/>
      <c r="M19" s="15"/>
      <c r="N19" s="37"/>
      <c r="P19" s="15"/>
    </row>
    <row r="20" spans="1:16" ht="12.75" customHeight="1" x14ac:dyDescent="0.2">
      <c r="A20">
        <f>+MAX($A$7:A19)+1</f>
        <v>12</v>
      </c>
      <c r="B20" t="s">
        <v>17</v>
      </c>
      <c r="C20" t="s">
        <v>18</v>
      </c>
      <c r="D20" t="s">
        <v>10</v>
      </c>
      <c r="E20" s="29">
        <v>118500</v>
      </c>
      <c r="F20" s="14">
        <v>317.58</v>
      </c>
      <c r="G20" s="15">
        <f t="shared" si="0"/>
        <v>2.4199999999999999E-2</v>
      </c>
      <c r="H20" s="16"/>
      <c r="J20" s="15" t="s">
        <v>45</v>
      </c>
      <c r="K20" s="49">
        <f t="shared" si="1"/>
        <v>2.5399999999999999E-2</v>
      </c>
      <c r="L20" s="37"/>
      <c r="M20" s="15"/>
      <c r="N20" s="37"/>
      <c r="P20" s="15"/>
    </row>
    <row r="21" spans="1:16" ht="12.75" customHeight="1" x14ac:dyDescent="0.2">
      <c r="A21">
        <f>+MAX($A$7:A20)+1</f>
        <v>13</v>
      </c>
      <c r="B21" t="s">
        <v>231</v>
      </c>
      <c r="C21" t="s">
        <v>80</v>
      </c>
      <c r="D21" t="s">
        <v>30</v>
      </c>
      <c r="E21" s="29">
        <v>81900</v>
      </c>
      <c r="F21" s="14">
        <v>311.34285</v>
      </c>
      <c r="G21" s="15">
        <f t="shared" si="0"/>
        <v>2.3699999999999999E-2</v>
      </c>
      <c r="H21" s="16"/>
      <c r="J21" s="15" t="s">
        <v>99</v>
      </c>
      <c r="K21" s="49">
        <f t="shared" si="1"/>
        <v>2.4199999999999999E-2</v>
      </c>
      <c r="L21" s="37"/>
      <c r="M21" s="15"/>
      <c r="N21" s="37"/>
      <c r="P21" s="15"/>
    </row>
    <row r="22" spans="1:16" ht="12.75" customHeight="1" x14ac:dyDescent="0.2">
      <c r="A22">
        <f>+MAX($A$7:A21)+1</f>
        <v>14</v>
      </c>
      <c r="B22" t="s">
        <v>254</v>
      </c>
      <c r="C22" t="s">
        <v>117</v>
      </c>
      <c r="D22" t="s">
        <v>30</v>
      </c>
      <c r="E22" s="29">
        <v>69900</v>
      </c>
      <c r="F22" s="14">
        <v>300.25545</v>
      </c>
      <c r="G22" s="15">
        <f t="shared" si="0"/>
        <v>2.2800000000000001E-2</v>
      </c>
      <c r="H22" s="16"/>
      <c r="J22" s="15" t="s">
        <v>106</v>
      </c>
      <c r="K22" s="49">
        <f t="shared" si="1"/>
        <v>2.2599999999999999E-2</v>
      </c>
      <c r="L22" s="37"/>
      <c r="M22" s="15"/>
      <c r="N22" s="37"/>
      <c r="P22" s="15"/>
    </row>
    <row r="23" spans="1:16" ht="12.75" customHeight="1" x14ac:dyDescent="0.2">
      <c r="A23">
        <f>+MAX($A$7:A22)+1</f>
        <v>15</v>
      </c>
      <c r="B23" t="s">
        <v>270</v>
      </c>
      <c r="C23" t="s">
        <v>82</v>
      </c>
      <c r="D23" t="s">
        <v>15</v>
      </c>
      <c r="E23" s="29">
        <v>43500</v>
      </c>
      <c r="F23" s="14">
        <v>276.89924999999999</v>
      </c>
      <c r="G23" s="15">
        <f t="shared" si="0"/>
        <v>2.1100000000000001E-2</v>
      </c>
      <c r="H23" s="16"/>
      <c r="J23" s="15" t="s">
        <v>41</v>
      </c>
      <c r="K23" s="49">
        <f t="shared" si="1"/>
        <v>2.0299999999999999E-2</v>
      </c>
      <c r="L23" s="37"/>
      <c r="M23" s="15"/>
      <c r="N23" s="37"/>
      <c r="P23" s="15"/>
    </row>
    <row r="24" spans="1:16" ht="12.75" customHeight="1" x14ac:dyDescent="0.2">
      <c r="A24">
        <f>+MAX($A$7:A23)+1</f>
        <v>16</v>
      </c>
      <c r="B24" t="s">
        <v>201</v>
      </c>
      <c r="C24" t="s">
        <v>39</v>
      </c>
      <c r="D24" t="s">
        <v>21</v>
      </c>
      <c r="E24" s="29">
        <v>7860</v>
      </c>
      <c r="F24" s="14">
        <v>237.41916000000001</v>
      </c>
      <c r="G24" s="15">
        <f t="shared" si="0"/>
        <v>1.8100000000000002E-2</v>
      </c>
      <c r="H24" s="16"/>
      <c r="J24" s="15" t="s">
        <v>24</v>
      </c>
      <c r="K24" s="49">
        <f t="shared" si="1"/>
        <v>1.43E-2</v>
      </c>
      <c r="L24" s="37"/>
      <c r="M24" s="15"/>
      <c r="N24" s="37"/>
      <c r="P24" s="15"/>
    </row>
    <row r="25" spans="1:16" ht="12.75" customHeight="1" x14ac:dyDescent="0.2">
      <c r="A25">
        <f>+MAX($A$7:A24)+1</f>
        <v>17</v>
      </c>
      <c r="B25" t="s">
        <v>398</v>
      </c>
      <c r="C25" t="s">
        <v>399</v>
      </c>
      <c r="D25" t="s">
        <v>133</v>
      </c>
      <c r="E25" s="29">
        <v>19608</v>
      </c>
      <c r="F25" s="14">
        <v>230.01164399999999</v>
      </c>
      <c r="G25" s="15">
        <f t="shared" si="0"/>
        <v>1.7500000000000002E-2</v>
      </c>
      <c r="H25" s="16"/>
      <c r="J25" s="15" t="s">
        <v>132</v>
      </c>
      <c r="K25" s="49">
        <f t="shared" si="1"/>
        <v>1.3100000000000001E-2</v>
      </c>
      <c r="L25" s="37"/>
      <c r="M25" s="15"/>
      <c r="N25" s="37"/>
      <c r="P25" s="15"/>
    </row>
    <row r="26" spans="1:16" ht="12.75" customHeight="1" x14ac:dyDescent="0.2">
      <c r="A26">
        <f>+MAX($A$7:A25)+1</f>
        <v>18</v>
      </c>
      <c r="B26" t="s">
        <v>229</v>
      </c>
      <c r="C26" t="s">
        <v>584</v>
      </c>
      <c r="D26" t="s">
        <v>47</v>
      </c>
      <c r="E26" s="29">
        <v>75000</v>
      </c>
      <c r="F26" s="14">
        <v>228.52500000000001</v>
      </c>
      <c r="G26" s="15">
        <f t="shared" si="0"/>
        <v>1.7399999999999999E-2</v>
      </c>
      <c r="H26" s="16"/>
      <c r="J26" s="15" t="s">
        <v>506</v>
      </c>
      <c r="K26" s="49">
        <f t="shared" si="1"/>
        <v>1.2999999999999999E-2</v>
      </c>
      <c r="L26" s="37"/>
      <c r="M26" s="15"/>
      <c r="N26" s="37"/>
      <c r="P26" s="15"/>
    </row>
    <row r="27" spans="1:16" ht="12.75" customHeight="1" x14ac:dyDescent="0.2">
      <c r="A27">
        <f>+MAX($A$7:A26)+1</f>
        <v>19</v>
      </c>
      <c r="B27" t="s">
        <v>243</v>
      </c>
      <c r="C27" t="s">
        <v>103</v>
      </c>
      <c r="D27" t="s">
        <v>10</v>
      </c>
      <c r="E27" s="29">
        <v>12900</v>
      </c>
      <c r="F27" s="14">
        <v>216.81675000000001</v>
      </c>
      <c r="G27" s="15">
        <f t="shared" si="0"/>
        <v>1.6500000000000001E-2</v>
      </c>
      <c r="H27" s="16"/>
      <c r="J27" s="15" t="s">
        <v>143</v>
      </c>
      <c r="K27" s="49">
        <f t="shared" si="1"/>
        <v>1.23E-2</v>
      </c>
      <c r="L27" s="37"/>
      <c r="M27" s="15"/>
      <c r="N27" s="37"/>
      <c r="P27" s="15"/>
    </row>
    <row r="28" spans="1:16" ht="12.75" customHeight="1" x14ac:dyDescent="0.2">
      <c r="A28">
        <f>+MAX($A$7:A27)+1</f>
        <v>20</v>
      </c>
      <c r="B28" t="s">
        <v>263</v>
      </c>
      <c r="C28" t="s">
        <v>128</v>
      </c>
      <c r="D28" t="s">
        <v>26</v>
      </c>
      <c r="E28" s="29">
        <v>18900</v>
      </c>
      <c r="F28" s="14">
        <v>196.7679</v>
      </c>
      <c r="G28" s="15">
        <f t="shared" si="0"/>
        <v>1.4999999999999999E-2</v>
      </c>
      <c r="H28" s="16"/>
      <c r="J28" s="15" t="s">
        <v>34</v>
      </c>
      <c r="K28" s="49">
        <f t="shared" si="1"/>
        <v>8.8000000000000005E-3</v>
      </c>
      <c r="L28" s="37"/>
      <c r="M28" s="15"/>
      <c r="N28" s="37"/>
      <c r="P28" s="15"/>
    </row>
    <row r="29" spans="1:16" ht="12.75" customHeight="1" x14ac:dyDescent="0.2">
      <c r="A29">
        <f>+MAX($A$7:A28)+1</f>
        <v>21</v>
      </c>
      <c r="B29" t="s">
        <v>245</v>
      </c>
      <c r="C29" t="s">
        <v>107</v>
      </c>
      <c r="D29" t="s">
        <v>99</v>
      </c>
      <c r="E29" s="29">
        <v>100800</v>
      </c>
      <c r="F29" s="14">
        <v>189.8064</v>
      </c>
      <c r="G29" s="15">
        <f t="shared" si="0"/>
        <v>1.44E-2</v>
      </c>
      <c r="H29" s="16"/>
      <c r="J29" t="s">
        <v>32</v>
      </c>
      <c r="K29" s="49">
        <f t="shared" si="1"/>
        <v>8.5000000000000006E-3</v>
      </c>
      <c r="L29" s="37"/>
      <c r="M29" s="15"/>
      <c r="N29" s="37"/>
      <c r="P29" s="15"/>
    </row>
    <row r="30" spans="1:16" ht="12.75" customHeight="1" x14ac:dyDescent="0.2">
      <c r="A30">
        <f>+MAX($A$7:A29)+1</f>
        <v>22</v>
      </c>
      <c r="B30" t="s">
        <v>226</v>
      </c>
      <c r="C30" t="s">
        <v>66</v>
      </c>
      <c r="D30" t="s">
        <v>28</v>
      </c>
      <c r="E30" s="29">
        <v>45600</v>
      </c>
      <c r="F30" s="14">
        <v>189.35400000000001</v>
      </c>
      <c r="G30" s="15">
        <f t="shared" si="0"/>
        <v>1.44E-2</v>
      </c>
      <c r="H30" s="16"/>
      <c r="J30" s="15" t="s">
        <v>23</v>
      </c>
      <c r="K30" s="49">
        <f t="shared" si="1"/>
        <v>8.3999999999999995E-3</v>
      </c>
      <c r="L30" s="37"/>
      <c r="M30" s="15"/>
      <c r="N30" s="37"/>
      <c r="P30" s="15"/>
    </row>
    <row r="31" spans="1:16" ht="12.75" customHeight="1" x14ac:dyDescent="0.2">
      <c r="A31">
        <f>+MAX($A$7:A30)+1</f>
        <v>23</v>
      </c>
      <c r="B31" t="s">
        <v>312</v>
      </c>
      <c r="C31" t="s">
        <v>131</v>
      </c>
      <c r="D31" t="s">
        <v>24</v>
      </c>
      <c r="E31" s="29">
        <v>6900</v>
      </c>
      <c r="F31" s="14">
        <v>187.92495</v>
      </c>
      <c r="G31" s="15">
        <f t="shared" si="0"/>
        <v>1.43E-2</v>
      </c>
      <c r="H31" s="16"/>
      <c r="J31" s="15" t="s">
        <v>105</v>
      </c>
      <c r="K31" s="49">
        <f t="shared" si="1"/>
        <v>8.3999999999999995E-3</v>
      </c>
      <c r="L31" s="37"/>
      <c r="M31" s="15"/>
      <c r="N31" s="37"/>
      <c r="P31" s="15"/>
    </row>
    <row r="32" spans="1:16" ht="12.75" customHeight="1" x14ac:dyDescent="0.2">
      <c r="A32">
        <f>+MAX($A$7:A31)+1</f>
        <v>24</v>
      </c>
      <c r="B32" t="s">
        <v>286</v>
      </c>
      <c r="C32" t="s">
        <v>179</v>
      </c>
      <c r="D32" t="s">
        <v>47</v>
      </c>
      <c r="E32" s="29">
        <v>73800</v>
      </c>
      <c r="F32" s="14">
        <v>182.50739999999999</v>
      </c>
      <c r="G32" s="15">
        <f t="shared" si="0"/>
        <v>1.3899999999999999E-2</v>
      </c>
      <c r="H32" s="16"/>
      <c r="J32" s="15" t="s">
        <v>321</v>
      </c>
      <c r="K32" s="49">
        <f t="shared" si="1"/>
        <v>1.6999999999999999E-3</v>
      </c>
      <c r="M32" s="15"/>
      <c r="N32" s="37"/>
      <c r="P32" s="15"/>
    </row>
    <row r="33" spans="1:16" ht="12.75" customHeight="1" x14ac:dyDescent="0.2">
      <c r="A33">
        <f>+MAX($A$7:A32)+1</f>
        <v>25</v>
      </c>
      <c r="B33" t="s">
        <v>268</v>
      </c>
      <c r="C33" t="s">
        <v>137</v>
      </c>
      <c r="D33" t="s">
        <v>132</v>
      </c>
      <c r="E33" s="29">
        <v>19800</v>
      </c>
      <c r="F33" s="14">
        <v>172.7748</v>
      </c>
      <c r="G33" s="15">
        <f t="shared" si="0"/>
        <v>1.3100000000000001E-2</v>
      </c>
      <c r="H33" s="16"/>
      <c r="J33" s="15" t="s">
        <v>64</v>
      </c>
      <c r="K33" s="49">
        <f>+SUMIFS($G$5:$G$996,$B$5:$B$996,"CBLO / Reverse Repo Investments")+SUMIFS($G$5:$G$996,$B$5:$B$996,"Net Receivable/Payable")</f>
        <v>1.5200000000000002E-2</v>
      </c>
      <c r="L33" s="55"/>
      <c r="N33" s="37"/>
      <c r="P33" s="15"/>
    </row>
    <row r="34" spans="1:16" ht="12.75" customHeight="1" x14ac:dyDescent="0.2">
      <c r="A34">
        <f>+MAX($A$7:A33)+1</f>
        <v>26</v>
      </c>
      <c r="B34" t="s">
        <v>504</v>
      </c>
      <c r="C34" t="s">
        <v>505</v>
      </c>
      <c r="D34" t="s">
        <v>506</v>
      </c>
      <c r="E34" s="29">
        <v>47700</v>
      </c>
      <c r="F34" s="14">
        <v>171.55305000000001</v>
      </c>
      <c r="G34" s="15">
        <f t="shared" si="0"/>
        <v>1.2999999999999999E-2</v>
      </c>
      <c r="H34" s="16"/>
    </row>
    <row r="35" spans="1:16" ht="12.75" customHeight="1" x14ac:dyDescent="0.2">
      <c r="A35">
        <f>+MAX($A$7:A34)+1</f>
        <v>27</v>
      </c>
      <c r="B35" t="s">
        <v>232</v>
      </c>
      <c r="C35" t="s">
        <v>81</v>
      </c>
      <c r="D35" t="s">
        <v>45</v>
      </c>
      <c r="E35" s="29">
        <v>51900</v>
      </c>
      <c r="F35" s="14">
        <v>169.42755</v>
      </c>
      <c r="G35" s="15">
        <f t="shared" si="0"/>
        <v>1.29E-2</v>
      </c>
      <c r="H35" s="16"/>
    </row>
    <row r="36" spans="1:16" ht="12.75" customHeight="1" x14ac:dyDescent="0.2">
      <c r="A36">
        <f>+MAX($A$7:A35)+1</f>
        <v>28</v>
      </c>
      <c r="B36" t="s">
        <v>227</v>
      </c>
      <c r="C36" t="s">
        <v>71</v>
      </c>
      <c r="D36" t="s">
        <v>28</v>
      </c>
      <c r="E36" s="29">
        <v>12750</v>
      </c>
      <c r="F36" s="14">
        <v>168.06412499999999</v>
      </c>
      <c r="G36" s="15">
        <f t="shared" si="0"/>
        <v>1.2800000000000001E-2</v>
      </c>
      <c r="H36" s="16"/>
    </row>
    <row r="37" spans="1:16" ht="12.75" customHeight="1" x14ac:dyDescent="0.2">
      <c r="A37">
        <f>+MAX($A$7:A36)+1</f>
        <v>29</v>
      </c>
      <c r="B37" t="s">
        <v>608</v>
      </c>
      <c r="C37" t="s">
        <v>609</v>
      </c>
      <c r="D37" t="s">
        <v>15</v>
      </c>
      <c r="E37" s="29">
        <v>21900</v>
      </c>
      <c r="F37" s="14">
        <v>165.07124999999999</v>
      </c>
      <c r="G37" s="15">
        <f t="shared" si="0"/>
        <v>1.26E-2</v>
      </c>
      <c r="H37" s="16"/>
    </row>
    <row r="38" spans="1:16" ht="12.75" customHeight="1" x14ac:dyDescent="0.2">
      <c r="A38">
        <f>+MAX($A$7:A37)+1</f>
        <v>30</v>
      </c>
      <c r="B38" t="s">
        <v>262</v>
      </c>
      <c r="C38" t="s">
        <v>124</v>
      </c>
      <c r="D38" t="s">
        <v>45</v>
      </c>
      <c r="E38" s="29">
        <v>66900</v>
      </c>
      <c r="F38" s="14">
        <v>164.17259999999999</v>
      </c>
      <c r="G38" s="15">
        <f t="shared" si="0"/>
        <v>1.2500000000000001E-2</v>
      </c>
      <c r="H38" s="16"/>
    </row>
    <row r="39" spans="1:16" ht="12.75" customHeight="1" x14ac:dyDescent="0.2">
      <c r="A39">
        <f>+MAX($A$7:A38)+1</f>
        <v>31</v>
      </c>
      <c r="B39" t="s">
        <v>267</v>
      </c>
      <c r="C39" t="s">
        <v>136</v>
      </c>
      <c r="D39" t="s">
        <v>47</v>
      </c>
      <c r="E39" s="29">
        <v>73800</v>
      </c>
      <c r="F39" s="14">
        <v>152.80289999999999</v>
      </c>
      <c r="G39" s="15">
        <f t="shared" si="0"/>
        <v>1.1599999999999999E-2</v>
      </c>
      <c r="H39" s="16"/>
    </row>
    <row r="40" spans="1:16" ht="12.75" customHeight="1" x14ac:dyDescent="0.2">
      <c r="A40">
        <f>+MAX($A$7:A39)+1</f>
        <v>32</v>
      </c>
      <c r="B40" t="s">
        <v>199</v>
      </c>
      <c r="C40" t="s">
        <v>25</v>
      </c>
      <c r="D40" t="s">
        <v>15</v>
      </c>
      <c r="E40" s="29">
        <v>15780</v>
      </c>
      <c r="F40" s="14">
        <v>148.37934000000001</v>
      </c>
      <c r="G40" s="15">
        <f t="shared" si="0"/>
        <v>1.1299999999999999E-2</v>
      </c>
      <c r="H40" s="16"/>
    </row>
    <row r="41" spans="1:16" ht="12.75" customHeight="1" x14ac:dyDescent="0.2">
      <c r="A41">
        <f>+MAX($A$7:A40)+1</f>
        <v>33</v>
      </c>
      <c r="B41" t="s">
        <v>569</v>
      </c>
      <c r="C41" t="s">
        <v>570</v>
      </c>
      <c r="D41" t="s">
        <v>106</v>
      </c>
      <c r="E41" s="29">
        <v>55080</v>
      </c>
      <c r="F41" s="14">
        <v>140.12352000000001</v>
      </c>
      <c r="G41" s="15">
        <f t="shared" ref="G41:G64" si="2">+ROUND(F41/VLOOKUP("Grand Total",$B$4:$F$300,5,0),4)</f>
        <v>1.0699999999999999E-2</v>
      </c>
      <c r="H41" s="16"/>
    </row>
    <row r="42" spans="1:16" ht="12.75" customHeight="1" x14ac:dyDescent="0.2">
      <c r="A42">
        <f>+MAX($A$7:A41)+1</f>
        <v>34</v>
      </c>
      <c r="B42" t="s">
        <v>522</v>
      </c>
      <c r="C42" t="s">
        <v>523</v>
      </c>
      <c r="D42" t="s">
        <v>41</v>
      </c>
      <c r="E42" s="29">
        <v>4938</v>
      </c>
      <c r="F42" s="14">
        <v>139.62688800000001</v>
      </c>
      <c r="G42" s="15">
        <f t="shared" si="2"/>
        <v>1.06E-2</v>
      </c>
      <c r="H42" s="16"/>
    </row>
    <row r="43" spans="1:16" ht="12.75" customHeight="1" x14ac:dyDescent="0.2">
      <c r="A43">
        <f>+MAX($A$7:A42)+1</f>
        <v>35</v>
      </c>
      <c r="B43" t="s">
        <v>322</v>
      </c>
      <c r="C43" t="s">
        <v>323</v>
      </c>
      <c r="D43" t="s">
        <v>10</v>
      </c>
      <c r="E43" s="29">
        <v>79590</v>
      </c>
      <c r="F43" s="14">
        <v>139.12332000000001</v>
      </c>
      <c r="G43" s="15">
        <f t="shared" si="2"/>
        <v>1.06E-2</v>
      </c>
      <c r="H43" s="16"/>
    </row>
    <row r="44" spans="1:16" ht="12.75" customHeight="1" x14ac:dyDescent="0.2">
      <c r="A44">
        <f>+MAX($A$7:A43)+1</f>
        <v>36</v>
      </c>
      <c r="B44" t="s">
        <v>214</v>
      </c>
      <c r="C44" t="s">
        <v>98</v>
      </c>
      <c r="D44" t="s">
        <v>10</v>
      </c>
      <c r="E44" s="29">
        <v>12600</v>
      </c>
      <c r="F44" s="14">
        <v>137.4093</v>
      </c>
      <c r="G44" s="15">
        <f t="shared" si="2"/>
        <v>1.0500000000000001E-2</v>
      </c>
      <c r="H44" s="16"/>
    </row>
    <row r="45" spans="1:16" ht="12.75" customHeight="1" x14ac:dyDescent="0.2">
      <c r="A45">
        <f>+MAX($A$7:A44)+1</f>
        <v>37</v>
      </c>
      <c r="B45" t="s">
        <v>212</v>
      </c>
      <c r="C45" t="s">
        <v>55</v>
      </c>
      <c r="D45" t="s">
        <v>43</v>
      </c>
      <c r="E45" s="29">
        <v>7080</v>
      </c>
      <c r="F45" s="14">
        <v>134.4315</v>
      </c>
      <c r="G45" s="15">
        <f t="shared" si="2"/>
        <v>1.0200000000000001E-2</v>
      </c>
      <c r="H45" s="16"/>
    </row>
    <row r="46" spans="1:16" ht="12.75" customHeight="1" x14ac:dyDescent="0.2">
      <c r="A46">
        <f>+MAX($A$7:A45)+1</f>
        <v>38</v>
      </c>
      <c r="B46" t="s">
        <v>297</v>
      </c>
      <c r="C46" t="s">
        <v>180</v>
      </c>
      <c r="D46" t="s">
        <v>38</v>
      </c>
      <c r="E46" s="29">
        <v>64800</v>
      </c>
      <c r="F46" s="14">
        <v>134.39519999999999</v>
      </c>
      <c r="G46" s="15">
        <f t="shared" si="2"/>
        <v>1.0200000000000001E-2</v>
      </c>
      <c r="H46" s="16"/>
    </row>
    <row r="47" spans="1:16" ht="12.75" customHeight="1" x14ac:dyDescent="0.2">
      <c r="A47">
        <f>+MAX($A$7:A46)+1</f>
        <v>39</v>
      </c>
      <c r="B47" t="s">
        <v>310</v>
      </c>
      <c r="C47" t="s">
        <v>76</v>
      </c>
      <c r="D47" t="s">
        <v>38</v>
      </c>
      <c r="E47" s="29">
        <v>37608</v>
      </c>
      <c r="F47" s="14">
        <v>132.86906400000001</v>
      </c>
      <c r="G47" s="15">
        <f t="shared" si="2"/>
        <v>1.01E-2</v>
      </c>
      <c r="H47" s="16"/>
    </row>
    <row r="48" spans="1:16" ht="12.75" customHeight="1" x14ac:dyDescent="0.2">
      <c r="A48">
        <f>+MAX($A$7:A47)+1</f>
        <v>40</v>
      </c>
      <c r="B48" t="s">
        <v>219</v>
      </c>
      <c r="C48" t="s">
        <v>29</v>
      </c>
      <c r="D48" t="s">
        <v>10</v>
      </c>
      <c r="E48" s="29">
        <v>24900</v>
      </c>
      <c r="F48" s="14">
        <v>131.65875</v>
      </c>
      <c r="G48" s="15">
        <f t="shared" si="2"/>
        <v>0.01</v>
      </c>
      <c r="H48" s="16"/>
    </row>
    <row r="49" spans="1:8" ht="12.75" customHeight="1" x14ac:dyDescent="0.2">
      <c r="A49">
        <f>+MAX($A$7:A48)+1</f>
        <v>41</v>
      </c>
      <c r="B49" t="s">
        <v>347</v>
      </c>
      <c r="C49" t="s">
        <v>412</v>
      </c>
      <c r="D49" t="s">
        <v>133</v>
      </c>
      <c r="E49" s="29">
        <v>10800</v>
      </c>
      <c r="F49" s="14">
        <v>129.5676</v>
      </c>
      <c r="G49" s="15">
        <f t="shared" si="2"/>
        <v>9.9000000000000008E-3</v>
      </c>
      <c r="H49" s="16"/>
    </row>
    <row r="50" spans="1:8" ht="12.75" customHeight="1" x14ac:dyDescent="0.2">
      <c r="A50">
        <f>+MAX($A$7:A49)+1</f>
        <v>42</v>
      </c>
      <c r="B50" t="s">
        <v>520</v>
      </c>
      <c r="C50" t="s">
        <v>521</v>
      </c>
      <c r="D50" t="s">
        <v>99</v>
      </c>
      <c r="E50" s="29">
        <v>36900</v>
      </c>
      <c r="F50" s="14">
        <v>129.09465</v>
      </c>
      <c r="G50" s="15">
        <f t="shared" si="2"/>
        <v>9.7999999999999997E-3</v>
      </c>
      <c r="H50" s="16"/>
    </row>
    <row r="51" spans="1:8" ht="12.75" customHeight="1" x14ac:dyDescent="0.2">
      <c r="A51">
        <f>+MAX($A$7:A50)+1</f>
        <v>43</v>
      </c>
      <c r="B51" t="s">
        <v>475</v>
      </c>
      <c r="C51" t="s">
        <v>476</v>
      </c>
      <c r="D51" t="s">
        <v>41</v>
      </c>
      <c r="E51" s="29">
        <v>34500</v>
      </c>
      <c r="F51" s="14">
        <v>127.926</v>
      </c>
      <c r="G51" s="15">
        <f t="shared" si="2"/>
        <v>9.7000000000000003E-3</v>
      </c>
      <c r="H51" s="16"/>
    </row>
    <row r="52" spans="1:8" ht="12.75" customHeight="1" x14ac:dyDescent="0.2">
      <c r="A52">
        <f>+MAX($A$7:A51)+1</f>
        <v>44</v>
      </c>
      <c r="B52" t="s">
        <v>445</v>
      </c>
      <c r="C52" t="s">
        <v>446</v>
      </c>
      <c r="D52" t="s">
        <v>133</v>
      </c>
      <c r="E52" s="29">
        <v>78900</v>
      </c>
      <c r="F52" s="14">
        <v>126.47669999999999</v>
      </c>
      <c r="G52" s="15">
        <f t="shared" si="2"/>
        <v>9.5999999999999992E-3</v>
      </c>
      <c r="H52" s="16"/>
    </row>
    <row r="53" spans="1:8" ht="12.75" customHeight="1" x14ac:dyDescent="0.2">
      <c r="A53">
        <f>+MAX($A$7:A52)+1</f>
        <v>45</v>
      </c>
      <c r="B53" t="s">
        <v>493</v>
      </c>
      <c r="C53" t="s">
        <v>494</v>
      </c>
      <c r="D53" t="s">
        <v>43</v>
      </c>
      <c r="E53" s="29">
        <v>12900</v>
      </c>
      <c r="F53" s="14">
        <v>123.12405</v>
      </c>
      <c r="G53" s="15">
        <f t="shared" si="2"/>
        <v>9.4000000000000004E-3</v>
      </c>
      <c r="H53" s="16"/>
    </row>
    <row r="54" spans="1:8" ht="12.75" customHeight="1" x14ac:dyDescent="0.2">
      <c r="A54">
        <f>+MAX($A$7:A53)+1</f>
        <v>46</v>
      </c>
      <c r="B54" t="s">
        <v>329</v>
      </c>
      <c r="C54" t="s">
        <v>330</v>
      </c>
      <c r="D54" t="s">
        <v>38</v>
      </c>
      <c r="E54" s="29">
        <v>7380</v>
      </c>
      <c r="F54" s="14">
        <v>118.26081000000001</v>
      </c>
      <c r="G54" s="15">
        <f t="shared" si="2"/>
        <v>8.9999999999999993E-3</v>
      </c>
      <c r="H54" s="16"/>
    </row>
    <row r="55" spans="1:8" ht="12.75" customHeight="1" x14ac:dyDescent="0.2">
      <c r="A55">
        <f>+MAX($A$7:A54)+1</f>
        <v>47</v>
      </c>
      <c r="B55" t="s">
        <v>216</v>
      </c>
      <c r="C55" t="s">
        <v>65</v>
      </c>
      <c r="D55" t="s">
        <v>34</v>
      </c>
      <c r="E55" s="29">
        <v>27000</v>
      </c>
      <c r="F55" s="14">
        <v>115.7085</v>
      </c>
      <c r="G55" s="15">
        <f t="shared" si="2"/>
        <v>8.8000000000000005E-3</v>
      </c>
      <c r="H55" s="16"/>
    </row>
    <row r="56" spans="1:8" ht="12.75" customHeight="1" x14ac:dyDescent="0.2">
      <c r="A56">
        <f>+MAX($A$7:A55)+1</f>
        <v>48</v>
      </c>
      <c r="B56" t="s">
        <v>638</v>
      </c>
      <c r="C56" t="s">
        <v>639</v>
      </c>
      <c r="D56" t="s">
        <v>143</v>
      </c>
      <c r="E56" s="29">
        <v>118800</v>
      </c>
      <c r="F56" s="14">
        <v>113.62032000000001</v>
      </c>
      <c r="G56" s="15">
        <f t="shared" si="2"/>
        <v>8.6E-3</v>
      </c>
      <c r="H56" s="16"/>
    </row>
    <row r="57" spans="1:8" ht="12.75" customHeight="1" x14ac:dyDescent="0.2">
      <c r="A57">
        <f>+MAX($A$7:A56)+1</f>
        <v>49</v>
      </c>
      <c r="B57" t="s">
        <v>341</v>
      </c>
      <c r="C57" t="s">
        <v>342</v>
      </c>
      <c r="D57" t="s">
        <v>32</v>
      </c>
      <c r="E57" s="29">
        <v>57000</v>
      </c>
      <c r="F57" s="14">
        <v>111.94799999999999</v>
      </c>
      <c r="G57" s="15">
        <f t="shared" si="2"/>
        <v>8.5000000000000006E-3</v>
      </c>
      <c r="H57" s="16"/>
    </row>
    <row r="58" spans="1:8" ht="12.75" customHeight="1" x14ac:dyDescent="0.2">
      <c r="A58">
        <f>+MAX($A$7:A57)+1</f>
        <v>50</v>
      </c>
      <c r="B58" t="s">
        <v>640</v>
      </c>
      <c r="C58" t="s">
        <v>641</v>
      </c>
      <c r="D58" t="s">
        <v>105</v>
      </c>
      <c r="E58" s="29">
        <v>117000</v>
      </c>
      <c r="F58" s="14">
        <v>110.97450000000001</v>
      </c>
      <c r="G58" s="15">
        <f t="shared" si="2"/>
        <v>8.3999999999999995E-3</v>
      </c>
      <c r="H58" s="16"/>
    </row>
    <row r="59" spans="1:8" ht="12.75" customHeight="1" x14ac:dyDescent="0.2">
      <c r="A59">
        <f>+MAX($A$7:A58)+1</f>
        <v>51</v>
      </c>
      <c r="B59" t="s">
        <v>217</v>
      </c>
      <c r="C59" t="s">
        <v>61</v>
      </c>
      <c r="D59" t="s">
        <v>23</v>
      </c>
      <c r="E59" s="29">
        <v>18000</v>
      </c>
      <c r="F59" s="14">
        <v>110.502</v>
      </c>
      <c r="G59" s="15">
        <f t="shared" si="2"/>
        <v>8.3999999999999995E-3</v>
      </c>
      <c r="H59" s="16"/>
    </row>
    <row r="60" spans="1:8" ht="12.75" customHeight="1" x14ac:dyDescent="0.2">
      <c r="A60">
        <f>+MAX($A$7:A59)+1</f>
        <v>52</v>
      </c>
      <c r="B60" t="s">
        <v>400</v>
      </c>
      <c r="C60" t="s">
        <v>401</v>
      </c>
      <c r="D60" t="s">
        <v>43</v>
      </c>
      <c r="E60" s="29">
        <v>27000</v>
      </c>
      <c r="F60" s="14">
        <v>94.918499999999995</v>
      </c>
      <c r="G60" s="15">
        <f t="shared" si="2"/>
        <v>7.1999999999999998E-3</v>
      </c>
      <c r="H60" s="16"/>
    </row>
    <row r="61" spans="1:8" ht="12.75" customHeight="1" x14ac:dyDescent="0.2">
      <c r="A61">
        <f>+MAX($A$7:A60)+1</f>
        <v>53</v>
      </c>
      <c r="B61" t="s">
        <v>606</v>
      </c>
      <c r="C61" t="s">
        <v>607</v>
      </c>
      <c r="D61" t="s">
        <v>106</v>
      </c>
      <c r="E61" s="29">
        <v>97200</v>
      </c>
      <c r="F61" s="14">
        <v>88.597800000000007</v>
      </c>
      <c r="G61" s="15">
        <f t="shared" si="2"/>
        <v>6.7000000000000002E-3</v>
      </c>
      <c r="H61" s="16"/>
    </row>
    <row r="62" spans="1:8" ht="12.75" customHeight="1" x14ac:dyDescent="0.2">
      <c r="A62">
        <f>+MAX($A$7:A61)+1</f>
        <v>54</v>
      </c>
      <c r="B62" t="s">
        <v>636</v>
      </c>
      <c r="C62" t="s">
        <v>637</v>
      </c>
      <c r="D62" t="s">
        <v>106</v>
      </c>
      <c r="E62" s="29">
        <v>33000</v>
      </c>
      <c r="F62" s="14">
        <v>67.996499999999997</v>
      </c>
      <c r="G62" s="15">
        <f t="shared" si="2"/>
        <v>5.1999999999999998E-3</v>
      </c>
      <c r="H62" s="16"/>
    </row>
    <row r="63" spans="1:8" ht="12.75" customHeight="1" x14ac:dyDescent="0.2">
      <c r="A63">
        <f>+MAX($A$7:A62)+1</f>
        <v>55</v>
      </c>
      <c r="B63" t="s">
        <v>397</v>
      </c>
      <c r="C63" t="s">
        <v>129</v>
      </c>
      <c r="D63" t="s">
        <v>21</v>
      </c>
      <c r="E63" s="29">
        <v>30000</v>
      </c>
      <c r="F63" s="14">
        <v>62.07</v>
      </c>
      <c r="G63" s="15">
        <f t="shared" si="2"/>
        <v>4.7000000000000002E-3</v>
      </c>
      <c r="H63" s="16"/>
    </row>
    <row r="64" spans="1:8" ht="12.75" customHeight="1" x14ac:dyDescent="0.2">
      <c r="A64">
        <f>+MAX($A$7:A63)+1</f>
        <v>56</v>
      </c>
      <c r="B64" t="s">
        <v>357</v>
      </c>
      <c r="C64" t="s">
        <v>358</v>
      </c>
      <c r="D64" t="s">
        <v>143</v>
      </c>
      <c r="E64" s="29">
        <v>118800</v>
      </c>
      <c r="F64" s="14">
        <v>48.767400000000002</v>
      </c>
      <c r="G64" s="15">
        <f t="shared" si="2"/>
        <v>3.7000000000000002E-3</v>
      </c>
      <c r="H64" s="16"/>
    </row>
    <row r="65" spans="1:12" ht="12.75" customHeight="1" x14ac:dyDescent="0.2">
      <c r="A65">
        <f>+MAX($A$7:A64)+1</f>
        <v>57</v>
      </c>
      <c r="B65" t="s">
        <v>458</v>
      </c>
      <c r="C65" s="122" t="s">
        <v>667</v>
      </c>
      <c r="D65" t="s">
        <v>38</v>
      </c>
      <c r="E65" s="29">
        <v>16500</v>
      </c>
      <c r="F65" s="14">
        <v>0</v>
      </c>
      <c r="G65" s="109" t="s">
        <v>540</v>
      </c>
      <c r="H65" s="16"/>
    </row>
    <row r="66" spans="1:12" ht="12.75" customHeight="1" x14ac:dyDescent="0.2">
      <c r="B66" s="19" t="s">
        <v>85</v>
      </c>
      <c r="C66" s="19"/>
      <c r="D66" s="19"/>
      <c r="E66" s="30"/>
      <c r="F66" s="20">
        <f>SUM(F9:F65)</f>
        <v>12924.714221500004</v>
      </c>
      <c r="G66" s="21">
        <f>SUM(G9:G65)</f>
        <v>0.98310000000000031</v>
      </c>
      <c r="H66" s="22"/>
      <c r="I66" s="50"/>
    </row>
    <row r="67" spans="1:12" ht="12.75" customHeight="1" x14ac:dyDescent="0.2">
      <c r="F67" s="14"/>
      <c r="G67" s="15"/>
      <c r="H67" s="16"/>
    </row>
    <row r="68" spans="1:12" ht="12.75" customHeight="1" x14ac:dyDescent="0.2">
      <c r="B68" s="17" t="s">
        <v>305</v>
      </c>
      <c r="C68" s="17"/>
      <c r="F68" s="14"/>
      <c r="G68" s="15"/>
      <c r="H68" s="16"/>
      <c r="J68" s="66"/>
    </row>
    <row r="69" spans="1:12" ht="12.75" customHeight="1" x14ac:dyDescent="0.2">
      <c r="A69">
        <f>+MAX($A$8:A68)+1</f>
        <v>58</v>
      </c>
      <c r="B69" s="1" t="s">
        <v>413</v>
      </c>
      <c r="C69" s="122" t="s">
        <v>667</v>
      </c>
      <c r="D69" t="s">
        <v>26</v>
      </c>
      <c r="E69" s="29">
        <v>50000</v>
      </c>
      <c r="F69" s="14">
        <v>0</v>
      </c>
      <c r="G69" s="109" t="s">
        <v>540</v>
      </c>
      <c r="H69" s="16"/>
    </row>
    <row r="70" spans="1:12" ht="12.75" customHeight="1" x14ac:dyDescent="0.2">
      <c r="A70">
        <f>+MAX($A$8:A69)+1</f>
        <v>59</v>
      </c>
      <c r="B70" s="66" t="s">
        <v>416</v>
      </c>
      <c r="C70" s="122" t="s">
        <v>667</v>
      </c>
      <c r="D70" t="s">
        <v>24</v>
      </c>
      <c r="E70" s="29">
        <v>20</v>
      </c>
      <c r="F70" s="14">
        <v>0</v>
      </c>
      <c r="G70" s="109" t="s">
        <v>540</v>
      </c>
      <c r="H70" s="16"/>
    </row>
    <row r="71" spans="1:12" ht="12.75" customHeight="1" x14ac:dyDescent="0.2">
      <c r="A71">
        <f>+MAX($A$8:A70)+1</f>
        <v>60</v>
      </c>
      <c r="B71" s="66" t="s">
        <v>414</v>
      </c>
      <c r="C71" t="s">
        <v>139</v>
      </c>
      <c r="D71" t="s">
        <v>34</v>
      </c>
      <c r="E71" s="29">
        <v>50000</v>
      </c>
      <c r="F71" s="14">
        <v>0</v>
      </c>
      <c r="G71" s="109" t="s">
        <v>540</v>
      </c>
      <c r="H71" s="16"/>
    </row>
    <row r="72" spans="1:12" ht="12.75" customHeight="1" x14ac:dyDescent="0.2">
      <c r="A72">
        <f>+MAX($A$8:A71)+1</f>
        <v>61</v>
      </c>
      <c r="B72" s="66" t="s">
        <v>415</v>
      </c>
      <c r="C72" s="122" t="s">
        <v>667</v>
      </c>
      <c r="D72" t="s">
        <v>32</v>
      </c>
      <c r="E72" s="29">
        <v>900</v>
      </c>
      <c r="F72" s="14">
        <v>0</v>
      </c>
      <c r="G72" s="109" t="s">
        <v>540</v>
      </c>
      <c r="H72" s="16"/>
    </row>
    <row r="73" spans="1:12" ht="12.75" customHeight="1" x14ac:dyDescent="0.2">
      <c r="A73">
        <f>+MAX($A$8:A72)+1</f>
        <v>62</v>
      </c>
      <c r="B73" s="66" t="s">
        <v>417</v>
      </c>
      <c r="C73" s="122" t="s">
        <v>667</v>
      </c>
      <c r="D73" t="s">
        <v>28</v>
      </c>
      <c r="E73" s="29">
        <v>200000</v>
      </c>
      <c r="F73" s="14">
        <v>0</v>
      </c>
      <c r="G73" s="109" t="s">
        <v>540</v>
      </c>
      <c r="H73" s="16"/>
    </row>
    <row r="74" spans="1:12" ht="12.75" customHeight="1" x14ac:dyDescent="0.2">
      <c r="B74" s="19" t="s">
        <v>85</v>
      </c>
      <c r="C74" s="19"/>
      <c r="D74" s="19"/>
      <c r="E74" s="30"/>
      <c r="F74" s="20">
        <f>SUM(F69:F73)</f>
        <v>0</v>
      </c>
      <c r="G74" s="52" t="s">
        <v>540</v>
      </c>
      <c r="H74" s="22"/>
      <c r="I74" s="50"/>
    </row>
    <row r="75" spans="1:12" ht="12.75" customHeight="1" x14ac:dyDescent="0.2">
      <c r="F75" s="14"/>
      <c r="G75" s="15"/>
      <c r="H75" s="16"/>
      <c r="J75" s="47"/>
      <c r="K75" s="49"/>
    </row>
    <row r="76" spans="1:12" ht="12.75" customHeight="1" x14ac:dyDescent="0.2">
      <c r="B76" s="17" t="s">
        <v>92</v>
      </c>
      <c r="C76" s="17"/>
      <c r="F76" s="14"/>
      <c r="G76" s="15"/>
      <c r="H76" s="16"/>
      <c r="I76" s="74"/>
    </row>
    <row r="77" spans="1:12" ht="12.75" customHeight="1" x14ac:dyDescent="0.2">
      <c r="A77">
        <f>+MAX($A$8:A76)+1</f>
        <v>63</v>
      </c>
      <c r="B77" t="s">
        <v>447</v>
      </c>
      <c r="C77" t="s">
        <v>355</v>
      </c>
      <c r="D77" t="s">
        <v>321</v>
      </c>
      <c r="E77" s="29">
        <v>1317.8731</v>
      </c>
      <c r="F77" s="14">
        <v>22.079245299999997</v>
      </c>
      <c r="G77" s="15">
        <f>+ROUND(F77/VLOOKUP("Grand Total",$B$4:$F$291,5,0),4)</f>
        <v>1.6999999999999999E-3</v>
      </c>
      <c r="H77" s="16" t="s">
        <v>372</v>
      </c>
      <c r="I77" s="74"/>
    </row>
    <row r="78" spans="1:12" ht="12.75" customHeight="1" x14ac:dyDescent="0.2">
      <c r="B78" s="19" t="s">
        <v>85</v>
      </c>
      <c r="C78" s="19"/>
      <c r="D78" s="19"/>
      <c r="E78" s="30"/>
      <c r="F78" s="20">
        <f>SUM(F77)</f>
        <v>22.079245299999997</v>
      </c>
      <c r="G78" s="21">
        <f>SUM(G77)</f>
        <v>1.6999999999999999E-3</v>
      </c>
      <c r="H78" s="22"/>
      <c r="I78" s="36"/>
    </row>
    <row r="79" spans="1:12" s="47" customFormat="1" ht="12.75" customHeight="1" x14ac:dyDescent="0.2">
      <c r="B79" s="68"/>
      <c r="C79" s="68"/>
      <c r="D79" s="68"/>
      <c r="E79" s="69"/>
      <c r="F79" s="70"/>
      <c r="G79" s="71"/>
      <c r="H79" s="36"/>
      <c r="I79" s="36"/>
      <c r="K79" s="49"/>
      <c r="L79"/>
    </row>
    <row r="80" spans="1:12" ht="12.75" customHeight="1" x14ac:dyDescent="0.2">
      <c r="A80" s="96" t="s">
        <v>371</v>
      </c>
      <c r="B80" s="17" t="s">
        <v>93</v>
      </c>
      <c r="C80" s="17"/>
      <c r="F80" s="14">
        <v>253.75615999999999</v>
      </c>
      <c r="G80" s="15">
        <f>+ROUND(F80/VLOOKUP("Grand Total",$B$4:$F$300,5,0),4)</f>
        <v>1.9300000000000001E-2</v>
      </c>
      <c r="H80" s="16">
        <v>43160</v>
      </c>
      <c r="L80" s="47"/>
    </row>
    <row r="81" spans="2:9" ht="12.75" customHeight="1" x14ac:dyDescent="0.2">
      <c r="B81" s="19" t="s">
        <v>85</v>
      </c>
      <c r="C81" s="19"/>
      <c r="D81" s="19"/>
      <c r="E81" s="30"/>
      <c r="F81" s="20">
        <f>SUM(F80)</f>
        <v>253.75615999999999</v>
      </c>
      <c r="G81" s="21">
        <f>SUM(G80)</f>
        <v>1.9300000000000001E-2</v>
      </c>
      <c r="H81" s="22"/>
      <c r="I81" s="50"/>
    </row>
    <row r="82" spans="2:9" ht="12.75" customHeight="1" x14ac:dyDescent="0.2">
      <c r="F82" s="14"/>
      <c r="G82" s="15"/>
      <c r="H82" s="16"/>
    </row>
    <row r="83" spans="2:9" ht="12.75" customHeight="1" x14ac:dyDescent="0.2">
      <c r="B83" s="17" t="s">
        <v>94</v>
      </c>
      <c r="C83" s="17"/>
      <c r="F83" s="14"/>
      <c r="G83" s="15"/>
      <c r="H83" s="16"/>
    </row>
    <row r="84" spans="2:9" ht="12.75" customHeight="1" x14ac:dyDescent="0.2">
      <c r="B84" s="17" t="s">
        <v>95</v>
      </c>
      <c r="C84" s="17"/>
      <c r="F84" s="14">
        <v>-52.161734800003615</v>
      </c>
      <c r="G84" s="123">
        <f>+ROUND(F84/VLOOKUP("Grand Total",$B$4:$F$300,5,0),4)-0.01%</f>
        <v>-4.1000000000000003E-3</v>
      </c>
      <c r="H84" s="16"/>
    </row>
    <row r="85" spans="2:9" ht="12.75" customHeight="1" x14ac:dyDescent="0.2">
      <c r="B85" s="19" t="s">
        <v>85</v>
      </c>
      <c r="C85" s="19"/>
      <c r="D85" s="19"/>
      <c r="E85" s="30"/>
      <c r="F85" s="20">
        <f>SUM(F84)</f>
        <v>-52.161734800003615</v>
      </c>
      <c r="G85" s="124">
        <f>SUM(G84)</f>
        <v>-4.1000000000000003E-3</v>
      </c>
      <c r="H85" s="22"/>
      <c r="I85" s="50"/>
    </row>
    <row r="86" spans="2:9" ht="12.75" customHeight="1" x14ac:dyDescent="0.2">
      <c r="B86" s="23" t="s">
        <v>96</v>
      </c>
      <c r="C86" s="23"/>
      <c r="D86" s="23"/>
      <c r="E86" s="31"/>
      <c r="F86" s="24">
        <f>+SUMIF($B$5:B85,"Total",$F$5:F85)</f>
        <v>13148.387892000001</v>
      </c>
      <c r="G86" s="25">
        <f>+SUMIF($B$5:B85,"Total",$G$5:G85)</f>
        <v>1.0000000000000004</v>
      </c>
      <c r="H86" s="26"/>
      <c r="I86" s="50"/>
    </row>
    <row r="87" spans="2:9" ht="12.75" customHeight="1" x14ac:dyDescent="0.2">
      <c r="F87" s="14"/>
    </row>
    <row r="88" spans="2:9" ht="12.75" customHeight="1" x14ac:dyDescent="0.2">
      <c r="B88" s="17" t="s">
        <v>188</v>
      </c>
    </row>
    <row r="89" spans="2:9" ht="12.75" customHeight="1" x14ac:dyDescent="0.2">
      <c r="B89" s="17" t="s">
        <v>189</v>
      </c>
      <c r="C89" s="17"/>
    </row>
    <row r="90" spans="2:9" ht="12.75" customHeight="1" x14ac:dyDescent="0.2">
      <c r="B90" s="54" t="s">
        <v>308</v>
      </c>
      <c r="C90" s="17"/>
    </row>
    <row r="91" spans="2:9" ht="12.75" customHeight="1" x14ac:dyDescent="0.2">
      <c r="B91" s="17" t="s">
        <v>190</v>
      </c>
      <c r="C91" s="17"/>
    </row>
    <row r="92" spans="2:9" ht="12.75" customHeight="1" x14ac:dyDescent="0.2">
      <c r="B92" s="17" t="s">
        <v>192</v>
      </c>
      <c r="C92" s="17"/>
    </row>
    <row r="93" spans="2:9" ht="12.75" customHeight="1" x14ac:dyDescent="0.2">
      <c r="B93" s="17"/>
    </row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</sheetData>
  <sheetProtection password="EDB3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" customWidth="1"/>
    <col min="4" max="4" width="4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42.85546875" bestFit="1" customWidth="1"/>
    <col min="11" max="11" width="8" style="37" bestFit="1" customWidth="1"/>
    <col min="12" max="12" width="10.28515625" bestFit="1" customWidth="1"/>
  </cols>
  <sheetData>
    <row r="1" spans="1:16" ht="18.75" x14ac:dyDescent="0.2">
      <c r="A1" s="95" t="s">
        <v>376</v>
      </c>
      <c r="B1" s="126" t="s">
        <v>141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+MAX($A$8:A8)+1</f>
        <v>1</v>
      </c>
      <c r="B9" t="s">
        <v>271</v>
      </c>
      <c r="C9" t="s">
        <v>142</v>
      </c>
      <c r="D9" t="s">
        <v>21</v>
      </c>
      <c r="E9" s="29">
        <v>15000</v>
      </c>
      <c r="F9" s="14">
        <v>4115.6625000000004</v>
      </c>
      <c r="G9" s="15">
        <f t="shared" ref="G9:G72" si="0">+ROUND(F9/VLOOKUP("Grand Total",$B$4:$F$302,5,0),4)</f>
        <v>2.47E-2</v>
      </c>
      <c r="H9" s="16"/>
      <c r="J9" s="15" t="s">
        <v>10</v>
      </c>
      <c r="K9" s="49">
        <f t="shared" ref="K9:K36" si="1">SUMIFS($G$5:$G$334,$D$5:$D$334,J9)</f>
        <v>0.10589999999999999</v>
      </c>
    </row>
    <row r="10" spans="1:16" s="66" customFormat="1" ht="12.75" customHeight="1" x14ac:dyDescent="0.2">
      <c r="A10" s="66">
        <f>+MAX($A$8:A9)+1</f>
        <v>2</v>
      </c>
      <c r="B10" s="66" t="s">
        <v>205</v>
      </c>
      <c r="C10" s="66" t="s">
        <v>48</v>
      </c>
      <c r="D10" s="66" t="s">
        <v>26</v>
      </c>
      <c r="E10" s="86">
        <v>78900</v>
      </c>
      <c r="F10" s="87">
        <v>3940.4632499999998</v>
      </c>
      <c r="G10" s="15">
        <f t="shared" si="0"/>
        <v>2.3699999999999999E-2</v>
      </c>
      <c r="H10" s="92"/>
      <c r="I10" s="74"/>
      <c r="J10" s="15" t="s">
        <v>41</v>
      </c>
      <c r="K10" s="49">
        <f t="shared" si="1"/>
        <v>8.9600000000000013E-2</v>
      </c>
    </row>
    <row r="11" spans="1:16" ht="12.75" customHeight="1" x14ac:dyDescent="0.2">
      <c r="A11">
        <f>+MAX($A$8:A10)+1</f>
        <v>3</v>
      </c>
      <c r="B11" t="s">
        <v>243</v>
      </c>
      <c r="C11" t="s">
        <v>103</v>
      </c>
      <c r="D11" t="s">
        <v>10</v>
      </c>
      <c r="E11" s="29">
        <v>180900</v>
      </c>
      <c r="F11" s="14">
        <v>3040.4767499999998</v>
      </c>
      <c r="G11" s="15">
        <f t="shared" si="0"/>
        <v>1.8200000000000001E-2</v>
      </c>
      <c r="H11" s="16"/>
      <c r="J11" s="15" t="s">
        <v>24</v>
      </c>
      <c r="K11" s="49">
        <f t="shared" si="1"/>
        <v>6.9999999999999993E-2</v>
      </c>
      <c r="M11" s="15"/>
      <c r="N11" s="37"/>
      <c r="P11" s="15"/>
    </row>
    <row r="12" spans="1:16" ht="12.75" customHeight="1" x14ac:dyDescent="0.2">
      <c r="A12">
        <f>+MAX($A$8:A11)+1</f>
        <v>4</v>
      </c>
      <c r="B12" t="s">
        <v>282</v>
      </c>
      <c r="C12" t="s">
        <v>155</v>
      </c>
      <c r="D12" t="s">
        <v>41</v>
      </c>
      <c r="E12" s="29">
        <v>204900</v>
      </c>
      <c r="F12" s="14">
        <v>2949.7404000000001</v>
      </c>
      <c r="G12" s="15">
        <f t="shared" si="0"/>
        <v>1.77E-2</v>
      </c>
      <c r="H12" s="16"/>
      <c r="J12" s="15" t="s">
        <v>133</v>
      </c>
      <c r="K12" s="49">
        <f t="shared" si="1"/>
        <v>6.6100000000000006E-2</v>
      </c>
      <c r="M12" s="15"/>
      <c r="N12" s="37"/>
      <c r="P12" s="15"/>
    </row>
    <row r="13" spans="1:16" ht="12.75" customHeight="1" x14ac:dyDescent="0.2">
      <c r="A13">
        <f>+MAX($A$8:A12)+1</f>
        <v>5</v>
      </c>
      <c r="B13" t="s">
        <v>197</v>
      </c>
      <c r="C13" t="s">
        <v>11</v>
      </c>
      <c r="D13" t="s">
        <v>10</v>
      </c>
      <c r="E13" s="29">
        <v>873090</v>
      </c>
      <c r="F13" s="14">
        <v>2734.9544249999999</v>
      </c>
      <c r="G13" s="15">
        <f t="shared" si="0"/>
        <v>1.6400000000000001E-2</v>
      </c>
      <c r="H13" s="16"/>
      <c r="J13" s="15" t="s">
        <v>38</v>
      </c>
      <c r="K13" s="49">
        <f t="shared" si="1"/>
        <v>5.4199999999999998E-2</v>
      </c>
      <c r="M13" s="15"/>
      <c r="N13" s="37"/>
      <c r="P13" s="15"/>
    </row>
    <row r="14" spans="1:16" ht="12.75" customHeight="1" x14ac:dyDescent="0.2">
      <c r="A14">
        <f>+MAX($A$8:A13)+1</f>
        <v>6</v>
      </c>
      <c r="B14" t="s">
        <v>286</v>
      </c>
      <c r="C14" t="s">
        <v>179</v>
      </c>
      <c r="D14" t="s">
        <v>47</v>
      </c>
      <c r="E14" s="29">
        <v>1054890</v>
      </c>
      <c r="F14" s="14">
        <v>2608.7429699999998</v>
      </c>
      <c r="G14" s="15">
        <f t="shared" si="0"/>
        <v>1.5699999999999999E-2</v>
      </c>
      <c r="H14" s="16"/>
      <c r="J14" s="15" t="s">
        <v>26</v>
      </c>
      <c r="K14" s="49">
        <f t="shared" si="1"/>
        <v>5.0599999999999992E-2</v>
      </c>
      <c r="M14" s="15"/>
      <c r="N14" s="37"/>
      <c r="P14" s="15"/>
    </row>
    <row r="15" spans="1:16" ht="12.75" customHeight="1" x14ac:dyDescent="0.2">
      <c r="A15">
        <f>+MAX($A$8:A14)+1</f>
        <v>7</v>
      </c>
      <c r="B15" t="s">
        <v>313</v>
      </c>
      <c r="C15" t="s">
        <v>501</v>
      </c>
      <c r="D15" t="s">
        <v>133</v>
      </c>
      <c r="E15" s="29">
        <v>318900</v>
      </c>
      <c r="F15" s="14">
        <v>2583.4088999999999</v>
      </c>
      <c r="G15" s="15">
        <f t="shared" si="0"/>
        <v>1.55E-2</v>
      </c>
      <c r="H15" s="16"/>
      <c r="J15" s="15" t="s">
        <v>143</v>
      </c>
      <c r="K15" s="49">
        <f t="shared" si="1"/>
        <v>5.0299999999999997E-2</v>
      </c>
      <c r="M15" s="15"/>
      <c r="N15" s="37"/>
      <c r="P15" s="15"/>
    </row>
    <row r="16" spans="1:16" ht="12.75" customHeight="1" x14ac:dyDescent="0.2">
      <c r="A16">
        <f>+MAX($A$8:A15)+1</f>
        <v>8</v>
      </c>
      <c r="B16" t="s">
        <v>274</v>
      </c>
      <c r="C16" t="s">
        <v>145</v>
      </c>
      <c r="D16" t="s">
        <v>38</v>
      </c>
      <c r="E16" s="29">
        <v>3510</v>
      </c>
      <c r="F16" s="14">
        <v>2576.0451600000001</v>
      </c>
      <c r="G16" s="15">
        <f t="shared" si="0"/>
        <v>1.55E-2</v>
      </c>
      <c r="H16" s="16"/>
      <c r="J16" s="15" t="s">
        <v>19</v>
      </c>
      <c r="K16" s="49">
        <f t="shared" si="1"/>
        <v>4.5900000000000003E-2</v>
      </c>
      <c r="M16" s="15"/>
      <c r="N16" s="37"/>
      <c r="P16" s="15"/>
    </row>
    <row r="17" spans="1:16" ht="12.75" customHeight="1" x14ac:dyDescent="0.2">
      <c r="A17">
        <f>+MAX($A$8:A16)+1</f>
        <v>9</v>
      </c>
      <c r="B17" t="s">
        <v>229</v>
      </c>
      <c r="C17" t="s">
        <v>584</v>
      </c>
      <c r="D17" t="s">
        <v>47</v>
      </c>
      <c r="E17" s="29">
        <v>834000</v>
      </c>
      <c r="F17" s="14">
        <v>2541.1979999999999</v>
      </c>
      <c r="G17" s="15">
        <f t="shared" si="0"/>
        <v>1.5299999999999999E-2</v>
      </c>
      <c r="H17" s="16"/>
      <c r="J17" s="15" t="s">
        <v>15</v>
      </c>
      <c r="K17" s="49">
        <f t="shared" si="1"/>
        <v>4.0599999999999997E-2</v>
      </c>
      <c r="M17" s="15"/>
      <c r="N17" s="37"/>
      <c r="P17" s="15"/>
    </row>
    <row r="18" spans="1:16" ht="12.75" customHeight="1" x14ac:dyDescent="0.2">
      <c r="A18">
        <f>+MAX($A$8:A17)+1</f>
        <v>10</v>
      </c>
      <c r="B18" t="s">
        <v>226</v>
      </c>
      <c r="C18" t="s">
        <v>66</v>
      </c>
      <c r="D18" t="s">
        <v>28</v>
      </c>
      <c r="E18" s="29">
        <v>609000</v>
      </c>
      <c r="F18" s="14">
        <v>2528.8724999999999</v>
      </c>
      <c r="G18" s="15">
        <f t="shared" si="0"/>
        <v>1.52E-2</v>
      </c>
      <c r="H18" s="16"/>
      <c r="J18" s="15" t="s">
        <v>47</v>
      </c>
      <c r="K18" s="49">
        <f t="shared" si="1"/>
        <v>3.9899999999999998E-2</v>
      </c>
      <c r="M18" s="15"/>
      <c r="N18" s="37"/>
      <c r="P18" s="15"/>
    </row>
    <row r="19" spans="1:16" ht="12.75" customHeight="1" x14ac:dyDescent="0.2">
      <c r="A19">
        <f>+MAX($A$8:A18)+1</f>
        <v>11</v>
      </c>
      <c r="B19" t="s">
        <v>194</v>
      </c>
      <c r="C19" t="s">
        <v>14</v>
      </c>
      <c r="D19" t="s">
        <v>10</v>
      </c>
      <c r="E19" s="29">
        <v>129600</v>
      </c>
      <c r="F19" s="14">
        <v>2441.9232000000002</v>
      </c>
      <c r="G19" s="15">
        <f t="shared" si="0"/>
        <v>1.47E-2</v>
      </c>
      <c r="H19" s="16"/>
      <c r="J19" s="15" t="s">
        <v>28</v>
      </c>
      <c r="K19" s="49">
        <f t="shared" si="1"/>
        <v>3.9300000000000002E-2</v>
      </c>
      <c r="M19" s="15"/>
      <c r="N19" s="37"/>
      <c r="P19" s="15"/>
    </row>
    <row r="20" spans="1:16" ht="12.75" customHeight="1" x14ac:dyDescent="0.2">
      <c r="A20">
        <f>+MAX($A$8:A19)+1</f>
        <v>12</v>
      </c>
      <c r="B20" t="s">
        <v>497</v>
      </c>
      <c r="C20" t="s">
        <v>498</v>
      </c>
      <c r="D20" t="s">
        <v>15</v>
      </c>
      <c r="E20" s="29">
        <v>168000</v>
      </c>
      <c r="F20" s="14">
        <v>2341.4160000000002</v>
      </c>
      <c r="G20" s="15">
        <f t="shared" si="0"/>
        <v>1.41E-2</v>
      </c>
      <c r="H20" s="16"/>
      <c r="J20" s="15" t="s">
        <v>37</v>
      </c>
      <c r="K20" s="49">
        <f t="shared" si="1"/>
        <v>3.5499999999999997E-2</v>
      </c>
      <c r="M20" s="15"/>
      <c r="N20" s="37"/>
      <c r="P20" s="15"/>
    </row>
    <row r="21" spans="1:16" ht="12.75" customHeight="1" x14ac:dyDescent="0.2">
      <c r="A21">
        <f>+MAX($A$8:A20)+1</f>
        <v>13</v>
      </c>
      <c r="B21" t="s">
        <v>525</v>
      </c>
      <c r="C21" t="s">
        <v>526</v>
      </c>
      <c r="D21" t="s">
        <v>527</v>
      </c>
      <c r="E21" s="29">
        <v>197558</v>
      </c>
      <c r="F21" s="14">
        <v>2339.8769520000001</v>
      </c>
      <c r="G21" s="15">
        <f t="shared" si="0"/>
        <v>1.4E-2</v>
      </c>
      <c r="H21" s="16"/>
      <c r="J21" s="15" t="s">
        <v>23</v>
      </c>
      <c r="K21" s="49">
        <f t="shared" si="1"/>
        <v>3.44E-2</v>
      </c>
      <c r="M21" s="15"/>
      <c r="N21" s="37"/>
      <c r="P21" s="15"/>
    </row>
    <row r="22" spans="1:16" ht="12.75" customHeight="1" x14ac:dyDescent="0.2">
      <c r="A22">
        <f>+MAX($A$8:A21)+1</f>
        <v>14</v>
      </c>
      <c r="B22" t="s">
        <v>635</v>
      </c>
      <c r="C22" t="s">
        <v>127</v>
      </c>
      <c r="D22" t="s">
        <v>19</v>
      </c>
      <c r="E22" s="29">
        <v>13800</v>
      </c>
      <c r="F22" s="14">
        <v>2294.0360999999998</v>
      </c>
      <c r="G22" s="15">
        <f t="shared" si="0"/>
        <v>1.38E-2</v>
      </c>
      <c r="H22" s="16"/>
      <c r="J22" s="15" t="s">
        <v>43</v>
      </c>
      <c r="K22" s="49">
        <f t="shared" si="1"/>
        <v>2.7799999999999998E-2</v>
      </c>
      <c r="M22" s="15"/>
      <c r="N22" s="37"/>
      <c r="P22" s="15"/>
    </row>
    <row r="23" spans="1:16" ht="12.75" customHeight="1" x14ac:dyDescent="0.2">
      <c r="A23">
        <f>+MAX($A$8:A22)+1</f>
        <v>15</v>
      </c>
      <c r="B23" t="s">
        <v>270</v>
      </c>
      <c r="C23" t="s">
        <v>82</v>
      </c>
      <c r="D23" t="s">
        <v>15</v>
      </c>
      <c r="E23" s="29">
        <v>357900</v>
      </c>
      <c r="F23" s="14">
        <v>2278.21245</v>
      </c>
      <c r="G23" s="15">
        <f t="shared" si="0"/>
        <v>1.37E-2</v>
      </c>
      <c r="H23" s="16"/>
      <c r="J23" s="15" t="s">
        <v>21</v>
      </c>
      <c r="K23" s="49">
        <f t="shared" si="1"/>
        <v>2.5899999999999999E-2</v>
      </c>
      <c r="M23" s="15"/>
      <c r="N23" s="37"/>
      <c r="P23" s="15"/>
    </row>
    <row r="24" spans="1:16" ht="12.75" customHeight="1" x14ac:dyDescent="0.2">
      <c r="A24">
        <f>+MAX($A$8:A23)+1</f>
        <v>16</v>
      </c>
      <c r="B24" t="s">
        <v>231</v>
      </c>
      <c r="C24" t="s">
        <v>80</v>
      </c>
      <c r="D24" t="s">
        <v>30</v>
      </c>
      <c r="E24" s="29">
        <v>588900</v>
      </c>
      <c r="F24" s="14">
        <v>2238.7033499999998</v>
      </c>
      <c r="G24" s="15">
        <f t="shared" si="0"/>
        <v>1.34E-2</v>
      </c>
      <c r="H24" s="16"/>
      <c r="J24" s="15" t="s">
        <v>32</v>
      </c>
      <c r="K24" s="49">
        <f t="shared" si="1"/>
        <v>2.5000000000000001E-2</v>
      </c>
      <c r="M24" s="15"/>
      <c r="N24" s="37"/>
      <c r="P24" s="15"/>
    </row>
    <row r="25" spans="1:16" ht="12.75" customHeight="1" x14ac:dyDescent="0.2">
      <c r="A25">
        <f>+MAX($A$8:A24)+1</f>
        <v>17</v>
      </c>
      <c r="B25" t="s">
        <v>276</v>
      </c>
      <c r="C25" t="s">
        <v>149</v>
      </c>
      <c r="D25" t="s">
        <v>28</v>
      </c>
      <c r="E25" s="29">
        <v>366900</v>
      </c>
      <c r="F25" s="14">
        <v>2235.8886000000002</v>
      </c>
      <c r="G25" s="15">
        <f t="shared" si="0"/>
        <v>1.34E-2</v>
      </c>
      <c r="H25" s="16"/>
      <c r="J25" s="15" t="s">
        <v>106</v>
      </c>
      <c r="K25" s="49">
        <f t="shared" si="1"/>
        <v>2.3199999999999998E-2</v>
      </c>
      <c r="M25" s="15"/>
      <c r="N25" s="37"/>
      <c r="P25" s="15"/>
    </row>
    <row r="26" spans="1:16" ht="12.75" customHeight="1" x14ac:dyDescent="0.2">
      <c r="A26">
        <f>+MAX($A$8:A25)+1</f>
        <v>18</v>
      </c>
      <c r="B26" t="s">
        <v>273</v>
      </c>
      <c r="C26" t="s">
        <v>365</v>
      </c>
      <c r="D26" t="s">
        <v>24</v>
      </c>
      <c r="E26" s="29">
        <v>135000</v>
      </c>
      <c r="F26" s="14">
        <v>2214.3375000000001</v>
      </c>
      <c r="G26" s="15">
        <f t="shared" si="0"/>
        <v>1.3299999999999999E-2</v>
      </c>
      <c r="H26" s="16"/>
      <c r="J26" s="15" t="s">
        <v>30</v>
      </c>
      <c r="K26" s="49">
        <f t="shared" si="1"/>
        <v>2.2200000000000001E-2</v>
      </c>
      <c r="M26" s="15"/>
      <c r="N26" s="37"/>
      <c r="P26" s="15"/>
    </row>
    <row r="27" spans="1:16" ht="12.75" customHeight="1" x14ac:dyDescent="0.2">
      <c r="A27">
        <f>+MAX($A$8:A26)+1</f>
        <v>19</v>
      </c>
      <c r="B27" t="s">
        <v>318</v>
      </c>
      <c r="C27" t="s">
        <v>319</v>
      </c>
      <c r="D27" t="s">
        <v>143</v>
      </c>
      <c r="E27" s="29">
        <v>414000</v>
      </c>
      <c r="F27" s="14">
        <v>2184.0569999999998</v>
      </c>
      <c r="G27" s="15">
        <f t="shared" si="0"/>
        <v>1.3100000000000001E-2</v>
      </c>
      <c r="H27" s="16"/>
      <c r="J27" s="15" t="s">
        <v>102</v>
      </c>
      <c r="K27" s="49">
        <f t="shared" si="1"/>
        <v>1.9E-2</v>
      </c>
      <c r="M27" s="15"/>
      <c r="N27" s="37"/>
      <c r="P27" s="15"/>
    </row>
    <row r="28" spans="1:16" ht="12.75" customHeight="1" x14ac:dyDescent="0.2">
      <c r="A28">
        <f>+MAX($A$8:A27)+1</f>
        <v>20</v>
      </c>
      <c r="B28" t="s">
        <v>195</v>
      </c>
      <c r="C28" t="s">
        <v>16</v>
      </c>
      <c r="D28" t="s">
        <v>15</v>
      </c>
      <c r="E28" s="29">
        <v>182267</v>
      </c>
      <c r="F28" s="14">
        <v>2137.2628420000001</v>
      </c>
      <c r="G28" s="15">
        <f t="shared" si="0"/>
        <v>1.2800000000000001E-2</v>
      </c>
      <c r="H28" s="16"/>
      <c r="J28" s="15" t="s">
        <v>105</v>
      </c>
      <c r="K28" s="49">
        <f t="shared" si="1"/>
        <v>1.8099999999999998E-2</v>
      </c>
      <c r="M28" s="15"/>
      <c r="N28" s="37"/>
      <c r="P28" s="15"/>
    </row>
    <row r="29" spans="1:16" ht="12.75" customHeight="1" x14ac:dyDescent="0.2">
      <c r="A29">
        <f>+MAX($A$8:A28)+1</f>
        <v>21</v>
      </c>
      <c r="B29" t="s">
        <v>528</v>
      </c>
      <c r="C29" t="s">
        <v>550</v>
      </c>
      <c r="D29" t="s">
        <v>37</v>
      </c>
      <c r="E29" s="29">
        <v>162108</v>
      </c>
      <c r="F29" s="14">
        <v>2114.1314819999998</v>
      </c>
      <c r="G29" s="15">
        <f t="shared" si="0"/>
        <v>1.2699999999999999E-2</v>
      </c>
      <c r="H29" s="16"/>
      <c r="J29" s="15" t="s">
        <v>45</v>
      </c>
      <c r="K29" s="49">
        <f t="shared" si="1"/>
        <v>1.77E-2</v>
      </c>
      <c r="M29" s="15"/>
      <c r="N29" s="37"/>
      <c r="P29" s="15"/>
    </row>
    <row r="30" spans="1:16" ht="12.75" customHeight="1" x14ac:dyDescent="0.2">
      <c r="A30">
        <f>+MAX($A$8:A29)+1</f>
        <v>22</v>
      </c>
      <c r="B30" t="s">
        <v>272</v>
      </c>
      <c r="C30" t="s">
        <v>144</v>
      </c>
      <c r="D30" t="s">
        <v>23</v>
      </c>
      <c r="E30" s="29">
        <v>150000</v>
      </c>
      <c r="F30" s="14">
        <v>2052.9749999999999</v>
      </c>
      <c r="G30" s="15">
        <f t="shared" si="0"/>
        <v>1.23E-2</v>
      </c>
      <c r="H30" s="16"/>
      <c r="J30" s="15" t="s">
        <v>527</v>
      </c>
      <c r="K30" s="49">
        <f t="shared" si="1"/>
        <v>1.4E-2</v>
      </c>
      <c r="M30" s="15"/>
      <c r="N30" s="37"/>
      <c r="P30" s="15"/>
    </row>
    <row r="31" spans="1:16" ht="12.75" customHeight="1" x14ac:dyDescent="0.2">
      <c r="A31">
        <f>+MAX($A$8:A30)+1</f>
        <v>23</v>
      </c>
      <c r="B31" t="s">
        <v>269</v>
      </c>
      <c r="C31" t="s">
        <v>138</v>
      </c>
      <c r="D31" t="s">
        <v>133</v>
      </c>
      <c r="E31" s="29">
        <v>288000</v>
      </c>
      <c r="F31" s="14">
        <v>2029.3920000000001</v>
      </c>
      <c r="G31" s="15">
        <f t="shared" si="0"/>
        <v>1.2200000000000001E-2</v>
      </c>
      <c r="H31" s="16"/>
      <c r="J31" s="15" t="s">
        <v>324</v>
      </c>
      <c r="K31" s="49">
        <f t="shared" si="1"/>
        <v>1.3899999999999999E-2</v>
      </c>
      <c r="M31" s="15"/>
      <c r="N31" s="37"/>
      <c r="P31" s="15"/>
    </row>
    <row r="32" spans="1:16" ht="12.75" customHeight="1" x14ac:dyDescent="0.2">
      <c r="A32">
        <f>+MAX($A$8:A31)+1</f>
        <v>24</v>
      </c>
      <c r="B32" t="s">
        <v>507</v>
      </c>
      <c r="C32" t="s">
        <v>508</v>
      </c>
      <c r="D32" t="s">
        <v>24</v>
      </c>
      <c r="E32" s="29">
        <v>468900</v>
      </c>
      <c r="F32" s="14">
        <v>2028.6958500000001</v>
      </c>
      <c r="G32" s="15">
        <f t="shared" si="0"/>
        <v>1.2200000000000001E-2</v>
      </c>
      <c r="H32" s="16"/>
      <c r="J32" s="15" t="s">
        <v>147</v>
      </c>
      <c r="K32" s="49">
        <f t="shared" si="1"/>
        <v>1.09E-2</v>
      </c>
      <c r="M32" s="15"/>
      <c r="N32" s="37"/>
      <c r="P32" s="15"/>
    </row>
    <row r="33" spans="1:16" ht="12.75" customHeight="1" x14ac:dyDescent="0.2">
      <c r="A33">
        <f>+MAX($A$8:A32)+1</f>
        <v>25</v>
      </c>
      <c r="B33" t="s">
        <v>284</v>
      </c>
      <c r="C33" t="s">
        <v>285</v>
      </c>
      <c r="D33" t="s">
        <v>41</v>
      </c>
      <c r="E33" s="29">
        <v>308700</v>
      </c>
      <c r="F33" s="14">
        <v>2016.1197</v>
      </c>
      <c r="G33" s="15">
        <f t="shared" si="0"/>
        <v>1.21E-2</v>
      </c>
      <c r="H33" s="16"/>
      <c r="J33" s="15" t="s">
        <v>346</v>
      </c>
      <c r="K33" s="49">
        <f t="shared" si="1"/>
        <v>1.04E-2</v>
      </c>
      <c r="M33" s="15"/>
      <c r="N33" s="37"/>
      <c r="P33" s="15"/>
    </row>
    <row r="34" spans="1:16" ht="12.75" customHeight="1" x14ac:dyDescent="0.2">
      <c r="A34">
        <f>+MAX($A$8:A33)+1</f>
        <v>26</v>
      </c>
      <c r="B34" t="s">
        <v>297</v>
      </c>
      <c r="C34" t="s">
        <v>180</v>
      </c>
      <c r="D34" t="s">
        <v>38</v>
      </c>
      <c r="E34" s="29">
        <v>969900</v>
      </c>
      <c r="F34" s="14">
        <v>2011.5726</v>
      </c>
      <c r="G34" s="15">
        <f t="shared" si="0"/>
        <v>1.21E-2</v>
      </c>
      <c r="H34" s="16"/>
      <c r="J34" s="15" t="s">
        <v>132</v>
      </c>
      <c r="K34" s="49">
        <f t="shared" si="1"/>
        <v>1.0200000000000001E-2</v>
      </c>
      <c r="M34" s="15"/>
      <c r="N34" s="37"/>
      <c r="P34" s="15"/>
    </row>
    <row r="35" spans="1:16" ht="12.75" customHeight="1" x14ac:dyDescent="0.2">
      <c r="A35">
        <f>+MAX($A$8:A34)+1</f>
        <v>27</v>
      </c>
      <c r="B35" t="s">
        <v>289</v>
      </c>
      <c r="C35" t="s">
        <v>148</v>
      </c>
      <c r="D35" t="s">
        <v>41</v>
      </c>
      <c r="E35" s="29">
        <v>279900</v>
      </c>
      <c r="F35" s="14">
        <v>2006.74305</v>
      </c>
      <c r="G35" s="15">
        <f t="shared" si="0"/>
        <v>1.2E-2</v>
      </c>
      <c r="H35" s="16"/>
      <c r="J35" s="15" t="s">
        <v>479</v>
      </c>
      <c r="K35" s="49">
        <f t="shared" si="1"/>
        <v>7.1999999999999998E-3</v>
      </c>
      <c r="L35" s="55"/>
      <c r="M35" s="15"/>
      <c r="N35" s="37"/>
      <c r="P35" s="15"/>
    </row>
    <row r="36" spans="1:16" ht="12.75" customHeight="1" x14ac:dyDescent="0.2">
      <c r="A36">
        <f>+MAX($A$8:A35)+1</f>
        <v>28</v>
      </c>
      <c r="B36" t="s">
        <v>214</v>
      </c>
      <c r="C36" t="s">
        <v>98</v>
      </c>
      <c r="D36" t="s">
        <v>10</v>
      </c>
      <c r="E36" s="29">
        <v>183900</v>
      </c>
      <c r="F36" s="14">
        <v>2005.52145</v>
      </c>
      <c r="G36" s="15">
        <f t="shared" si="0"/>
        <v>1.2E-2</v>
      </c>
      <c r="H36" s="16"/>
      <c r="J36" s="15" t="s">
        <v>321</v>
      </c>
      <c r="K36" s="49">
        <f t="shared" si="1"/>
        <v>4.2000000000000006E-3</v>
      </c>
      <c r="L36" s="55">
        <f>+SUM($K$9:K33)</f>
        <v>0.95040000000000024</v>
      </c>
      <c r="M36" s="15"/>
      <c r="N36" s="37"/>
      <c r="P36" s="15"/>
    </row>
    <row r="37" spans="1:16" ht="12.75" customHeight="1" x14ac:dyDescent="0.2">
      <c r="A37">
        <f>+MAX($A$8:A36)+1</f>
        <v>29</v>
      </c>
      <c r="B37" t="s">
        <v>228</v>
      </c>
      <c r="C37" t="s">
        <v>77</v>
      </c>
      <c r="D37" t="s">
        <v>38</v>
      </c>
      <c r="E37" s="29">
        <v>597090</v>
      </c>
      <c r="F37" s="14">
        <v>1970.3969999999999</v>
      </c>
      <c r="G37" s="15">
        <f t="shared" si="0"/>
        <v>1.18E-2</v>
      </c>
      <c r="H37" s="16"/>
      <c r="J37" s="15" t="s">
        <v>64</v>
      </c>
      <c r="K37" s="49">
        <f>+SUMIFS($G$5:$G$996,$B$5:$B$996,"CBLO / Reverse Repo Investments")+SUMIFS($G$5:$G$996,$B$5:$B$996,"Net Receivable/Payable")</f>
        <v>2.8000000000000001E-2</v>
      </c>
      <c r="M37" s="15"/>
      <c r="N37" s="37"/>
      <c r="P37" s="15"/>
    </row>
    <row r="38" spans="1:16" ht="12.75" customHeight="1" x14ac:dyDescent="0.2">
      <c r="A38">
        <f>+MAX($A$8:A37)+1</f>
        <v>30</v>
      </c>
      <c r="B38" t="s">
        <v>233</v>
      </c>
      <c r="C38" t="s">
        <v>78</v>
      </c>
      <c r="D38" t="s">
        <v>26</v>
      </c>
      <c r="E38" s="29">
        <v>59808</v>
      </c>
      <c r="F38" s="14">
        <v>1968.8494559999999</v>
      </c>
      <c r="G38" s="15">
        <f t="shared" si="0"/>
        <v>1.18E-2</v>
      </c>
      <c r="H38" s="16"/>
      <c r="J38" s="15"/>
      <c r="M38" s="15"/>
      <c r="N38" s="37"/>
      <c r="P38" s="15"/>
    </row>
    <row r="39" spans="1:16" ht="12.75" customHeight="1" x14ac:dyDescent="0.2">
      <c r="A39">
        <f>+MAX($A$8:A38)+1</f>
        <v>31</v>
      </c>
      <c r="B39" t="s">
        <v>217</v>
      </c>
      <c r="C39" t="s">
        <v>61</v>
      </c>
      <c r="D39" t="s">
        <v>23</v>
      </c>
      <c r="E39" s="29">
        <v>318900</v>
      </c>
      <c r="F39" s="14">
        <v>1957.7271000000001</v>
      </c>
      <c r="G39" s="15">
        <f t="shared" si="0"/>
        <v>1.18E-2</v>
      </c>
      <c r="H39" s="16"/>
    </row>
    <row r="40" spans="1:16" ht="12.75" customHeight="1" x14ac:dyDescent="0.2">
      <c r="A40">
        <f>+MAX($A$8:A39)+1</f>
        <v>32</v>
      </c>
      <c r="B40" t="s">
        <v>348</v>
      </c>
      <c r="C40" t="s">
        <v>154</v>
      </c>
      <c r="D40" t="s">
        <v>24</v>
      </c>
      <c r="E40" s="29">
        <v>187890</v>
      </c>
      <c r="F40" s="14">
        <v>1927.93929</v>
      </c>
      <c r="G40" s="15">
        <f t="shared" si="0"/>
        <v>1.1599999999999999E-2</v>
      </c>
      <c r="H40" s="16"/>
    </row>
    <row r="41" spans="1:16" ht="12.75" customHeight="1" x14ac:dyDescent="0.2">
      <c r="A41">
        <f>+MAX($A$8:A40)+1</f>
        <v>33</v>
      </c>
      <c r="B41" t="s">
        <v>569</v>
      </c>
      <c r="C41" t="s">
        <v>570</v>
      </c>
      <c r="D41" t="s">
        <v>106</v>
      </c>
      <c r="E41" s="29">
        <v>757080</v>
      </c>
      <c r="F41" s="14">
        <v>1926.01152</v>
      </c>
      <c r="G41" s="15">
        <f t="shared" si="0"/>
        <v>1.1599999999999999E-2</v>
      </c>
      <c r="H41" s="16"/>
    </row>
    <row r="42" spans="1:16" ht="12.75" customHeight="1" x14ac:dyDescent="0.2">
      <c r="A42">
        <f>+MAX($A$8:A41)+1</f>
        <v>34</v>
      </c>
      <c r="B42" t="s">
        <v>445</v>
      </c>
      <c r="C42" t="s">
        <v>446</v>
      </c>
      <c r="D42" t="s">
        <v>133</v>
      </c>
      <c r="E42" s="29">
        <v>1188000</v>
      </c>
      <c r="F42" s="14">
        <v>1904.364</v>
      </c>
      <c r="G42" s="15">
        <f t="shared" si="0"/>
        <v>1.14E-2</v>
      </c>
      <c r="H42" s="16"/>
    </row>
    <row r="43" spans="1:16" ht="12.75" customHeight="1" x14ac:dyDescent="0.2">
      <c r="A43">
        <f>+MAX($A$8:A42)+1</f>
        <v>35</v>
      </c>
      <c r="B43" t="s">
        <v>17</v>
      </c>
      <c r="C43" t="s">
        <v>18</v>
      </c>
      <c r="D43" t="s">
        <v>10</v>
      </c>
      <c r="E43" s="29">
        <v>684600</v>
      </c>
      <c r="F43" s="14">
        <v>1834.7280000000001</v>
      </c>
      <c r="G43" s="15">
        <f t="shared" si="0"/>
        <v>1.0999999999999999E-2</v>
      </c>
      <c r="H43" s="16"/>
    </row>
    <row r="44" spans="1:16" ht="12.75" customHeight="1" x14ac:dyDescent="0.2">
      <c r="A44">
        <f>+MAX($A$8:A43)+1</f>
        <v>36</v>
      </c>
      <c r="B44" t="s">
        <v>277</v>
      </c>
      <c r="C44" t="s">
        <v>152</v>
      </c>
      <c r="D44" t="s">
        <v>147</v>
      </c>
      <c r="E44" s="29">
        <v>134243</v>
      </c>
      <c r="F44" s="14">
        <v>1809.5285185</v>
      </c>
      <c r="G44" s="15">
        <f t="shared" si="0"/>
        <v>1.09E-2</v>
      </c>
      <c r="H44" s="16"/>
    </row>
    <row r="45" spans="1:16" ht="12.75" customHeight="1" x14ac:dyDescent="0.2">
      <c r="A45">
        <f>+MAX($A$8:A44)+1</f>
        <v>37</v>
      </c>
      <c r="B45" t="s">
        <v>610</v>
      </c>
      <c r="C45" t="s">
        <v>611</v>
      </c>
      <c r="D45" t="s">
        <v>28</v>
      </c>
      <c r="E45" s="29">
        <v>1359000</v>
      </c>
      <c r="F45" s="14">
        <v>1789.8030000000001</v>
      </c>
      <c r="G45" s="15">
        <f t="shared" si="0"/>
        <v>1.0699999999999999E-2</v>
      </c>
      <c r="H45" s="16"/>
    </row>
    <row r="46" spans="1:16" ht="12.75" customHeight="1" x14ac:dyDescent="0.2">
      <c r="A46">
        <f>+MAX($A$8:A45)+1</f>
        <v>38</v>
      </c>
      <c r="B46" t="s">
        <v>566</v>
      </c>
      <c r="C46" t="s">
        <v>567</v>
      </c>
      <c r="D46" t="s">
        <v>133</v>
      </c>
      <c r="E46" s="29">
        <v>408000</v>
      </c>
      <c r="F46" s="14">
        <v>1769.088</v>
      </c>
      <c r="G46" s="15">
        <f t="shared" si="0"/>
        <v>1.06E-2</v>
      </c>
      <c r="H46" s="16"/>
    </row>
    <row r="47" spans="1:16" ht="12.75" customHeight="1" x14ac:dyDescent="0.2">
      <c r="A47">
        <f>+MAX($A$8:A46)+1</f>
        <v>39</v>
      </c>
      <c r="B47" t="s">
        <v>265</v>
      </c>
      <c r="C47" t="s">
        <v>134</v>
      </c>
      <c r="D47" t="s">
        <v>19</v>
      </c>
      <c r="E47" s="29">
        <v>66108</v>
      </c>
      <c r="F47" s="14">
        <v>1740.2931000000001</v>
      </c>
      <c r="G47" s="15">
        <f t="shared" si="0"/>
        <v>1.04E-2</v>
      </c>
      <c r="H47" s="16"/>
    </row>
    <row r="48" spans="1:16" ht="12.75" customHeight="1" x14ac:dyDescent="0.2">
      <c r="A48">
        <f>+MAX($A$8:A47)+1</f>
        <v>40</v>
      </c>
      <c r="B48" t="s">
        <v>298</v>
      </c>
      <c r="C48" t="s">
        <v>182</v>
      </c>
      <c r="D48" t="s">
        <v>102</v>
      </c>
      <c r="E48" s="29">
        <v>186108</v>
      </c>
      <c r="F48" s="14">
        <v>1726.710024</v>
      </c>
      <c r="G48" s="15">
        <f t="shared" si="0"/>
        <v>1.04E-2</v>
      </c>
      <c r="H48" s="16"/>
    </row>
    <row r="49" spans="1:8" ht="12.75" customHeight="1" x14ac:dyDescent="0.2">
      <c r="A49">
        <f>+MAX($A$8:A48)+1</f>
        <v>41</v>
      </c>
      <c r="B49" t="s">
        <v>702</v>
      </c>
      <c r="C49" t="s">
        <v>703</v>
      </c>
      <c r="D49" t="s">
        <v>346</v>
      </c>
      <c r="E49" s="29">
        <v>480000</v>
      </c>
      <c r="F49" s="14">
        <v>1724.88</v>
      </c>
      <c r="G49" s="15">
        <f t="shared" si="0"/>
        <v>1.04E-2</v>
      </c>
      <c r="H49" s="16"/>
    </row>
    <row r="50" spans="1:8" ht="12.75" customHeight="1" x14ac:dyDescent="0.2">
      <c r="A50">
        <f>+MAX($A$8:A49)+1</f>
        <v>42</v>
      </c>
      <c r="B50" t="s">
        <v>423</v>
      </c>
      <c r="C50" t="s">
        <v>424</v>
      </c>
      <c r="D50" t="s">
        <v>37</v>
      </c>
      <c r="E50" s="29">
        <v>1248000</v>
      </c>
      <c r="F50" s="14">
        <v>1722.864</v>
      </c>
      <c r="G50" s="15">
        <f t="shared" si="0"/>
        <v>1.03E-2</v>
      </c>
      <c r="H50" s="16"/>
    </row>
    <row r="51" spans="1:8" ht="12.75" customHeight="1" x14ac:dyDescent="0.2">
      <c r="A51">
        <f>+MAX($A$8:A50)+1</f>
        <v>43</v>
      </c>
      <c r="B51" t="s">
        <v>275</v>
      </c>
      <c r="C51" t="s">
        <v>314</v>
      </c>
      <c r="D51" t="s">
        <v>41</v>
      </c>
      <c r="E51" s="29">
        <v>505080</v>
      </c>
      <c r="F51" s="14">
        <v>1712.7262800000001</v>
      </c>
      <c r="G51" s="15">
        <f t="shared" si="0"/>
        <v>1.03E-2</v>
      </c>
      <c r="H51" s="16"/>
    </row>
    <row r="52" spans="1:8" ht="12.75" customHeight="1" x14ac:dyDescent="0.2">
      <c r="A52">
        <f>+MAX($A$8:A51)+1</f>
        <v>44</v>
      </c>
      <c r="B52" t="s">
        <v>215</v>
      </c>
      <c r="C52" t="s">
        <v>59</v>
      </c>
      <c r="D52" t="s">
        <v>23</v>
      </c>
      <c r="E52" s="29">
        <v>213900</v>
      </c>
      <c r="F52" s="14">
        <v>1708.4193</v>
      </c>
      <c r="G52" s="15">
        <f t="shared" si="0"/>
        <v>1.03E-2</v>
      </c>
      <c r="H52" s="16"/>
    </row>
    <row r="53" spans="1:8" ht="12.75" customHeight="1" x14ac:dyDescent="0.2">
      <c r="A53">
        <f>+MAX($A$8:A52)+1</f>
        <v>45</v>
      </c>
      <c r="B53" t="s">
        <v>283</v>
      </c>
      <c r="C53" t="s">
        <v>156</v>
      </c>
      <c r="D53" t="s">
        <v>132</v>
      </c>
      <c r="E53" s="29">
        <v>234000</v>
      </c>
      <c r="F53" s="14">
        <v>1705.2750000000001</v>
      </c>
      <c r="G53" s="15">
        <f t="shared" si="0"/>
        <v>1.0200000000000001E-2</v>
      </c>
      <c r="H53" s="16"/>
    </row>
    <row r="54" spans="1:8" ht="12.75" customHeight="1" x14ac:dyDescent="0.2">
      <c r="A54">
        <f>+MAX($A$8:A53)+1</f>
        <v>46</v>
      </c>
      <c r="B54" t="s">
        <v>553</v>
      </c>
      <c r="C54" t="s">
        <v>554</v>
      </c>
      <c r="D54" t="s">
        <v>143</v>
      </c>
      <c r="E54" s="29">
        <v>47782</v>
      </c>
      <c r="F54" s="14">
        <v>1650.7486449999999</v>
      </c>
      <c r="G54" s="15">
        <f t="shared" si="0"/>
        <v>9.9000000000000008E-3</v>
      </c>
      <c r="H54" s="16"/>
    </row>
    <row r="55" spans="1:8" ht="12.75" customHeight="1" x14ac:dyDescent="0.2">
      <c r="A55">
        <f>+MAX($A$8:A54)+1</f>
        <v>47</v>
      </c>
      <c r="B55" t="s">
        <v>281</v>
      </c>
      <c r="C55" t="s">
        <v>150</v>
      </c>
      <c r="D55" t="s">
        <v>133</v>
      </c>
      <c r="E55" s="29">
        <v>61380</v>
      </c>
      <c r="F55" s="14">
        <v>1649.5875000000001</v>
      </c>
      <c r="G55" s="15">
        <f t="shared" si="0"/>
        <v>9.9000000000000008E-3</v>
      </c>
      <c r="H55" s="16"/>
    </row>
    <row r="56" spans="1:8" ht="12.75" customHeight="1" x14ac:dyDescent="0.2">
      <c r="A56">
        <f>+MAX($A$8:A55)+1</f>
        <v>48</v>
      </c>
      <c r="B56" t="s">
        <v>587</v>
      </c>
      <c r="C56" t="s">
        <v>588</v>
      </c>
      <c r="D56" t="s">
        <v>26</v>
      </c>
      <c r="E56" s="29">
        <v>588000</v>
      </c>
      <c r="F56" s="14">
        <v>1643.46</v>
      </c>
      <c r="G56" s="15">
        <f t="shared" si="0"/>
        <v>9.9000000000000008E-3</v>
      </c>
      <c r="H56" s="16"/>
    </row>
    <row r="57" spans="1:8" ht="12.75" customHeight="1" x14ac:dyDescent="0.2">
      <c r="A57">
        <f>+MAX($A$8:A56)+1</f>
        <v>49</v>
      </c>
      <c r="B57" t="s">
        <v>524</v>
      </c>
      <c r="C57" t="s">
        <v>287</v>
      </c>
      <c r="D57" t="s">
        <v>41</v>
      </c>
      <c r="E57" s="29">
        <v>30000</v>
      </c>
      <c r="F57" s="14">
        <v>1634.22</v>
      </c>
      <c r="G57" s="15">
        <f t="shared" si="0"/>
        <v>9.7999999999999997E-3</v>
      </c>
      <c r="H57" s="16"/>
    </row>
    <row r="58" spans="1:8" ht="12.75" customHeight="1" x14ac:dyDescent="0.2">
      <c r="A58">
        <f>+MAX($A$8:A57)+1</f>
        <v>50</v>
      </c>
      <c r="B58" t="s">
        <v>278</v>
      </c>
      <c r="C58" t="s">
        <v>146</v>
      </c>
      <c r="D58" t="s">
        <v>41</v>
      </c>
      <c r="E58" s="29">
        <v>216900</v>
      </c>
      <c r="F58" s="14">
        <v>1631.088</v>
      </c>
      <c r="G58" s="15">
        <f t="shared" si="0"/>
        <v>9.7999999999999997E-3</v>
      </c>
      <c r="H58" s="16"/>
    </row>
    <row r="59" spans="1:8" ht="12.75" customHeight="1" x14ac:dyDescent="0.2">
      <c r="A59">
        <f>+MAX($A$8:A58)+1</f>
        <v>51</v>
      </c>
      <c r="B59" t="s">
        <v>585</v>
      </c>
      <c r="C59" t="s">
        <v>586</v>
      </c>
      <c r="D59" t="s">
        <v>106</v>
      </c>
      <c r="E59" s="29">
        <v>90900</v>
      </c>
      <c r="F59" s="14">
        <v>1628.3371500000001</v>
      </c>
      <c r="G59" s="15">
        <f t="shared" si="0"/>
        <v>9.7999999999999997E-3</v>
      </c>
      <c r="H59" s="16"/>
    </row>
    <row r="60" spans="1:8" ht="12.75" customHeight="1" x14ac:dyDescent="0.2">
      <c r="A60">
        <f>+MAX($A$8:A59)+1</f>
        <v>52</v>
      </c>
      <c r="B60" t="s">
        <v>464</v>
      </c>
      <c r="C60" t="s">
        <v>465</v>
      </c>
      <c r="D60" t="s">
        <v>32</v>
      </c>
      <c r="E60" s="29">
        <v>324000</v>
      </c>
      <c r="F60" s="14">
        <v>1612.0619999999999</v>
      </c>
      <c r="G60" s="15">
        <f t="shared" si="0"/>
        <v>9.7000000000000003E-3</v>
      </c>
      <c r="H60" s="16"/>
    </row>
    <row r="61" spans="1:8" ht="12.75" customHeight="1" x14ac:dyDescent="0.2">
      <c r="A61">
        <f>+MAX($A$8:A60)+1</f>
        <v>53</v>
      </c>
      <c r="B61" t="s">
        <v>212</v>
      </c>
      <c r="C61" t="s">
        <v>55</v>
      </c>
      <c r="D61" t="s">
        <v>43</v>
      </c>
      <c r="E61" s="29">
        <v>84708</v>
      </c>
      <c r="F61" s="14">
        <v>1608.3931500000001</v>
      </c>
      <c r="G61" s="15">
        <f t="shared" si="0"/>
        <v>9.7000000000000003E-3</v>
      </c>
      <c r="H61" s="16"/>
    </row>
    <row r="62" spans="1:8" ht="12.75" customHeight="1" x14ac:dyDescent="0.2">
      <c r="A62">
        <f>+MAX($A$8:A61)+1</f>
        <v>54</v>
      </c>
      <c r="B62" t="s">
        <v>279</v>
      </c>
      <c r="C62" t="s">
        <v>153</v>
      </c>
      <c r="D62" t="s">
        <v>143</v>
      </c>
      <c r="E62" s="29">
        <v>219900</v>
      </c>
      <c r="F62" s="14">
        <v>1605.16005</v>
      </c>
      <c r="G62" s="15">
        <f t="shared" si="0"/>
        <v>9.5999999999999992E-3</v>
      </c>
      <c r="H62" s="16"/>
    </row>
    <row r="63" spans="1:8" ht="12.75" customHeight="1" x14ac:dyDescent="0.2">
      <c r="A63">
        <f>+MAX($A$8:A62)+1</f>
        <v>55</v>
      </c>
      <c r="B63" t="s">
        <v>443</v>
      </c>
      <c r="C63" t="s">
        <v>444</v>
      </c>
      <c r="D63" t="s">
        <v>24</v>
      </c>
      <c r="E63" s="29">
        <v>387900</v>
      </c>
      <c r="F63" s="14">
        <v>1601.2511999999999</v>
      </c>
      <c r="G63" s="15">
        <f t="shared" si="0"/>
        <v>9.5999999999999992E-3</v>
      </c>
      <c r="H63" s="16"/>
    </row>
    <row r="64" spans="1:8" ht="12.75" customHeight="1" x14ac:dyDescent="0.2">
      <c r="A64">
        <f>+MAX($A$8:A63)+1</f>
        <v>56</v>
      </c>
      <c r="B64" t="s">
        <v>208</v>
      </c>
      <c r="C64" t="s">
        <v>52</v>
      </c>
      <c r="D64" t="s">
        <v>41</v>
      </c>
      <c r="E64" s="29">
        <v>1350000</v>
      </c>
      <c r="F64" s="14">
        <v>1578.825</v>
      </c>
      <c r="G64" s="15">
        <f t="shared" si="0"/>
        <v>9.4999999999999998E-3</v>
      </c>
      <c r="H64" s="16"/>
    </row>
    <row r="65" spans="1:8" ht="12.75" customHeight="1" x14ac:dyDescent="0.2">
      <c r="A65">
        <f>+MAX($A$8:A64)+1</f>
        <v>57</v>
      </c>
      <c r="B65" t="s">
        <v>499</v>
      </c>
      <c r="C65" t="s">
        <v>500</v>
      </c>
      <c r="D65" t="s">
        <v>19</v>
      </c>
      <c r="E65" s="29">
        <v>135000</v>
      </c>
      <c r="F65" s="14">
        <v>1556.145</v>
      </c>
      <c r="G65" s="15">
        <f t="shared" si="0"/>
        <v>9.2999999999999992E-3</v>
      </c>
      <c r="H65" s="16"/>
    </row>
    <row r="66" spans="1:8" ht="12.75" customHeight="1" x14ac:dyDescent="0.2">
      <c r="A66">
        <f>+MAX($A$8:A65)+1</f>
        <v>58</v>
      </c>
      <c r="B66" t="s">
        <v>264</v>
      </c>
      <c r="C66" t="s">
        <v>442</v>
      </c>
      <c r="D66" t="s">
        <v>105</v>
      </c>
      <c r="E66" s="29">
        <v>1008000</v>
      </c>
      <c r="F66" s="14">
        <v>1555.848</v>
      </c>
      <c r="G66" s="15">
        <f t="shared" si="0"/>
        <v>9.2999999999999992E-3</v>
      </c>
      <c r="H66" s="16"/>
    </row>
    <row r="67" spans="1:8" ht="12.75" customHeight="1" x14ac:dyDescent="0.2">
      <c r="A67">
        <f>+MAX($A$8:A66)+1</f>
        <v>59</v>
      </c>
      <c r="B67" t="s">
        <v>493</v>
      </c>
      <c r="C67" t="s">
        <v>494</v>
      </c>
      <c r="D67" t="s">
        <v>43</v>
      </c>
      <c r="E67" s="29">
        <v>162108</v>
      </c>
      <c r="F67" s="14">
        <v>1547.239806</v>
      </c>
      <c r="G67" s="15">
        <f t="shared" si="0"/>
        <v>9.2999999999999992E-3</v>
      </c>
      <c r="H67" s="16"/>
    </row>
    <row r="68" spans="1:8" ht="12.75" customHeight="1" x14ac:dyDescent="0.2">
      <c r="A68">
        <f>+MAX($A$8:A67)+1</f>
        <v>60</v>
      </c>
      <c r="B68" t="s">
        <v>232</v>
      </c>
      <c r="C68" t="s">
        <v>81</v>
      </c>
      <c r="D68" t="s">
        <v>45</v>
      </c>
      <c r="E68" s="29">
        <v>468000</v>
      </c>
      <c r="F68" s="14">
        <v>1527.7860000000001</v>
      </c>
      <c r="G68" s="15">
        <f t="shared" si="0"/>
        <v>9.1999999999999998E-3</v>
      </c>
      <c r="H68" s="16"/>
    </row>
    <row r="69" spans="1:8" ht="12.75" customHeight="1" x14ac:dyDescent="0.2">
      <c r="A69">
        <f>+MAX($A$8:A68)+1</f>
        <v>61</v>
      </c>
      <c r="B69" t="s">
        <v>204</v>
      </c>
      <c r="C69" t="s">
        <v>44</v>
      </c>
      <c r="D69" t="s">
        <v>24</v>
      </c>
      <c r="E69" s="29">
        <v>276900</v>
      </c>
      <c r="F69" s="14">
        <v>1512.4277999999999</v>
      </c>
      <c r="G69" s="15">
        <f t="shared" si="0"/>
        <v>9.1000000000000004E-3</v>
      </c>
      <c r="H69" s="16"/>
    </row>
    <row r="70" spans="1:8" ht="12.75" customHeight="1" x14ac:dyDescent="0.2">
      <c r="A70">
        <f>+MAX($A$8:A69)+1</f>
        <v>62</v>
      </c>
      <c r="B70" t="s">
        <v>253</v>
      </c>
      <c r="C70" t="s">
        <v>542</v>
      </c>
      <c r="D70" t="s">
        <v>10</v>
      </c>
      <c r="E70" s="29">
        <v>467160</v>
      </c>
      <c r="F70" s="14">
        <v>1505.6566800000001</v>
      </c>
      <c r="G70" s="15">
        <f t="shared" si="0"/>
        <v>8.9999999999999993E-3</v>
      </c>
      <c r="H70" s="16"/>
    </row>
    <row r="71" spans="1:8" ht="12.75" customHeight="1" x14ac:dyDescent="0.2">
      <c r="A71">
        <f>+MAX($A$8:A70)+1</f>
        <v>63</v>
      </c>
      <c r="B71" t="s">
        <v>267</v>
      </c>
      <c r="C71" t="s">
        <v>136</v>
      </c>
      <c r="D71" t="s">
        <v>47</v>
      </c>
      <c r="E71" s="29">
        <v>715800</v>
      </c>
      <c r="F71" s="14">
        <v>1482.0639000000001</v>
      </c>
      <c r="G71" s="15">
        <f t="shared" si="0"/>
        <v>8.8999999999999999E-3</v>
      </c>
      <c r="H71" s="16"/>
    </row>
    <row r="72" spans="1:8" ht="12.75" customHeight="1" x14ac:dyDescent="0.2">
      <c r="A72">
        <f>+MAX($A$8:A71)+1</f>
        <v>64</v>
      </c>
      <c r="B72" t="s">
        <v>288</v>
      </c>
      <c r="C72" t="s">
        <v>177</v>
      </c>
      <c r="D72" t="s">
        <v>30</v>
      </c>
      <c r="E72" s="29">
        <v>387000</v>
      </c>
      <c r="F72" s="14">
        <v>1467.8910000000001</v>
      </c>
      <c r="G72" s="15">
        <f t="shared" si="0"/>
        <v>8.8000000000000005E-3</v>
      </c>
      <c r="H72" s="16"/>
    </row>
    <row r="73" spans="1:8" ht="12.75" customHeight="1" x14ac:dyDescent="0.2">
      <c r="A73">
        <f>+MAX($A$8:A72)+1</f>
        <v>65</v>
      </c>
      <c r="B73" t="s">
        <v>473</v>
      </c>
      <c r="C73" t="s">
        <v>474</v>
      </c>
      <c r="D73" t="s">
        <v>105</v>
      </c>
      <c r="E73" s="29">
        <v>118800</v>
      </c>
      <c r="F73" s="14">
        <v>1467.2988</v>
      </c>
      <c r="G73" s="15">
        <f t="shared" ref="G73:G98" si="2">+ROUND(F73/VLOOKUP("Grand Total",$B$4:$F$302,5,0),4)</f>
        <v>8.8000000000000005E-3</v>
      </c>
      <c r="H73" s="16"/>
    </row>
    <row r="74" spans="1:8" ht="12.75" customHeight="1" x14ac:dyDescent="0.2">
      <c r="A74">
        <f>+MAX($A$8:A73)+1</f>
        <v>66</v>
      </c>
      <c r="B74" t="s">
        <v>322</v>
      </c>
      <c r="C74" t="s">
        <v>323</v>
      </c>
      <c r="D74" t="s">
        <v>10</v>
      </c>
      <c r="E74" s="29">
        <v>837600</v>
      </c>
      <c r="F74" s="14">
        <v>1464.1248000000001</v>
      </c>
      <c r="G74" s="15">
        <f t="shared" si="2"/>
        <v>8.8000000000000005E-3</v>
      </c>
      <c r="H74" s="16"/>
    </row>
    <row r="75" spans="1:8" ht="12.75" customHeight="1" x14ac:dyDescent="0.2">
      <c r="A75">
        <f>+MAX($A$8:A74)+1</f>
        <v>67</v>
      </c>
      <c r="B75" t="s">
        <v>359</v>
      </c>
      <c r="C75" t="s">
        <v>360</v>
      </c>
      <c r="D75" t="s">
        <v>43</v>
      </c>
      <c r="E75" s="29">
        <v>435000</v>
      </c>
      <c r="F75" s="14">
        <v>1460.5125</v>
      </c>
      <c r="G75" s="15">
        <f t="shared" si="2"/>
        <v>8.8000000000000005E-3</v>
      </c>
      <c r="H75" s="16"/>
    </row>
    <row r="76" spans="1:8" ht="12.75" customHeight="1" x14ac:dyDescent="0.2">
      <c r="A76">
        <f>+MAX($A$8:A75)+1</f>
        <v>68</v>
      </c>
      <c r="B76" t="s">
        <v>402</v>
      </c>
      <c r="C76" t="s">
        <v>403</v>
      </c>
      <c r="D76" t="s">
        <v>102</v>
      </c>
      <c r="E76" s="29">
        <v>108000</v>
      </c>
      <c r="F76" s="14">
        <v>1426.086</v>
      </c>
      <c r="G76" s="15">
        <f t="shared" si="2"/>
        <v>8.6E-3</v>
      </c>
      <c r="H76" s="16"/>
    </row>
    <row r="77" spans="1:8" ht="12.75" customHeight="1" x14ac:dyDescent="0.2">
      <c r="A77">
        <f>+MAX($A$8:A76)+1</f>
        <v>69</v>
      </c>
      <c r="B77" t="s">
        <v>262</v>
      </c>
      <c r="C77" t="s">
        <v>124</v>
      </c>
      <c r="D77" t="s">
        <v>45</v>
      </c>
      <c r="E77" s="29">
        <v>579000</v>
      </c>
      <c r="F77" s="14">
        <v>1420.866</v>
      </c>
      <c r="G77" s="15">
        <f t="shared" si="2"/>
        <v>8.5000000000000006E-3</v>
      </c>
      <c r="H77" s="16"/>
    </row>
    <row r="78" spans="1:8" ht="12.75" customHeight="1" x14ac:dyDescent="0.2">
      <c r="A78">
        <f>+MAX($A$8:A77)+1</f>
        <v>70</v>
      </c>
      <c r="B78" t="s">
        <v>551</v>
      </c>
      <c r="C78" t="s">
        <v>552</v>
      </c>
      <c r="D78" t="s">
        <v>41</v>
      </c>
      <c r="E78" s="29">
        <v>207708</v>
      </c>
      <c r="F78" s="14">
        <v>1400.886606</v>
      </c>
      <c r="G78" s="15">
        <f t="shared" si="2"/>
        <v>8.3999999999999995E-3</v>
      </c>
      <c r="H78" s="16"/>
    </row>
    <row r="79" spans="1:8" ht="12.75" customHeight="1" x14ac:dyDescent="0.2">
      <c r="A79">
        <f>+MAX($A$8:A78)+1</f>
        <v>71</v>
      </c>
      <c r="B79" t="s">
        <v>325</v>
      </c>
      <c r="C79" t="s">
        <v>356</v>
      </c>
      <c r="D79" t="s">
        <v>10</v>
      </c>
      <c r="E79" s="29">
        <v>279000</v>
      </c>
      <c r="F79" s="14">
        <v>1367.6579999999999</v>
      </c>
      <c r="G79" s="15">
        <f t="shared" si="2"/>
        <v>8.2000000000000007E-3</v>
      </c>
      <c r="H79" s="16"/>
    </row>
    <row r="80" spans="1:8" ht="12.75" customHeight="1" x14ac:dyDescent="0.2">
      <c r="A80">
        <f>+MAX($A$8:A79)+1</f>
        <v>72</v>
      </c>
      <c r="B80" t="s">
        <v>361</v>
      </c>
      <c r="C80" t="s">
        <v>366</v>
      </c>
      <c r="D80" t="s">
        <v>37</v>
      </c>
      <c r="E80" s="29">
        <v>266890</v>
      </c>
      <c r="F80" s="14">
        <v>1365.6761300000001</v>
      </c>
      <c r="G80" s="15">
        <f t="shared" si="2"/>
        <v>8.2000000000000007E-3</v>
      </c>
      <c r="H80" s="16"/>
    </row>
    <row r="81" spans="1:8" ht="12.75" customHeight="1" x14ac:dyDescent="0.2">
      <c r="A81">
        <f>+MAX($A$8:A80)+1</f>
        <v>73</v>
      </c>
      <c r="B81" t="s">
        <v>427</v>
      </c>
      <c r="C81" t="s">
        <v>428</v>
      </c>
      <c r="D81" t="s">
        <v>143</v>
      </c>
      <c r="E81" s="29">
        <v>84748</v>
      </c>
      <c r="F81" s="14">
        <v>1341.77271</v>
      </c>
      <c r="G81" s="15">
        <f t="shared" si="2"/>
        <v>8.0999999999999996E-3</v>
      </c>
      <c r="H81" s="16"/>
    </row>
    <row r="82" spans="1:8" ht="12.75" customHeight="1" x14ac:dyDescent="0.2">
      <c r="A82">
        <f>+MAX($A$8:A81)+1</f>
        <v>74</v>
      </c>
      <c r="B82" t="s">
        <v>462</v>
      </c>
      <c r="C82" t="s">
        <v>463</v>
      </c>
      <c r="D82" t="s">
        <v>24</v>
      </c>
      <c r="E82" s="29">
        <v>339000</v>
      </c>
      <c r="F82" s="14">
        <v>1328.202</v>
      </c>
      <c r="G82" s="15">
        <f t="shared" si="2"/>
        <v>8.0000000000000002E-3</v>
      </c>
      <c r="H82" s="16"/>
    </row>
    <row r="83" spans="1:8" ht="12.75" customHeight="1" x14ac:dyDescent="0.2">
      <c r="A83">
        <f>+MAX($A$8:A82)+1</f>
        <v>75</v>
      </c>
      <c r="B83" t="s">
        <v>341</v>
      </c>
      <c r="C83" t="s">
        <v>342</v>
      </c>
      <c r="D83" t="s">
        <v>32</v>
      </c>
      <c r="E83" s="29">
        <v>657900</v>
      </c>
      <c r="F83" s="14">
        <v>1292.1156000000001</v>
      </c>
      <c r="G83" s="15">
        <f t="shared" si="2"/>
        <v>7.7999999999999996E-3</v>
      </c>
      <c r="H83" s="16"/>
    </row>
    <row r="84" spans="1:8" ht="12.75" customHeight="1" x14ac:dyDescent="0.2">
      <c r="A84">
        <f>+MAX($A$8:A83)+1</f>
        <v>76</v>
      </c>
      <c r="B84" t="s">
        <v>603</v>
      </c>
      <c r="C84" t="s">
        <v>406</v>
      </c>
      <c r="D84" t="s">
        <v>10</v>
      </c>
      <c r="E84" s="29">
        <v>1170000</v>
      </c>
      <c r="F84" s="14">
        <v>1261.26</v>
      </c>
      <c r="G84" s="15">
        <f t="shared" si="2"/>
        <v>7.6E-3</v>
      </c>
      <c r="H84" s="16"/>
    </row>
    <row r="85" spans="1:8" ht="12.75" customHeight="1" x14ac:dyDescent="0.2">
      <c r="A85">
        <f>+MAX($A$8:A84)+1</f>
        <v>77</v>
      </c>
      <c r="B85" t="s">
        <v>612</v>
      </c>
      <c r="C85" t="s">
        <v>613</v>
      </c>
      <c r="D85" t="s">
        <v>38</v>
      </c>
      <c r="E85" s="29">
        <v>152700</v>
      </c>
      <c r="F85" s="14">
        <v>1255.57575</v>
      </c>
      <c r="G85" s="15">
        <f t="shared" si="2"/>
        <v>7.4999999999999997E-3</v>
      </c>
      <c r="H85" s="16"/>
    </row>
    <row r="86" spans="1:8" ht="12.75" customHeight="1" x14ac:dyDescent="0.2">
      <c r="A86">
        <f>+MAX($A$8:A85)+1</f>
        <v>78</v>
      </c>
      <c r="B86" t="s">
        <v>418</v>
      </c>
      <c r="C86" t="s">
        <v>419</v>
      </c>
      <c r="D86" t="s">
        <v>32</v>
      </c>
      <c r="E86" s="29">
        <v>255000</v>
      </c>
      <c r="F86" s="14">
        <v>1250.01</v>
      </c>
      <c r="G86" s="15">
        <f t="shared" si="2"/>
        <v>7.4999999999999997E-3</v>
      </c>
      <c r="H86" s="16"/>
    </row>
    <row r="87" spans="1:8" ht="12.75" customHeight="1" x14ac:dyDescent="0.2">
      <c r="A87">
        <f>+MAX($A$8:A86)+1</f>
        <v>79</v>
      </c>
      <c r="B87" t="s">
        <v>280</v>
      </c>
      <c r="C87" t="s">
        <v>151</v>
      </c>
      <c r="D87" t="s">
        <v>38</v>
      </c>
      <c r="E87" s="29">
        <v>769680</v>
      </c>
      <c r="F87" s="14">
        <v>1210.7066400000001</v>
      </c>
      <c r="G87" s="15">
        <f t="shared" si="2"/>
        <v>7.3000000000000001E-3</v>
      </c>
      <c r="H87" s="16"/>
    </row>
    <row r="88" spans="1:8" ht="12.75" customHeight="1" x14ac:dyDescent="0.2">
      <c r="A88">
        <f>+MAX($A$8:A87)+1</f>
        <v>80</v>
      </c>
      <c r="B88" t="s">
        <v>477</v>
      </c>
      <c r="C88" t="s">
        <v>478</v>
      </c>
      <c r="D88" t="s">
        <v>479</v>
      </c>
      <c r="E88" s="29">
        <v>345000</v>
      </c>
      <c r="F88" s="14">
        <v>1192.665</v>
      </c>
      <c r="G88" s="15">
        <f t="shared" si="2"/>
        <v>7.1999999999999998E-3</v>
      </c>
      <c r="H88" s="16"/>
    </row>
    <row r="89" spans="1:8" ht="12.75" customHeight="1" x14ac:dyDescent="0.2">
      <c r="A89">
        <f>+MAX($A$8:A88)+1</f>
        <v>81</v>
      </c>
      <c r="B89" t="s">
        <v>339</v>
      </c>
      <c r="C89" t="s">
        <v>340</v>
      </c>
      <c r="D89" t="s">
        <v>19</v>
      </c>
      <c r="E89" s="29">
        <v>129000</v>
      </c>
      <c r="F89" s="14">
        <v>1161.3869999999999</v>
      </c>
      <c r="G89" s="15">
        <f t="shared" si="2"/>
        <v>7.0000000000000001E-3</v>
      </c>
      <c r="H89" s="16"/>
    </row>
    <row r="90" spans="1:8" ht="12.75" customHeight="1" x14ac:dyDescent="0.2">
      <c r="A90">
        <f>+MAX($A$8:A89)+1</f>
        <v>82</v>
      </c>
      <c r="B90" t="s">
        <v>704</v>
      </c>
      <c r="C90" t="s">
        <v>642</v>
      </c>
      <c r="D90" t="s">
        <v>133</v>
      </c>
      <c r="E90" s="29">
        <v>66000</v>
      </c>
      <c r="F90" s="14">
        <v>1082.07</v>
      </c>
      <c r="G90" s="15">
        <f t="shared" si="2"/>
        <v>6.4999999999999997E-3</v>
      </c>
      <c r="H90" s="16"/>
    </row>
    <row r="91" spans="1:8" ht="12.75" customHeight="1" x14ac:dyDescent="0.2">
      <c r="A91">
        <f>+MAX($A$8:A90)+1</f>
        <v>83</v>
      </c>
      <c r="B91" t="s">
        <v>638</v>
      </c>
      <c r="C91" t="s">
        <v>639</v>
      </c>
      <c r="D91" t="s">
        <v>143</v>
      </c>
      <c r="E91" s="29">
        <v>1125000</v>
      </c>
      <c r="F91" s="14">
        <v>1075.95</v>
      </c>
      <c r="G91" s="15">
        <f t="shared" si="2"/>
        <v>6.4999999999999997E-3</v>
      </c>
      <c r="H91" s="16"/>
    </row>
    <row r="92" spans="1:8" ht="12.75" customHeight="1" x14ac:dyDescent="0.2">
      <c r="A92">
        <f>+MAX($A$8:A91)+1</f>
        <v>84</v>
      </c>
      <c r="B92" t="s">
        <v>460</v>
      </c>
      <c r="C92" t="s">
        <v>461</v>
      </c>
      <c r="D92" t="s">
        <v>24</v>
      </c>
      <c r="E92" s="29">
        <v>1350000</v>
      </c>
      <c r="F92" s="14">
        <v>1039.5</v>
      </c>
      <c r="G92" s="15">
        <f t="shared" si="2"/>
        <v>6.1999999999999998E-3</v>
      </c>
      <c r="H92" s="16"/>
    </row>
    <row r="93" spans="1:8" ht="12.75" customHeight="1" x14ac:dyDescent="0.2">
      <c r="A93">
        <f>+MAX($A$8:A92)+1</f>
        <v>85</v>
      </c>
      <c r="B93" t="s">
        <v>643</v>
      </c>
      <c r="C93" t="s">
        <v>644</v>
      </c>
      <c r="D93" t="s">
        <v>19</v>
      </c>
      <c r="E93" s="29">
        <v>120000</v>
      </c>
      <c r="F93" s="14">
        <v>903.12</v>
      </c>
      <c r="G93" s="15">
        <f t="shared" si="2"/>
        <v>5.4000000000000003E-3</v>
      </c>
      <c r="H93" s="16"/>
    </row>
    <row r="94" spans="1:8" ht="12.75" customHeight="1" x14ac:dyDescent="0.2">
      <c r="A94">
        <f>+MAX($A$8:A93)+1</f>
        <v>86</v>
      </c>
      <c r="B94" t="s">
        <v>203</v>
      </c>
      <c r="C94" t="s">
        <v>46</v>
      </c>
      <c r="D94" t="s">
        <v>26</v>
      </c>
      <c r="E94" s="29">
        <v>324000</v>
      </c>
      <c r="F94" s="14">
        <v>858.76199999999994</v>
      </c>
      <c r="G94" s="15">
        <f t="shared" si="2"/>
        <v>5.1999999999999998E-3</v>
      </c>
      <c r="H94" s="16"/>
    </row>
    <row r="95" spans="1:8" ht="12.75" customHeight="1" x14ac:dyDescent="0.2">
      <c r="A95">
        <f>+MAX($A$8:A94)+1</f>
        <v>87</v>
      </c>
      <c r="B95" t="s">
        <v>700</v>
      </c>
      <c r="C95" t="s">
        <v>701</v>
      </c>
      <c r="D95" t="s">
        <v>37</v>
      </c>
      <c r="E95" s="29">
        <v>53100</v>
      </c>
      <c r="F95" s="14">
        <v>709.25670000000002</v>
      </c>
      <c r="G95" s="15">
        <f t="shared" si="2"/>
        <v>4.3E-3</v>
      </c>
      <c r="H95" s="16"/>
    </row>
    <row r="96" spans="1:8" ht="12.75" customHeight="1" x14ac:dyDescent="0.2">
      <c r="A96">
        <f>+MAX($A$8:A95)+1</f>
        <v>88</v>
      </c>
      <c r="B96" t="s">
        <v>357</v>
      </c>
      <c r="C96" t="s">
        <v>358</v>
      </c>
      <c r="D96" t="s">
        <v>143</v>
      </c>
      <c r="E96" s="29">
        <v>1245000</v>
      </c>
      <c r="F96" s="14">
        <v>511.07249999999999</v>
      </c>
      <c r="G96" s="15">
        <f t="shared" si="2"/>
        <v>3.0999999999999999E-3</v>
      </c>
      <c r="H96" s="16"/>
    </row>
    <row r="97" spans="1:12" ht="12.75" customHeight="1" x14ac:dyDescent="0.2">
      <c r="A97">
        <f>+MAX($A$8:A96)+1</f>
        <v>89</v>
      </c>
      <c r="B97" t="s">
        <v>636</v>
      </c>
      <c r="C97" t="s">
        <v>637</v>
      </c>
      <c r="D97" t="s">
        <v>106</v>
      </c>
      <c r="E97" s="29">
        <v>144000</v>
      </c>
      <c r="F97" s="14">
        <v>296.71199999999999</v>
      </c>
      <c r="G97" s="15">
        <f t="shared" si="2"/>
        <v>1.8E-3</v>
      </c>
      <c r="H97" s="16"/>
    </row>
    <row r="98" spans="1:12" ht="12.75" customHeight="1" x14ac:dyDescent="0.2">
      <c r="A98">
        <f>+MAX($A$8:A97)+1</f>
        <v>90</v>
      </c>
      <c r="B98" t="s">
        <v>242</v>
      </c>
      <c r="C98" t="s">
        <v>100</v>
      </c>
      <c r="D98" t="s">
        <v>21</v>
      </c>
      <c r="E98" s="29">
        <v>27000</v>
      </c>
      <c r="F98" s="14">
        <v>196.65450000000001</v>
      </c>
      <c r="G98" s="15">
        <f t="shared" si="2"/>
        <v>1.1999999999999999E-3</v>
      </c>
      <c r="H98" s="16"/>
    </row>
    <row r="99" spans="1:12" ht="12.75" customHeight="1" x14ac:dyDescent="0.2">
      <c r="B99" s="19" t="s">
        <v>85</v>
      </c>
      <c r="C99" s="19"/>
      <c r="D99" s="19"/>
      <c r="E99" s="30"/>
      <c r="F99" s="20">
        <f>SUM(F9:F98)</f>
        <v>158828.12568650002</v>
      </c>
      <c r="G99" s="21">
        <f>SUM(G9:G98)</f>
        <v>0.95389999999999986</v>
      </c>
      <c r="H99" s="22"/>
      <c r="I99" s="50"/>
    </row>
    <row r="100" spans="1:12" ht="12.75" customHeight="1" x14ac:dyDescent="0.2">
      <c r="F100" s="14"/>
      <c r="G100" s="15"/>
      <c r="H100" s="16"/>
    </row>
    <row r="101" spans="1:12" ht="12.75" customHeight="1" x14ac:dyDescent="0.2">
      <c r="B101" s="17" t="s">
        <v>140</v>
      </c>
      <c r="C101" s="17"/>
      <c r="F101" s="14"/>
      <c r="G101" s="15"/>
      <c r="H101" s="74"/>
      <c r="I101"/>
      <c r="J101" s="37"/>
      <c r="K101"/>
    </row>
    <row r="102" spans="1:12" ht="12.75" customHeight="1" x14ac:dyDescent="0.2">
      <c r="A102">
        <f>+MAX($A$8:A101)+1</f>
        <v>91</v>
      </c>
      <c r="B102" t="s">
        <v>578</v>
      </c>
      <c r="C102" s="122" t="s">
        <v>667</v>
      </c>
      <c r="D102" t="s">
        <v>324</v>
      </c>
      <c r="E102" s="29">
        <v>1800000</v>
      </c>
      <c r="F102" s="14">
        <v>1530</v>
      </c>
      <c r="G102" s="15">
        <f t="shared" ref="G102:G103" si="3">+ROUND(F102/VLOOKUP("Grand Total",$B$4:$F$302,5,0),4)</f>
        <v>9.1999999999999998E-3</v>
      </c>
      <c r="H102" s="16">
        <v>43187</v>
      </c>
      <c r="I102"/>
      <c r="J102" s="37"/>
      <c r="K102"/>
    </row>
    <row r="103" spans="1:12" ht="12.75" customHeight="1" x14ac:dyDescent="0.2">
      <c r="A103">
        <f>+MAX($A$8:A102)+1</f>
        <v>92</v>
      </c>
      <c r="B103" t="s">
        <v>242</v>
      </c>
      <c r="C103" s="122" t="s">
        <v>667</v>
      </c>
      <c r="D103" t="s">
        <v>324</v>
      </c>
      <c r="E103" s="29">
        <v>108000</v>
      </c>
      <c r="F103" s="14">
        <v>790.34400000000005</v>
      </c>
      <c r="G103" s="15">
        <f t="shared" si="3"/>
        <v>4.7000000000000002E-3</v>
      </c>
      <c r="H103" s="16">
        <v>43187</v>
      </c>
      <c r="I103"/>
      <c r="J103" s="37"/>
      <c r="K103"/>
    </row>
    <row r="104" spans="1:12" ht="12.75" customHeight="1" x14ac:dyDescent="0.2">
      <c r="B104" s="19" t="s">
        <v>85</v>
      </c>
      <c r="C104" s="19"/>
      <c r="D104" s="19"/>
      <c r="E104" s="30"/>
      <c r="F104" s="20">
        <f>SUM(F102:F103)</f>
        <v>2320.3440000000001</v>
      </c>
      <c r="G104" s="21">
        <f>SUM(G102:G103)</f>
        <v>1.3899999999999999E-2</v>
      </c>
      <c r="H104" s="22"/>
      <c r="I104"/>
      <c r="J104" s="37"/>
      <c r="K104"/>
    </row>
    <row r="105" spans="1:12" ht="12.75" customHeight="1" x14ac:dyDescent="0.2">
      <c r="F105" s="14"/>
      <c r="G105" s="15"/>
      <c r="H105" s="16"/>
    </row>
    <row r="106" spans="1:12" ht="12.75" customHeight="1" x14ac:dyDescent="0.2">
      <c r="B106" s="17" t="s">
        <v>92</v>
      </c>
      <c r="C106" s="17"/>
      <c r="F106" s="14"/>
      <c r="G106" s="15"/>
      <c r="H106" s="74"/>
      <c r="I106"/>
      <c r="J106" s="37"/>
      <c r="K106"/>
    </row>
    <row r="107" spans="1:12" ht="12.75" customHeight="1" x14ac:dyDescent="0.2">
      <c r="A107">
        <f>+MAX($A$8:A106)+1</f>
        <v>93</v>
      </c>
      <c r="B107" t="s">
        <v>455</v>
      </c>
      <c r="C107" t="s">
        <v>300</v>
      </c>
      <c r="D107" t="s">
        <v>321</v>
      </c>
      <c r="E107" s="29">
        <v>1679159.6142</v>
      </c>
      <c r="F107" s="14">
        <v>525.96820339999999</v>
      </c>
      <c r="G107" s="15">
        <f t="shared" ref="G107:G108" si="4">+ROUND(F107/VLOOKUP("Grand Total",$B$4:$F$302,5,0),4)</f>
        <v>3.2000000000000002E-3</v>
      </c>
      <c r="H107" s="74" t="s">
        <v>372</v>
      </c>
      <c r="I107"/>
      <c r="J107" s="37"/>
      <c r="K107"/>
    </row>
    <row r="108" spans="1:12" ht="12.75" customHeight="1" x14ac:dyDescent="0.2">
      <c r="A108">
        <f>+MAX($A$8:A107)+1</f>
        <v>94</v>
      </c>
      <c r="B108" t="s">
        <v>447</v>
      </c>
      <c r="C108" t="s">
        <v>355</v>
      </c>
      <c r="D108" t="s">
        <v>321</v>
      </c>
      <c r="E108" s="29">
        <v>9884.0483000000004</v>
      </c>
      <c r="F108" s="14">
        <v>165.59434050000002</v>
      </c>
      <c r="G108" s="15">
        <f t="shared" si="4"/>
        <v>1E-3</v>
      </c>
      <c r="H108" s="74" t="s">
        <v>372</v>
      </c>
      <c r="I108"/>
      <c r="J108" s="37"/>
      <c r="K108"/>
    </row>
    <row r="109" spans="1:12" ht="12.75" customHeight="1" x14ac:dyDescent="0.2">
      <c r="B109" s="19" t="s">
        <v>85</v>
      </c>
      <c r="C109" s="19"/>
      <c r="D109" s="19"/>
      <c r="E109" s="30"/>
      <c r="F109" s="20">
        <f>SUM(F107:F108)</f>
        <v>691.56254390000004</v>
      </c>
      <c r="G109" s="21">
        <f>SUM(G107:G108)</f>
        <v>4.2000000000000006E-3</v>
      </c>
      <c r="H109" s="22"/>
      <c r="I109"/>
      <c r="J109" s="37"/>
      <c r="K109"/>
    </row>
    <row r="110" spans="1:12" s="47" customFormat="1" ht="12.75" customHeight="1" x14ac:dyDescent="0.2">
      <c r="B110" s="68"/>
      <c r="C110" s="68"/>
      <c r="D110" s="68"/>
      <c r="E110" s="69"/>
      <c r="F110" s="70"/>
      <c r="G110" s="71"/>
      <c r="H110" s="36"/>
      <c r="J110" s="49"/>
    </row>
    <row r="111" spans="1:12" ht="12.75" customHeight="1" x14ac:dyDescent="0.2">
      <c r="A111" s="96" t="s">
        <v>371</v>
      </c>
      <c r="B111" s="17" t="s">
        <v>93</v>
      </c>
      <c r="C111" s="17"/>
      <c r="F111" s="14">
        <v>6983.78647</v>
      </c>
      <c r="G111" s="15">
        <f t="shared" ref="G111" si="5">+ROUND(F111/VLOOKUP("Grand Total",$B$4:$F$302,5,0),4)</f>
        <v>4.19E-2</v>
      </c>
      <c r="H111" s="16">
        <v>43160</v>
      </c>
      <c r="L111" s="47"/>
    </row>
    <row r="112" spans="1:12" ht="12.75" customHeight="1" x14ac:dyDescent="0.2">
      <c r="B112" s="19" t="s">
        <v>85</v>
      </c>
      <c r="C112" s="19"/>
      <c r="D112" s="19"/>
      <c r="E112" s="30"/>
      <c r="F112" s="20">
        <f>SUM(F111)</f>
        <v>6983.78647</v>
      </c>
      <c r="G112" s="21">
        <f>SUM(G111)</f>
        <v>4.19E-2</v>
      </c>
      <c r="H112" s="22"/>
      <c r="I112" s="50"/>
    </row>
    <row r="113" spans="2:11" ht="12.75" customHeight="1" x14ac:dyDescent="0.2">
      <c r="F113" s="14"/>
      <c r="G113" s="15"/>
      <c r="H113" s="16"/>
    </row>
    <row r="114" spans="2:11" ht="12.75" customHeight="1" x14ac:dyDescent="0.2">
      <c r="B114" s="17" t="s">
        <v>94</v>
      </c>
      <c r="C114" s="17"/>
      <c r="F114" s="14"/>
      <c r="G114" s="15"/>
      <c r="H114" s="16"/>
      <c r="I114" s="57"/>
    </row>
    <row r="115" spans="2:11" ht="12.75" customHeight="1" x14ac:dyDescent="0.2">
      <c r="B115" s="17" t="s">
        <v>95</v>
      </c>
      <c r="C115" s="17"/>
      <c r="F115" s="14">
        <v>-2212.3363260000478</v>
      </c>
      <c r="G115" s="123">
        <f>+ROUND(F115/VLOOKUP("Grand Total",$B$4:$F$320,5,0),4)-0.06%</f>
        <v>-1.3899999999999999E-2</v>
      </c>
      <c r="H115" s="16"/>
      <c r="I115" s="56"/>
    </row>
    <row r="116" spans="2:11" ht="12.75" customHeight="1" x14ac:dyDescent="0.2">
      <c r="B116" s="19" t="s">
        <v>85</v>
      </c>
      <c r="C116" s="19"/>
      <c r="D116" s="19"/>
      <c r="E116" s="30"/>
      <c r="F116" s="20">
        <f>SUM(F115)</f>
        <v>-2212.3363260000478</v>
      </c>
      <c r="G116" s="124">
        <f>SUM(G115)</f>
        <v>-1.3899999999999999E-2</v>
      </c>
      <c r="H116" s="22"/>
      <c r="I116" s="40"/>
    </row>
    <row r="117" spans="2:11" ht="12.75" customHeight="1" x14ac:dyDescent="0.2">
      <c r="B117" s="23" t="s">
        <v>96</v>
      </c>
      <c r="C117" s="23"/>
      <c r="D117" s="23"/>
      <c r="E117" s="31"/>
      <c r="F117" s="24">
        <f>+SUMIF($B$5:B116,"Total",$F$5:F116)</f>
        <v>166611.48237439999</v>
      </c>
      <c r="G117" s="25">
        <f>+SUMIF($B$5:B116,"Total",$G$5:G116)</f>
        <v>0.99999999999999978</v>
      </c>
      <c r="H117" s="26"/>
      <c r="K117"/>
    </row>
    <row r="118" spans="2:11" ht="12.75" customHeight="1" x14ac:dyDescent="0.2">
      <c r="F118" s="14"/>
    </row>
    <row r="119" spans="2:11" ht="12.75" customHeight="1" x14ac:dyDescent="0.2">
      <c r="B119" s="17" t="s">
        <v>761</v>
      </c>
    </row>
    <row r="120" spans="2:11" ht="12.75" customHeight="1" x14ac:dyDescent="0.2">
      <c r="B120" s="54" t="s">
        <v>308</v>
      </c>
    </row>
    <row r="121" spans="2:11" ht="12.75" customHeight="1" x14ac:dyDescent="0.2">
      <c r="B121" s="17" t="s">
        <v>188</v>
      </c>
    </row>
    <row r="122" spans="2:11" ht="12.75" customHeight="1" x14ac:dyDescent="0.2"/>
    <row r="123" spans="2:11" ht="12.75" customHeight="1" x14ac:dyDescent="0.2"/>
    <row r="124" spans="2:11" ht="12.75" customHeight="1" x14ac:dyDescent="0.2"/>
    <row r="125" spans="2:11" ht="12.75" customHeight="1" x14ac:dyDescent="0.2"/>
    <row r="126" spans="2:11" ht="12.75" customHeight="1" x14ac:dyDescent="0.2"/>
    <row r="127" spans="2:11" ht="12.75" customHeight="1" x14ac:dyDescent="0.2"/>
    <row r="128" spans="2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</sheetData>
  <sheetProtection password="EDB3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3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42.85546875" bestFit="1" customWidth="1"/>
    <col min="11" max="11" width="8" style="37" customWidth="1"/>
  </cols>
  <sheetData>
    <row r="1" spans="1:16" ht="18.75" x14ac:dyDescent="0.2">
      <c r="A1" s="95" t="s">
        <v>377</v>
      </c>
      <c r="B1" s="126" t="s">
        <v>157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+MAX($A$8:A8)+1</f>
        <v>1</v>
      </c>
      <c r="B9" t="s">
        <v>194</v>
      </c>
      <c r="C9" t="s">
        <v>14</v>
      </c>
      <c r="D9" t="s">
        <v>10</v>
      </c>
      <c r="E9" s="29">
        <v>87992</v>
      </c>
      <c r="F9" s="14">
        <v>1657.945264</v>
      </c>
      <c r="G9" s="15">
        <f t="shared" ref="G9:G40" si="0">+ROUND(F9/VLOOKUP("Grand Total",$B$4:$F$295,5,0),4)</f>
        <v>5.3400000000000003E-2</v>
      </c>
      <c r="H9" s="73" t="s">
        <v>372</v>
      </c>
      <c r="I9" s="108"/>
      <c r="J9" s="15" t="s">
        <v>10</v>
      </c>
      <c r="K9" s="49">
        <f t="shared" ref="K9:K30" si="1">SUMIFS($G$5:$G$326,$D$5:$D$326,J9)</f>
        <v>0.21659999999999999</v>
      </c>
    </row>
    <row r="10" spans="1:16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9">
        <v>476730</v>
      </c>
      <c r="F10" s="14">
        <v>1493.3567250000001</v>
      </c>
      <c r="G10" s="15">
        <f t="shared" si="0"/>
        <v>4.8099999999999997E-2</v>
      </c>
      <c r="H10" s="16" t="s">
        <v>372</v>
      </c>
      <c r="I10" s="108"/>
      <c r="J10" s="15" t="s">
        <v>26</v>
      </c>
      <c r="K10" s="49">
        <f t="shared" si="1"/>
        <v>0.12970000000000001</v>
      </c>
    </row>
    <row r="11" spans="1:16" ht="12.75" customHeight="1" x14ac:dyDescent="0.2">
      <c r="A11">
        <f>+MAX($A$8:A10)+1</f>
        <v>3</v>
      </c>
      <c r="B11" t="s">
        <v>196</v>
      </c>
      <c r="C11" t="s">
        <v>31</v>
      </c>
      <c r="D11" t="s">
        <v>30</v>
      </c>
      <c r="E11" s="29">
        <v>114058</v>
      </c>
      <c r="F11" s="14">
        <v>1088.7406390000001</v>
      </c>
      <c r="G11" s="15">
        <f t="shared" si="0"/>
        <v>3.5099999999999999E-2</v>
      </c>
      <c r="H11" s="16" t="s">
        <v>372</v>
      </c>
      <c r="I11" s="108"/>
      <c r="J11" s="15" t="s">
        <v>15</v>
      </c>
      <c r="K11" s="49">
        <f t="shared" si="1"/>
        <v>7.5700000000000003E-2</v>
      </c>
      <c r="M11" s="15"/>
      <c r="N11" s="37"/>
      <c r="P11" s="15"/>
    </row>
    <row r="12" spans="1:16" ht="12.75" customHeight="1" x14ac:dyDescent="0.2">
      <c r="A12">
        <f>+MAX($A$8:A11)+1</f>
        <v>4</v>
      </c>
      <c r="B12" t="s">
        <v>195</v>
      </c>
      <c r="C12" t="s">
        <v>16</v>
      </c>
      <c r="D12" t="s">
        <v>15</v>
      </c>
      <c r="E12" s="29">
        <v>85286</v>
      </c>
      <c r="F12" s="14">
        <v>1000.063636</v>
      </c>
      <c r="G12" s="15">
        <f t="shared" si="0"/>
        <v>3.2199999999999999E-2</v>
      </c>
      <c r="H12" s="16" t="s">
        <v>372</v>
      </c>
      <c r="I12" s="108"/>
      <c r="J12" s="15" t="s">
        <v>21</v>
      </c>
      <c r="K12" s="49">
        <f t="shared" si="1"/>
        <v>6.2E-2</v>
      </c>
      <c r="M12" s="15"/>
      <c r="N12" s="37"/>
      <c r="P12" s="15"/>
    </row>
    <row r="13" spans="1:16" ht="12.75" customHeight="1" x14ac:dyDescent="0.2">
      <c r="A13">
        <f>+MAX($A$8:A12)+1</f>
        <v>5</v>
      </c>
      <c r="B13" t="s">
        <v>200</v>
      </c>
      <c r="C13" t="s">
        <v>27</v>
      </c>
      <c r="D13" t="s">
        <v>24</v>
      </c>
      <c r="E13" s="29">
        <v>53634</v>
      </c>
      <c r="F13" s="14">
        <v>970.07815799999992</v>
      </c>
      <c r="G13" s="15">
        <f t="shared" si="0"/>
        <v>3.1300000000000001E-2</v>
      </c>
      <c r="H13" s="16" t="s">
        <v>372</v>
      </c>
      <c r="I13" s="108"/>
      <c r="J13" s="15" t="s">
        <v>24</v>
      </c>
      <c r="K13" s="49">
        <f t="shared" si="1"/>
        <v>5.3999999999999999E-2</v>
      </c>
      <c r="M13" s="15"/>
      <c r="N13" s="37"/>
      <c r="P13" s="15"/>
    </row>
    <row r="14" spans="1:16" ht="12.75" customHeight="1" x14ac:dyDescent="0.2">
      <c r="A14">
        <f>+MAX($A$8:A13)+1</f>
        <v>6</v>
      </c>
      <c r="B14" t="s">
        <v>227</v>
      </c>
      <c r="C14" t="s">
        <v>71</v>
      </c>
      <c r="D14" t="s">
        <v>28</v>
      </c>
      <c r="E14" s="29">
        <v>71891</v>
      </c>
      <c r="F14" s="14">
        <v>947.63121650000005</v>
      </c>
      <c r="G14" s="15">
        <f t="shared" si="0"/>
        <v>3.0499999999999999E-2</v>
      </c>
      <c r="H14" s="16" t="s">
        <v>372</v>
      </c>
      <c r="I14" s="108"/>
      <c r="J14" s="15" t="s">
        <v>23</v>
      </c>
      <c r="K14" s="49">
        <f t="shared" si="1"/>
        <v>5.0299999999999997E-2</v>
      </c>
      <c r="M14" s="15"/>
      <c r="N14" s="37"/>
      <c r="P14" s="15"/>
    </row>
    <row r="15" spans="1:16" ht="12.75" customHeight="1" x14ac:dyDescent="0.2">
      <c r="A15">
        <f>+MAX($A$8:A14)+1</f>
        <v>7</v>
      </c>
      <c r="B15" t="s">
        <v>17</v>
      </c>
      <c r="C15" t="s">
        <v>18</v>
      </c>
      <c r="D15" t="s">
        <v>10</v>
      </c>
      <c r="E15" s="29">
        <v>303480</v>
      </c>
      <c r="F15" s="14">
        <v>813.32640000000004</v>
      </c>
      <c r="G15" s="15">
        <f t="shared" si="0"/>
        <v>2.6200000000000001E-2</v>
      </c>
      <c r="H15" s="16" t="s">
        <v>372</v>
      </c>
      <c r="I15" s="108"/>
      <c r="J15" s="15" t="s">
        <v>28</v>
      </c>
      <c r="K15" s="49">
        <f t="shared" si="1"/>
        <v>4.07E-2</v>
      </c>
      <c r="M15" s="15"/>
      <c r="N15" s="37"/>
      <c r="P15" s="15"/>
    </row>
    <row r="16" spans="1:16" ht="12.75" customHeight="1" x14ac:dyDescent="0.2">
      <c r="A16">
        <f>+MAX($A$8:A15)+1</f>
        <v>8</v>
      </c>
      <c r="B16" t="s">
        <v>203</v>
      </c>
      <c r="C16" t="s">
        <v>46</v>
      </c>
      <c r="D16" t="s">
        <v>26</v>
      </c>
      <c r="E16" s="29">
        <v>306699</v>
      </c>
      <c r="F16" s="14">
        <v>812.90569950000008</v>
      </c>
      <c r="G16" s="15">
        <f t="shared" si="0"/>
        <v>2.6200000000000001E-2</v>
      </c>
      <c r="H16" s="16" t="s">
        <v>372</v>
      </c>
      <c r="I16" s="108"/>
      <c r="J16" s="15" t="s">
        <v>36</v>
      </c>
      <c r="K16" s="49">
        <f t="shared" si="1"/>
        <v>3.9899999999999998E-2</v>
      </c>
      <c r="M16" s="15"/>
      <c r="N16" s="37"/>
      <c r="P16" s="15"/>
    </row>
    <row r="17" spans="1:16" ht="12.75" customHeight="1" x14ac:dyDescent="0.2">
      <c r="A17">
        <f>+MAX($A$8:A16)+1</f>
        <v>9</v>
      </c>
      <c r="B17" t="s">
        <v>233</v>
      </c>
      <c r="C17" t="s">
        <v>78</v>
      </c>
      <c r="D17" t="s">
        <v>26</v>
      </c>
      <c r="E17" s="29">
        <v>21500</v>
      </c>
      <c r="F17" s="14">
        <v>707.76925000000006</v>
      </c>
      <c r="G17" s="15">
        <f t="shared" si="0"/>
        <v>2.2800000000000001E-2</v>
      </c>
      <c r="H17" s="16" t="s">
        <v>372</v>
      </c>
      <c r="I17" s="108"/>
      <c r="J17" s="15" t="s">
        <v>133</v>
      </c>
      <c r="K17" s="49">
        <f t="shared" si="1"/>
        <v>3.6199999999999996E-2</v>
      </c>
      <c r="M17" s="15"/>
      <c r="N17" s="37"/>
      <c r="P17" s="15"/>
    </row>
    <row r="18" spans="1:16" ht="12.75" customHeight="1" x14ac:dyDescent="0.2">
      <c r="A18">
        <f>+MAX($A$8:A17)+1</f>
        <v>10</v>
      </c>
      <c r="B18" t="s">
        <v>199</v>
      </c>
      <c r="C18" t="s">
        <v>25</v>
      </c>
      <c r="D18" t="s">
        <v>15</v>
      </c>
      <c r="E18" s="29">
        <v>74935</v>
      </c>
      <c r="F18" s="14">
        <v>704.61380499999996</v>
      </c>
      <c r="G18" s="15">
        <f t="shared" si="0"/>
        <v>2.2700000000000001E-2</v>
      </c>
      <c r="H18" s="16" t="s">
        <v>372</v>
      </c>
      <c r="I18" s="108"/>
      <c r="J18" s="15" t="s">
        <v>41</v>
      </c>
      <c r="K18" s="49">
        <f t="shared" si="1"/>
        <v>3.5299999999999998E-2</v>
      </c>
      <c r="M18" s="15"/>
      <c r="N18" s="37"/>
      <c r="P18" s="15"/>
    </row>
    <row r="19" spans="1:16" ht="12.75" customHeight="1" x14ac:dyDescent="0.2">
      <c r="A19">
        <f>+MAX($A$8:A18)+1</f>
        <v>11</v>
      </c>
      <c r="B19" t="s">
        <v>318</v>
      </c>
      <c r="C19" t="s">
        <v>319</v>
      </c>
      <c r="D19" t="s">
        <v>143</v>
      </c>
      <c r="E19" s="29">
        <v>131069</v>
      </c>
      <c r="F19" s="14">
        <v>691.45450950000009</v>
      </c>
      <c r="G19" s="15">
        <f t="shared" si="0"/>
        <v>2.23E-2</v>
      </c>
      <c r="H19" s="16" t="s">
        <v>372</v>
      </c>
      <c r="I19" s="108"/>
      <c r="J19" s="15" t="s">
        <v>30</v>
      </c>
      <c r="K19" s="49">
        <f t="shared" si="1"/>
        <v>3.5099999999999999E-2</v>
      </c>
      <c r="M19" s="15"/>
      <c r="N19" s="37"/>
      <c r="P19" s="15"/>
    </row>
    <row r="20" spans="1:16" ht="12.75" customHeight="1" x14ac:dyDescent="0.2">
      <c r="A20">
        <f>+MAX($A$8:A19)+1</f>
        <v>12</v>
      </c>
      <c r="B20" t="s">
        <v>395</v>
      </c>
      <c r="C20" t="s">
        <v>394</v>
      </c>
      <c r="D20" t="s">
        <v>26</v>
      </c>
      <c r="E20" s="29">
        <v>200000</v>
      </c>
      <c r="F20" s="14">
        <v>650.1</v>
      </c>
      <c r="G20" s="15">
        <f t="shared" si="0"/>
        <v>2.1000000000000001E-2</v>
      </c>
      <c r="H20" s="16" t="s">
        <v>372</v>
      </c>
      <c r="I20" s="108"/>
      <c r="J20" s="15" t="s">
        <v>38</v>
      </c>
      <c r="K20" s="49">
        <f t="shared" si="1"/>
        <v>3.5000000000000003E-2</v>
      </c>
      <c r="M20" s="15"/>
      <c r="N20" s="37"/>
      <c r="P20" s="15"/>
    </row>
    <row r="21" spans="1:16" ht="12.75" customHeight="1" x14ac:dyDescent="0.2">
      <c r="A21">
        <f>+MAX($A$8:A20)+1</f>
        <v>13</v>
      </c>
      <c r="B21" t="s">
        <v>218</v>
      </c>
      <c r="C21" t="s">
        <v>20</v>
      </c>
      <c r="D21" t="s">
        <v>15</v>
      </c>
      <c r="E21" s="29">
        <v>21307</v>
      </c>
      <c r="F21" s="14">
        <v>646.67810350000002</v>
      </c>
      <c r="G21" s="15">
        <f t="shared" si="0"/>
        <v>2.0799999999999999E-2</v>
      </c>
      <c r="H21" s="16" t="s">
        <v>372</v>
      </c>
      <c r="I21" s="108"/>
      <c r="J21" s="15" t="s">
        <v>19</v>
      </c>
      <c r="K21" s="49">
        <f t="shared" si="1"/>
        <v>3.04E-2</v>
      </c>
      <c r="M21" s="15"/>
      <c r="N21" s="37"/>
      <c r="P21" s="15"/>
    </row>
    <row r="22" spans="1:16" ht="12.75" customHeight="1" x14ac:dyDescent="0.2">
      <c r="A22">
        <f>+MAX($A$8:A21)+1</f>
        <v>14</v>
      </c>
      <c r="B22" t="s">
        <v>309</v>
      </c>
      <c r="C22" t="s">
        <v>57</v>
      </c>
      <c r="D22" t="s">
        <v>26</v>
      </c>
      <c r="E22" s="29">
        <v>44000</v>
      </c>
      <c r="F22" s="14">
        <v>628.36400000000003</v>
      </c>
      <c r="G22" s="15">
        <f t="shared" si="0"/>
        <v>2.0299999999999999E-2</v>
      </c>
      <c r="H22" s="16" t="s">
        <v>372</v>
      </c>
      <c r="I22" s="108"/>
      <c r="J22" s="15" t="s">
        <v>143</v>
      </c>
      <c r="K22" s="49">
        <f t="shared" si="1"/>
        <v>2.23E-2</v>
      </c>
      <c r="M22" s="15"/>
      <c r="N22" s="37"/>
      <c r="P22" s="15"/>
    </row>
    <row r="23" spans="1:16" ht="12.75" customHeight="1" x14ac:dyDescent="0.2">
      <c r="A23">
        <f>+MAX($A$8:A22)+1</f>
        <v>15</v>
      </c>
      <c r="B23" t="s">
        <v>578</v>
      </c>
      <c r="C23" t="s">
        <v>579</v>
      </c>
      <c r="D23" t="s">
        <v>36</v>
      </c>
      <c r="E23" s="29">
        <v>740000</v>
      </c>
      <c r="F23" s="14">
        <v>625.29999999999995</v>
      </c>
      <c r="G23" s="15">
        <f t="shared" si="0"/>
        <v>2.0199999999999999E-2</v>
      </c>
      <c r="H23" s="16" t="s">
        <v>372</v>
      </c>
      <c r="I23" s="108"/>
      <c r="J23" s="15" t="s">
        <v>51</v>
      </c>
      <c r="K23" s="49">
        <f t="shared" si="1"/>
        <v>1.47E-2</v>
      </c>
      <c r="M23" s="15"/>
      <c r="N23" s="37"/>
      <c r="P23" s="15"/>
    </row>
    <row r="24" spans="1:16" ht="12.75" customHeight="1" x14ac:dyDescent="0.2">
      <c r="A24">
        <f>+MAX($A$8:A23)+1</f>
        <v>16</v>
      </c>
      <c r="B24" t="s">
        <v>347</v>
      </c>
      <c r="C24" t="s">
        <v>412</v>
      </c>
      <c r="D24" t="s">
        <v>133</v>
      </c>
      <c r="E24" s="29">
        <v>52000</v>
      </c>
      <c r="F24" s="14">
        <v>623.84400000000005</v>
      </c>
      <c r="G24" s="15">
        <f t="shared" si="0"/>
        <v>2.01E-2</v>
      </c>
      <c r="H24" s="16" t="s">
        <v>372</v>
      </c>
      <c r="I24" s="108"/>
      <c r="J24" t="s">
        <v>492</v>
      </c>
      <c r="K24" s="49">
        <f t="shared" si="1"/>
        <v>1.38E-2</v>
      </c>
      <c r="M24" s="15"/>
      <c r="N24" s="37"/>
      <c r="P24" s="15"/>
    </row>
    <row r="25" spans="1:16" ht="12.75" customHeight="1" x14ac:dyDescent="0.2">
      <c r="A25">
        <f>+MAX($A$8:A24)+1</f>
        <v>17</v>
      </c>
      <c r="B25" t="s">
        <v>310</v>
      </c>
      <c r="C25" t="s">
        <v>76</v>
      </c>
      <c r="D25" t="s">
        <v>38</v>
      </c>
      <c r="E25" s="29">
        <v>175000</v>
      </c>
      <c r="F25" s="14">
        <v>618.27499999999998</v>
      </c>
      <c r="G25" s="15">
        <f t="shared" si="0"/>
        <v>1.9900000000000001E-2</v>
      </c>
      <c r="H25" s="16" t="s">
        <v>372</v>
      </c>
      <c r="I25" s="108"/>
      <c r="J25" t="s">
        <v>37</v>
      </c>
      <c r="K25" s="49">
        <f t="shared" si="1"/>
        <v>1.26E-2</v>
      </c>
      <c r="M25" s="15"/>
      <c r="N25" s="37"/>
      <c r="P25" s="15"/>
    </row>
    <row r="26" spans="1:16" ht="12.75" customHeight="1" x14ac:dyDescent="0.2">
      <c r="A26">
        <f>+MAX($A$8:A25)+1</f>
        <v>18</v>
      </c>
      <c r="B26" t="s">
        <v>205</v>
      </c>
      <c r="C26" t="s">
        <v>48</v>
      </c>
      <c r="D26" t="s">
        <v>26</v>
      </c>
      <c r="E26" s="29">
        <v>12279</v>
      </c>
      <c r="F26" s="14">
        <v>613.24395749999996</v>
      </c>
      <c r="G26" s="15">
        <f t="shared" si="0"/>
        <v>1.9800000000000002E-2</v>
      </c>
      <c r="H26" s="16" t="s">
        <v>372</v>
      </c>
      <c r="I26" s="108"/>
      <c r="J26" t="s">
        <v>43</v>
      </c>
      <c r="K26" s="49">
        <f t="shared" si="1"/>
        <v>1.2200000000000001E-2</v>
      </c>
      <c r="L26" s="55">
        <f>+SUM($K$9:K27)</f>
        <v>0.92590000000000006</v>
      </c>
      <c r="M26" s="15"/>
      <c r="N26" s="37"/>
      <c r="P26" s="15"/>
    </row>
    <row r="27" spans="1:16" ht="12.75" customHeight="1" x14ac:dyDescent="0.2">
      <c r="A27">
        <f>+MAX($A$8:A26)+1</f>
        <v>19</v>
      </c>
      <c r="B27" t="s">
        <v>252</v>
      </c>
      <c r="C27" t="s">
        <v>115</v>
      </c>
      <c r="D27" t="s">
        <v>36</v>
      </c>
      <c r="E27" s="29">
        <v>374900</v>
      </c>
      <c r="F27" s="14">
        <v>612.02425000000005</v>
      </c>
      <c r="G27" s="15">
        <f t="shared" si="0"/>
        <v>1.9699999999999999E-2</v>
      </c>
      <c r="H27" s="16" t="s">
        <v>372</v>
      </c>
      <c r="I27" s="108"/>
      <c r="J27" s="66" t="s">
        <v>45</v>
      </c>
      <c r="K27" s="49">
        <f t="shared" si="1"/>
        <v>9.4000000000000004E-3</v>
      </c>
      <c r="M27" s="15"/>
      <c r="N27" s="37"/>
      <c r="P27" s="15"/>
    </row>
    <row r="28" spans="1:16" ht="12.75" customHeight="1" x14ac:dyDescent="0.2">
      <c r="A28">
        <f>+MAX($A$8:A27)+1</f>
        <v>20</v>
      </c>
      <c r="B28" t="s">
        <v>580</v>
      </c>
      <c r="C28" t="s">
        <v>581</v>
      </c>
      <c r="D28" t="s">
        <v>26</v>
      </c>
      <c r="E28" s="29">
        <v>9065</v>
      </c>
      <c r="F28" s="14">
        <v>607.07398499999999</v>
      </c>
      <c r="G28" s="15">
        <f t="shared" si="0"/>
        <v>1.9599999999999999E-2</v>
      </c>
      <c r="H28" s="16" t="s">
        <v>372</v>
      </c>
      <c r="I28" s="108"/>
      <c r="J28" t="s">
        <v>34</v>
      </c>
      <c r="K28" s="49">
        <f t="shared" si="1"/>
        <v>8.9999999999999993E-3</v>
      </c>
      <c r="M28" s="15"/>
      <c r="N28" s="37"/>
      <c r="P28" s="15"/>
    </row>
    <row r="29" spans="1:16" ht="12.75" customHeight="1" x14ac:dyDescent="0.2">
      <c r="A29">
        <f>+MAX($A$8:A28)+1</f>
        <v>21</v>
      </c>
      <c r="B29" t="s">
        <v>250</v>
      </c>
      <c r="C29" t="s">
        <v>112</v>
      </c>
      <c r="D29" t="s">
        <v>21</v>
      </c>
      <c r="E29" s="29">
        <v>16552</v>
      </c>
      <c r="F29" s="14">
        <v>595.325784</v>
      </c>
      <c r="G29" s="15">
        <f t="shared" si="0"/>
        <v>1.9199999999999998E-2</v>
      </c>
      <c r="H29" s="16" t="s">
        <v>372</v>
      </c>
      <c r="I29" s="108"/>
      <c r="J29" s="15" t="s">
        <v>346</v>
      </c>
      <c r="K29" s="49">
        <f t="shared" si="1"/>
        <v>0</v>
      </c>
      <c r="M29" s="15"/>
      <c r="N29" s="37"/>
      <c r="P29" s="15"/>
    </row>
    <row r="30" spans="1:16" ht="12.75" customHeight="1" x14ac:dyDescent="0.2">
      <c r="A30">
        <f>+MAX($A$8:A29)+1</f>
        <v>22</v>
      </c>
      <c r="B30" t="s">
        <v>311</v>
      </c>
      <c r="C30" t="s">
        <v>67</v>
      </c>
      <c r="D30" t="s">
        <v>19</v>
      </c>
      <c r="E30" s="29">
        <v>361061</v>
      </c>
      <c r="F30" s="14">
        <v>574.98964249999995</v>
      </c>
      <c r="G30" s="15">
        <f t="shared" si="0"/>
        <v>1.8499999999999999E-2</v>
      </c>
      <c r="H30" s="16" t="s">
        <v>372</v>
      </c>
      <c r="I30" s="108"/>
      <c r="J30" s="15" t="s">
        <v>429</v>
      </c>
      <c r="K30" s="49">
        <f t="shared" si="1"/>
        <v>0</v>
      </c>
      <c r="M30" s="15"/>
      <c r="N30" s="37"/>
      <c r="P30" s="15"/>
    </row>
    <row r="31" spans="1:16" ht="12.75" customHeight="1" x14ac:dyDescent="0.2">
      <c r="A31">
        <f>+MAX($A$8:A30)+1</f>
        <v>23</v>
      </c>
      <c r="B31" t="s">
        <v>211</v>
      </c>
      <c r="C31" t="s">
        <v>49</v>
      </c>
      <c r="D31" t="s">
        <v>21</v>
      </c>
      <c r="E31" s="29">
        <v>6478</v>
      </c>
      <c r="F31" s="14">
        <v>573.36454100000003</v>
      </c>
      <c r="G31" s="15">
        <f t="shared" si="0"/>
        <v>1.8499999999999999E-2</v>
      </c>
      <c r="H31" s="16" t="s">
        <v>372</v>
      </c>
      <c r="I31" s="108"/>
      <c r="J31" s="15" t="s">
        <v>64</v>
      </c>
      <c r="K31" s="49">
        <f>+SUMIFS($G$5:$G$996,$B$5:$B$996,"CBLO / Reverse Repo Investments")+SUMIFS($G$5:$G$996,$B$5:$B$996,"Net Receivable/Payable")</f>
        <v>6.5100000000000005E-2</v>
      </c>
      <c r="M31" s="15"/>
      <c r="N31" s="37"/>
      <c r="P31" s="15"/>
    </row>
    <row r="32" spans="1:16" ht="12.75" customHeight="1" x14ac:dyDescent="0.2">
      <c r="A32">
        <f>+MAX($A$8:A31)+1</f>
        <v>24</v>
      </c>
      <c r="B32" t="s">
        <v>214</v>
      </c>
      <c r="C32" t="s">
        <v>98</v>
      </c>
      <c r="D32" t="s">
        <v>10</v>
      </c>
      <c r="E32" s="29">
        <v>51897</v>
      </c>
      <c r="F32" s="14">
        <v>565.96273350000001</v>
      </c>
      <c r="G32" s="15">
        <f t="shared" si="0"/>
        <v>1.8200000000000001E-2</v>
      </c>
      <c r="H32" s="16" t="s">
        <v>372</v>
      </c>
      <c r="I32" s="108"/>
      <c r="J32" s="15"/>
      <c r="K32" s="49"/>
    </row>
    <row r="33" spans="1:9" ht="12.75" customHeight="1" x14ac:dyDescent="0.2">
      <c r="A33">
        <f>+MAX($A$8:A32)+1</f>
        <v>25</v>
      </c>
      <c r="B33" t="s">
        <v>208</v>
      </c>
      <c r="C33" t="s">
        <v>52</v>
      </c>
      <c r="D33" t="s">
        <v>41</v>
      </c>
      <c r="E33" s="29">
        <v>475000</v>
      </c>
      <c r="F33" s="14">
        <v>555.51250000000005</v>
      </c>
      <c r="G33" s="15">
        <f t="shared" si="0"/>
        <v>1.7899999999999999E-2</v>
      </c>
      <c r="H33" s="16" t="s">
        <v>372</v>
      </c>
      <c r="I33" s="108"/>
    </row>
    <row r="34" spans="1:9" ht="12.75" customHeight="1" x14ac:dyDescent="0.2">
      <c r="A34">
        <f>+MAX($A$8:A33)+1</f>
        <v>26</v>
      </c>
      <c r="B34" t="s">
        <v>278</v>
      </c>
      <c r="C34" t="s">
        <v>146</v>
      </c>
      <c r="D34" t="s">
        <v>41</v>
      </c>
      <c r="E34" s="29">
        <v>71662</v>
      </c>
      <c r="F34" s="14">
        <v>538.89823999999999</v>
      </c>
      <c r="G34" s="15">
        <f t="shared" si="0"/>
        <v>1.7399999999999999E-2</v>
      </c>
      <c r="H34" s="16" t="s">
        <v>372</v>
      </c>
      <c r="I34" s="108"/>
    </row>
    <row r="35" spans="1:9" ht="12.75" customHeight="1" x14ac:dyDescent="0.2">
      <c r="A35">
        <f>+MAX($A$8:A34)+1</f>
        <v>27</v>
      </c>
      <c r="B35" t="s">
        <v>544</v>
      </c>
      <c r="C35" t="s">
        <v>545</v>
      </c>
      <c r="D35" t="s">
        <v>133</v>
      </c>
      <c r="E35" s="29">
        <v>130725</v>
      </c>
      <c r="F35" s="14">
        <v>497.93152500000002</v>
      </c>
      <c r="G35" s="15">
        <f t="shared" si="0"/>
        <v>1.61E-2</v>
      </c>
      <c r="H35" s="16" t="s">
        <v>372</v>
      </c>
      <c r="I35" s="108"/>
    </row>
    <row r="36" spans="1:9" ht="12.75" customHeight="1" x14ac:dyDescent="0.2">
      <c r="A36">
        <f>+MAX($A$8:A35)+1</f>
        <v>28</v>
      </c>
      <c r="B36" t="s">
        <v>368</v>
      </c>
      <c r="C36" t="s">
        <v>369</v>
      </c>
      <c r="D36" t="s">
        <v>38</v>
      </c>
      <c r="E36" s="29">
        <v>579178</v>
      </c>
      <c r="F36" s="14">
        <v>469.71335799999997</v>
      </c>
      <c r="G36" s="15">
        <f t="shared" si="0"/>
        <v>1.5100000000000001E-2</v>
      </c>
      <c r="H36" s="16" t="s">
        <v>372</v>
      </c>
      <c r="I36" s="108"/>
    </row>
    <row r="37" spans="1:9" ht="12.75" customHeight="1" x14ac:dyDescent="0.2">
      <c r="A37">
        <f>+MAX($A$8:A36)+1</f>
        <v>29</v>
      </c>
      <c r="B37" t="s">
        <v>603</v>
      </c>
      <c r="C37" t="s">
        <v>406</v>
      </c>
      <c r="D37" t="s">
        <v>10</v>
      </c>
      <c r="E37" s="29">
        <v>422693</v>
      </c>
      <c r="F37" s="14">
        <v>455.66305399999999</v>
      </c>
      <c r="G37" s="15">
        <f t="shared" si="0"/>
        <v>1.47E-2</v>
      </c>
      <c r="H37" s="16" t="s">
        <v>372</v>
      </c>
      <c r="I37" s="108"/>
    </row>
    <row r="38" spans="1:9" ht="12.75" customHeight="1" x14ac:dyDescent="0.2">
      <c r="A38">
        <f>+MAX($A$8:A37)+1</f>
        <v>30</v>
      </c>
      <c r="B38" t="s">
        <v>230</v>
      </c>
      <c r="C38" t="s">
        <v>79</v>
      </c>
      <c r="D38" t="s">
        <v>51</v>
      </c>
      <c r="E38" s="29">
        <v>147233</v>
      </c>
      <c r="F38" s="14">
        <v>455.17081950000005</v>
      </c>
      <c r="G38" s="15">
        <f t="shared" si="0"/>
        <v>1.47E-2</v>
      </c>
      <c r="H38" s="16" t="s">
        <v>372</v>
      </c>
      <c r="I38" s="108"/>
    </row>
    <row r="39" spans="1:9" ht="12.75" customHeight="1" x14ac:dyDescent="0.2">
      <c r="A39">
        <f>+MAX($A$8:A38)+1</f>
        <v>31</v>
      </c>
      <c r="B39" t="s">
        <v>213</v>
      </c>
      <c r="C39" t="s">
        <v>74</v>
      </c>
      <c r="D39" t="s">
        <v>492</v>
      </c>
      <c r="E39" s="29">
        <v>312000</v>
      </c>
      <c r="F39" s="14">
        <v>427.90800000000002</v>
      </c>
      <c r="G39" s="15">
        <f t="shared" si="0"/>
        <v>1.38E-2</v>
      </c>
      <c r="H39" s="16" t="s">
        <v>372</v>
      </c>
      <c r="I39" s="108"/>
    </row>
    <row r="40" spans="1:9" ht="12.75" customHeight="1" x14ac:dyDescent="0.2">
      <c r="A40">
        <f>+MAX($A$8:A39)+1</f>
        <v>32</v>
      </c>
      <c r="B40" t="s">
        <v>207</v>
      </c>
      <c r="C40" t="s">
        <v>50</v>
      </c>
      <c r="D40" t="s">
        <v>23</v>
      </c>
      <c r="E40" s="29">
        <v>7253</v>
      </c>
      <c r="F40" s="14">
        <v>416.54704299999997</v>
      </c>
      <c r="G40" s="15">
        <f t="shared" si="0"/>
        <v>1.34E-2</v>
      </c>
      <c r="H40" s="16" t="s">
        <v>372</v>
      </c>
      <c r="I40" s="108"/>
    </row>
    <row r="41" spans="1:9" ht="12.75" customHeight="1" x14ac:dyDescent="0.2">
      <c r="A41">
        <f>+MAX($A$8:A40)+1</f>
        <v>33</v>
      </c>
      <c r="B41" t="s">
        <v>430</v>
      </c>
      <c r="C41" t="s">
        <v>68</v>
      </c>
      <c r="D41" t="s">
        <v>23</v>
      </c>
      <c r="E41" s="29">
        <v>76911</v>
      </c>
      <c r="F41" s="14">
        <v>411.74303850000001</v>
      </c>
      <c r="G41" s="15">
        <f t="shared" ref="G41:G59" si="2">+ROUND(F41/VLOOKUP("Grand Total",$B$4:$F$295,5,0),4)</f>
        <v>1.3299999999999999E-2</v>
      </c>
      <c r="H41" s="16" t="s">
        <v>372</v>
      </c>
      <c r="I41" s="108"/>
    </row>
    <row r="42" spans="1:9" ht="12.75" customHeight="1" x14ac:dyDescent="0.2">
      <c r="A42">
        <f>+MAX($A$8:A41)+1</f>
        <v>34</v>
      </c>
      <c r="B42" t="s">
        <v>543</v>
      </c>
      <c r="C42" t="s">
        <v>472</v>
      </c>
      <c r="D42" t="s">
        <v>23</v>
      </c>
      <c r="E42" s="29">
        <v>120000</v>
      </c>
      <c r="F42" s="14">
        <v>403.5</v>
      </c>
      <c r="G42" s="15">
        <f t="shared" si="2"/>
        <v>1.2999999999999999E-2</v>
      </c>
      <c r="H42" s="16" t="s">
        <v>372</v>
      </c>
      <c r="I42" s="108"/>
    </row>
    <row r="43" spans="1:9" ht="12.75" customHeight="1" x14ac:dyDescent="0.2">
      <c r="A43">
        <f>+MAX($A$8:A42)+1</f>
        <v>35</v>
      </c>
      <c r="B43" t="s">
        <v>700</v>
      </c>
      <c r="C43" t="s">
        <v>701</v>
      </c>
      <c r="D43" t="s">
        <v>37</v>
      </c>
      <c r="E43" s="29">
        <v>29355</v>
      </c>
      <c r="F43" s="14">
        <v>392.09473500000001</v>
      </c>
      <c r="G43" s="15">
        <f t="shared" si="2"/>
        <v>1.26E-2</v>
      </c>
      <c r="H43" s="16" t="s">
        <v>372</v>
      </c>
      <c r="I43" s="108"/>
    </row>
    <row r="44" spans="1:9" ht="12.75" customHeight="1" x14ac:dyDescent="0.2">
      <c r="A44">
        <f>+MAX($A$8:A43)+1</f>
        <v>36</v>
      </c>
      <c r="B44" t="s">
        <v>198</v>
      </c>
      <c r="C44" t="s">
        <v>22</v>
      </c>
      <c r="D44" t="s">
        <v>21</v>
      </c>
      <c r="E44" s="29">
        <v>104112</v>
      </c>
      <c r="F44" s="14">
        <v>385.11028799999997</v>
      </c>
      <c r="G44" s="15">
        <f t="shared" si="2"/>
        <v>1.24E-2</v>
      </c>
      <c r="H44" s="16" t="s">
        <v>372</v>
      </c>
      <c r="I44" s="108"/>
    </row>
    <row r="45" spans="1:9" ht="12.75" customHeight="1" x14ac:dyDescent="0.2">
      <c r="A45">
        <f>+MAX($A$8:A44)+1</f>
        <v>37</v>
      </c>
      <c r="B45" t="s">
        <v>493</v>
      </c>
      <c r="C45" t="s">
        <v>494</v>
      </c>
      <c r="D45" t="s">
        <v>43</v>
      </c>
      <c r="E45" s="29">
        <v>39500</v>
      </c>
      <c r="F45" s="14">
        <v>377.00774999999999</v>
      </c>
      <c r="G45" s="15">
        <f t="shared" si="2"/>
        <v>1.2200000000000001E-2</v>
      </c>
      <c r="H45" s="16" t="s">
        <v>372</v>
      </c>
      <c r="I45" s="108"/>
    </row>
    <row r="46" spans="1:9" ht="12.75" customHeight="1" x14ac:dyDescent="0.2">
      <c r="A46">
        <f>+MAX($A$8:A45)+1</f>
        <v>38</v>
      </c>
      <c r="B46" t="s">
        <v>206</v>
      </c>
      <c r="C46" t="s">
        <v>53</v>
      </c>
      <c r="D46" t="s">
        <v>19</v>
      </c>
      <c r="E46" s="29">
        <v>8912</v>
      </c>
      <c r="F46" s="14">
        <v>370.34707200000003</v>
      </c>
      <c r="G46" s="15">
        <f t="shared" si="2"/>
        <v>1.1900000000000001E-2</v>
      </c>
      <c r="H46" s="16" t="s">
        <v>372</v>
      </c>
      <c r="I46" s="108"/>
    </row>
    <row r="47" spans="1:9" ht="12.75" customHeight="1" x14ac:dyDescent="0.2">
      <c r="A47">
        <f>+MAX($A$8:A46)+1</f>
        <v>39</v>
      </c>
      <c r="B47" t="s">
        <v>242</v>
      </c>
      <c r="C47" t="s">
        <v>100</v>
      </c>
      <c r="D47" t="s">
        <v>21</v>
      </c>
      <c r="E47" s="29">
        <v>50625</v>
      </c>
      <c r="F47" s="14">
        <v>368.72718750000001</v>
      </c>
      <c r="G47" s="15">
        <f t="shared" si="2"/>
        <v>1.1900000000000001E-2</v>
      </c>
      <c r="H47" s="16" t="s">
        <v>372</v>
      </c>
      <c r="I47" s="108"/>
    </row>
    <row r="48" spans="1:9" ht="12.75" customHeight="1" x14ac:dyDescent="0.2">
      <c r="A48">
        <f>+MAX($A$8:A47)+1</f>
        <v>40</v>
      </c>
      <c r="B48" t="s">
        <v>495</v>
      </c>
      <c r="C48" t="s">
        <v>496</v>
      </c>
      <c r="D48" t="s">
        <v>24</v>
      </c>
      <c r="E48" s="29">
        <v>27011</v>
      </c>
      <c r="F48" s="14">
        <v>360.28622350000001</v>
      </c>
      <c r="G48" s="15">
        <f t="shared" si="2"/>
        <v>1.1599999999999999E-2</v>
      </c>
      <c r="H48" s="16" t="s">
        <v>372</v>
      </c>
      <c r="I48" s="108"/>
    </row>
    <row r="49" spans="1:9" ht="12.75" customHeight="1" x14ac:dyDescent="0.2">
      <c r="A49">
        <f>+MAX($A$8:A48)+1</f>
        <v>41</v>
      </c>
      <c r="B49" t="s">
        <v>204</v>
      </c>
      <c r="C49" t="s">
        <v>44</v>
      </c>
      <c r="D49" t="s">
        <v>24</v>
      </c>
      <c r="E49" s="29">
        <v>63140</v>
      </c>
      <c r="F49" s="14">
        <v>344.87067999999999</v>
      </c>
      <c r="G49" s="15">
        <f t="shared" si="2"/>
        <v>1.11E-2</v>
      </c>
      <c r="H49" s="16" t="s">
        <v>372</v>
      </c>
      <c r="I49" s="108"/>
    </row>
    <row r="50" spans="1:9" ht="12.75" customHeight="1" x14ac:dyDescent="0.2">
      <c r="A50">
        <f>+MAX($A$8:A49)+1</f>
        <v>42</v>
      </c>
      <c r="B50" t="s">
        <v>548</v>
      </c>
      <c r="C50" t="s">
        <v>549</v>
      </c>
      <c r="D50" t="s">
        <v>10</v>
      </c>
      <c r="E50" s="29">
        <v>556534</v>
      </c>
      <c r="F50" s="14">
        <v>333.36386600000003</v>
      </c>
      <c r="G50" s="15">
        <f t="shared" si="2"/>
        <v>1.0699999999999999E-2</v>
      </c>
      <c r="H50" s="16" t="s">
        <v>372</v>
      </c>
      <c r="I50" s="108"/>
    </row>
    <row r="51" spans="1:9" ht="12.75" customHeight="1" x14ac:dyDescent="0.2">
      <c r="A51">
        <f>+MAX($A$8:A50)+1</f>
        <v>43</v>
      </c>
      <c r="B51" t="s">
        <v>219</v>
      </c>
      <c r="C51" t="s">
        <v>29</v>
      </c>
      <c r="D51" t="s">
        <v>10</v>
      </c>
      <c r="E51" s="29">
        <v>62354</v>
      </c>
      <c r="F51" s="14">
        <v>329.696775</v>
      </c>
      <c r="G51" s="15">
        <f t="shared" si="2"/>
        <v>1.06E-2</v>
      </c>
      <c r="H51" s="16" t="s">
        <v>372</v>
      </c>
      <c r="I51" s="108"/>
    </row>
    <row r="52" spans="1:9" ht="12.75" customHeight="1" x14ac:dyDescent="0.2">
      <c r="A52">
        <f>+MAX($A$8:A51)+1</f>
        <v>44</v>
      </c>
      <c r="B52" t="s">
        <v>217</v>
      </c>
      <c r="C52" t="s">
        <v>61</v>
      </c>
      <c r="D52" t="s">
        <v>23</v>
      </c>
      <c r="E52" s="29">
        <v>53638</v>
      </c>
      <c r="F52" s="14">
        <v>329.283682</v>
      </c>
      <c r="G52" s="15">
        <f t="shared" si="2"/>
        <v>1.06E-2</v>
      </c>
      <c r="H52" s="16" t="s">
        <v>372</v>
      </c>
      <c r="I52" s="108"/>
    </row>
    <row r="53" spans="1:9" ht="12.75" customHeight="1" x14ac:dyDescent="0.2">
      <c r="A53">
        <f>+MAX($A$8:A52)+1</f>
        <v>45</v>
      </c>
      <c r="B53" t="s">
        <v>320</v>
      </c>
      <c r="C53" t="s">
        <v>72</v>
      </c>
      <c r="D53" t="s">
        <v>28</v>
      </c>
      <c r="E53" s="29">
        <v>934500</v>
      </c>
      <c r="F53" s="14">
        <v>316.7955</v>
      </c>
      <c r="G53" s="15">
        <f t="shared" si="2"/>
        <v>1.0200000000000001E-2</v>
      </c>
      <c r="H53" s="16" t="s">
        <v>372</v>
      </c>
      <c r="I53" s="108"/>
    </row>
    <row r="54" spans="1:9" ht="12.75" customHeight="1" x14ac:dyDescent="0.2">
      <c r="A54">
        <f>+MAX($A$8:A53)+1</f>
        <v>46</v>
      </c>
      <c r="B54" t="s">
        <v>165</v>
      </c>
      <c r="C54" t="s">
        <v>183</v>
      </c>
      <c r="D54" t="s">
        <v>10</v>
      </c>
      <c r="E54" s="29">
        <v>99372</v>
      </c>
      <c r="F54" s="14">
        <v>297.37070999999997</v>
      </c>
      <c r="G54" s="15">
        <f t="shared" si="2"/>
        <v>9.5999999999999992E-3</v>
      </c>
      <c r="H54" s="16" t="s">
        <v>372</v>
      </c>
      <c r="I54" s="108"/>
    </row>
    <row r="55" spans="1:9" ht="12.75" customHeight="1" x14ac:dyDescent="0.2">
      <c r="A55">
        <f>+MAX($A$8:A54)+1</f>
        <v>47</v>
      </c>
      <c r="B55" t="s">
        <v>546</v>
      </c>
      <c r="C55" t="s">
        <v>547</v>
      </c>
      <c r="D55" t="s">
        <v>45</v>
      </c>
      <c r="E55" s="29">
        <v>425975</v>
      </c>
      <c r="F55" s="14">
        <v>292.00586249999998</v>
      </c>
      <c r="G55" s="15">
        <f t="shared" si="2"/>
        <v>9.4000000000000004E-3</v>
      </c>
      <c r="H55" s="16" t="s">
        <v>372</v>
      </c>
      <c r="I55" s="108"/>
    </row>
    <row r="56" spans="1:9" ht="12.75" customHeight="1" x14ac:dyDescent="0.2">
      <c r="A56">
        <f>+MAX($A$8:A55)+1</f>
        <v>48</v>
      </c>
      <c r="B56" t="s">
        <v>216</v>
      </c>
      <c r="C56" t="s">
        <v>65</v>
      </c>
      <c r="D56" t="s">
        <v>34</v>
      </c>
      <c r="E56" s="29">
        <v>65027</v>
      </c>
      <c r="F56" s="14">
        <v>278.67320849999999</v>
      </c>
      <c r="G56" s="15">
        <f t="shared" si="2"/>
        <v>8.9999999999999993E-3</v>
      </c>
      <c r="H56" s="16" t="s">
        <v>372</v>
      </c>
      <c r="I56" s="108"/>
    </row>
    <row r="57" spans="1:9" ht="12.75" customHeight="1" x14ac:dyDescent="0.2">
      <c r="A57">
        <f>+MAX($A$8:A56)+1</f>
        <v>49</v>
      </c>
      <c r="B57" t="s">
        <v>40</v>
      </c>
      <c r="C57" t="s">
        <v>42</v>
      </c>
      <c r="D57" t="s">
        <v>10</v>
      </c>
      <c r="E57" s="29">
        <v>189657</v>
      </c>
      <c r="F57" s="14">
        <v>269.21811149999996</v>
      </c>
      <c r="G57" s="15">
        <f t="shared" si="2"/>
        <v>8.6999999999999994E-3</v>
      </c>
      <c r="H57" s="16" t="s">
        <v>372</v>
      </c>
      <c r="I57" s="108"/>
    </row>
    <row r="58" spans="1:9" ht="12.75" customHeight="1" x14ac:dyDescent="0.2">
      <c r="A58">
        <f>+MAX($A$8:A57)+1</f>
        <v>50</v>
      </c>
      <c r="B58" t="s">
        <v>225</v>
      </c>
      <c r="C58" t="s">
        <v>70</v>
      </c>
      <c r="D58" t="s">
        <v>10</v>
      </c>
      <c r="E58" s="29">
        <v>285366</v>
      </c>
      <c r="F58" s="14">
        <v>268.95745499999998</v>
      </c>
      <c r="G58" s="15">
        <f t="shared" si="2"/>
        <v>8.6999999999999994E-3</v>
      </c>
      <c r="H58" s="16" t="s">
        <v>372</v>
      </c>
      <c r="I58" s="108"/>
    </row>
    <row r="59" spans="1:9" ht="12.75" customHeight="1" x14ac:dyDescent="0.2">
      <c r="A59">
        <f>+MAX($A$8:A58)+1</f>
        <v>51</v>
      </c>
      <c r="B59" t="s">
        <v>604</v>
      </c>
      <c r="C59" t="s">
        <v>605</v>
      </c>
      <c r="D59" t="s">
        <v>10</v>
      </c>
      <c r="E59" s="29">
        <v>390048</v>
      </c>
      <c r="F59" s="14">
        <v>238.31932800000001</v>
      </c>
      <c r="G59" s="15">
        <f t="shared" si="2"/>
        <v>7.7000000000000002E-3</v>
      </c>
      <c r="H59" s="16" t="s">
        <v>372</v>
      </c>
      <c r="I59" s="108"/>
    </row>
    <row r="60" spans="1:9" ht="12.75" customHeight="1" x14ac:dyDescent="0.2">
      <c r="A60">
        <f>+MAX($A$8:A59)+1</f>
        <v>52</v>
      </c>
      <c r="B60" t="s">
        <v>458</v>
      </c>
      <c r="C60" s="122" t="s">
        <v>667</v>
      </c>
      <c r="D60" t="s">
        <v>38</v>
      </c>
      <c r="E60" s="29">
        <v>250</v>
      </c>
      <c r="F60" s="14">
        <v>0</v>
      </c>
      <c r="G60" s="109" t="s">
        <v>540</v>
      </c>
      <c r="H60" s="16" t="s">
        <v>372</v>
      </c>
      <c r="I60" s="108"/>
    </row>
    <row r="61" spans="1:9" ht="12.75" customHeight="1" x14ac:dyDescent="0.2">
      <c r="B61" s="19" t="s">
        <v>85</v>
      </c>
      <c r="C61" s="19"/>
      <c r="D61" s="19"/>
      <c r="E61" s="30"/>
      <c r="F61" s="20">
        <f>SUM(F9:F60)</f>
        <v>29007.147311999997</v>
      </c>
      <c r="G61" s="21">
        <f>SUM(G9:G60)</f>
        <v>0.93490000000000029</v>
      </c>
      <c r="H61" s="22"/>
      <c r="I61" s="50"/>
    </row>
    <row r="62" spans="1:9" ht="12.75" customHeight="1" x14ac:dyDescent="0.2">
      <c r="F62" s="87"/>
      <c r="G62" s="15"/>
      <c r="H62" s="16"/>
    </row>
    <row r="63" spans="1:9" ht="12.75" customHeight="1" x14ac:dyDescent="0.2">
      <c r="B63" s="17" t="s">
        <v>305</v>
      </c>
      <c r="C63" s="17"/>
      <c r="F63" s="14"/>
      <c r="G63" s="15"/>
      <c r="H63" s="16"/>
    </row>
    <row r="64" spans="1:9" ht="12.75" customHeight="1" x14ac:dyDescent="0.2">
      <c r="A64">
        <f>+MAX($A$8:A63)+1</f>
        <v>53</v>
      </c>
      <c r="B64" t="s">
        <v>290</v>
      </c>
      <c r="C64" t="s">
        <v>158</v>
      </c>
      <c r="D64" s="66" t="s">
        <v>346</v>
      </c>
      <c r="E64" s="29">
        <v>8600</v>
      </c>
      <c r="F64" s="14">
        <v>0</v>
      </c>
      <c r="G64" s="109" t="s">
        <v>540</v>
      </c>
      <c r="H64" s="16" t="s">
        <v>372</v>
      </c>
    </row>
    <row r="65" spans="1:9" ht="12.75" customHeight="1" x14ac:dyDescent="0.2">
      <c r="A65">
        <f>+MAX($A$8:A64)+1</f>
        <v>54</v>
      </c>
      <c r="B65" s="66" t="s">
        <v>240</v>
      </c>
      <c r="C65" s="66" t="s">
        <v>90</v>
      </c>
      <c r="D65" t="s">
        <v>429</v>
      </c>
      <c r="E65" s="29">
        <v>200000</v>
      </c>
      <c r="F65" s="14">
        <v>0</v>
      </c>
      <c r="G65" s="109" t="s">
        <v>540</v>
      </c>
      <c r="H65" s="16" t="s">
        <v>372</v>
      </c>
    </row>
    <row r="66" spans="1:9" ht="12.75" customHeight="1" x14ac:dyDescent="0.2">
      <c r="B66" s="19" t="s">
        <v>85</v>
      </c>
      <c r="C66" s="19"/>
      <c r="D66" s="19"/>
      <c r="E66" s="30"/>
      <c r="F66" s="20">
        <f>SUM(F64:F65)</f>
        <v>0</v>
      </c>
      <c r="G66" s="52" t="s">
        <v>540</v>
      </c>
      <c r="H66" s="22"/>
      <c r="I66" s="36"/>
    </row>
    <row r="67" spans="1:9" ht="12.75" customHeight="1" x14ac:dyDescent="0.2">
      <c r="F67" s="14"/>
      <c r="G67" s="15"/>
      <c r="H67" s="16"/>
    </row>
    <row r="68" spans="1:9" ht="12.75" customHeight="1" x14ac:dyDescent="0.2">
      <c r="A68" s="96" t="s">
        <v>371</v>
      </c>
      <c r="B68" s="17" t="s">
        <v>93</v>
      </c>
      <c r="C68" s="17"/>
      <c r="F68" s="14">
        <v>2284.68525</v>
      </c>
      <c r="G68" s="15">
        <f>+ROUND(F68/VLOOKUP("Grand Total",$B$4:$F$295,5,0),4)</f>
        <v>7.3599999999999999E-2</v>
      </c>
      <c r="H68" s="16">
        <v>43160</v>
      </c>
    </row>
    <row r="69" spans="1:9" ht="12.75" customHeight="1" x14ac:dyDescent="0.2">
      <c r="B69" s="19" t="s">
        <v>85</v>
      </c>
      <c r="C69" s="19"/>
      <c r="D69" s="19"/>
      <c r="E69" s="30"/>
      <c r="F69" s="20">
        <f>SUM(F68)</f>
        <v>2284.68525</v>
      </c>
      <c r="G69" s="21">
        <f>SUM(G68)</f>
        <v>7.3599999999999999E-2</v>
      </c>
      <c r="H69" s="22"/>
      <c r="I69" s="50"/>
    </row>
    <row r="70" spans="1:9" ht="12.75" customHeight="1" x14ac:dyDescent="0.2">
      <c r="F70" s="14"/>
      <c r="G70" s="15"/>
      <c r="H70" s="16"/>
    </row>
    <row r="71" spans="1:9" ht="12.75" customHeight="1" x14ac:dyDescent="0.2">
      <c r="B71" s="17" t="s">
        <v>94</v>
      </c>
      <c r="C71" s="17"/>
      <c r="F71" s="14"/>
      <c r="G71" s="15"/>
      <c r="H71" s="16"/>
    </row>
    <row r="72" spans="1:9" ht="12.75" customHeight="1" x14ac:dyDescent="0.2">
      <c r="B72" s="17" t="s">
        <v>95</v>
      </c>
      <c r="C72" s="17"/>
      <c r="F72" s="14">
        <v>-269.15990399999646</v>
      </c>
      <c r="G72" s="123">
        <f>+ROUND(F72/VLOOKUP("Grand Total",$B$4:$F$295,5,0),4)+0.02%</f>
        <v>-8.4999999999999989E-3</v>
      </c>
      <c r="H72" s="16"/>
    </row>
    <row r="73" spans="1:9" ht="12.75" customHeight="1" x14ac:dyDescent="0.2">
      <c r="B73" s="19" t="s">
        <v>85</v>
      </c>
      <c r="C73" s="19"/>
      <c r="D73" s="19"/>
      <c r="E73" s="30"/>
      <c r="F73" s="20">
        <f>SUM(F72)</f>
        <v>-269.15990399999646</v>
      </c>
      <c r="G73" s="124">
        <f>SUM(G72)</f>
        <v>-8.4999999999999989E-3</v>
      </c>
      <c r="H73" s="22"/>
      <c r="I73" s="50"/>
    </row>
    <row r="74" spans="1:9" ht="12.75" customHeight="1" x14ac:dyDescent="0.2">
      <c r="B74" s="23" t="s">
        <v>96</v>
      </c>
      <c r="C74" s="23"/>
      <c r="D74" s="23"/>
      <c r="E74" s="31"/>
      <c r="F74" s="24">
        <f>+SUMIF($B$5:B73,"Total",$F$5:F73)</f>
        <v>31022.672658</v>
      </c>
      <c r="G74" s="25">
        <f>+SUMIF($B$5:B73,"Total",$G$5:G73)</f>
        <v>1.0000000000000002</v>
      </c>
      <c r="H74" s="26"/>
      <c r="I74" s="36"/>
    </row>
    <row r="75" spans="1:9" ht="12.75" customHeight="1" x14ac:dyDescent="0.2"/>
    <row r="76" spans="1:9" ht="12.75" customHeight="1" x14ac:dyDescent="0.2">
      <c r="B76" s="17" t="s">
        <v>188</v>
      </c>
    </row>
    <row r="77" spans="1:9" ht="12.75" customHeight="1" x14ac:dyDescent="0.2">
      <c r="B77" s="17" t="s">
        <v>189</v>
      </c>
      <c r="C77" s="17"/>
    </row>
    <row r="78" spans="1:9" ht="12.75" customHeight="1" x14ac:dyDescent="0.2">
      <c r="B78" s="17" t="s">
        <v>190</v>
      </c>
      <c r="C78" s="17"/>
    </row>
    <row r="79" spans="1:9" ht="12.75" customHeight="1" x14ac:dyDescent="0.2">
      <c r="B79" s="17" t="s">
        <v>192</v>
      </c>
      <c r="C79" s="17"/>
    </row>
    <row r="80" spans="1:9" ht="12.75" customHeight="1" x14ac:dyDescent="0.2">
      <c r="B80" s="54"/>
      <c r="C80" s="17"/>
    </row>
    <row r="81" spans="2:3" ht="12.75" customHeight="1" x14ac:dyDescent="0.2">
      <c r="B81" s="17"/>
      <c r="C81" s="17"/>
    </row>
    <row r="82" spans="2:3" ht="12.75" customHeight="1" x14ac:dyDescent="0.2"/>
    <row r="83" spans="2:3" ht="12.75" customHeight="1" x14ac:dyDescent="0.2"/>
    <row r="84" spans="2:3" ht="12.75" customHeight="1" x14ac:dyDescent="0.2"/>
    <row r="85" spans="2:3" ht="12.75" customHeight="1" x14ac:dyDescent="0.2"/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spans="9:9" ht="12.75" customHeight="1" x14ac:dyDescent="0.2"/>
    <row r="98" spans="9:9" ht="12.75" customHeight="1" x14ac:dyDescent="0.2"/>
    <row r="99" spans="9:9" ht="12.75" customHeight="1" x14ac:dyDescent="0.2"/>
    <row r="100" spans="9:9" ht="12.75" customHeight="1" x14ac:dyDescent="0.2"/>
    <row r="101" spans="9:9" ht="12.75" customHeight="1" x14ac:dyDescent="0.2"/>
    <row r="102" spans="9:9" ht="12.75" customHeight="1" x14ac:dyDescent="0.2"/>
    <row r="103" spans="9:9" ht="12.75" customHeight="1" x14ac:dyDescent="0.2"/>
    <row r="104" spans="9:9" ht="12.75" customHeight="1" x14ac:dyDescent="0.2"/>
    <row r="105" spans="9:9" ht="12.75" customHeight="1" x14ac:dyDescent="0.2"/>
    <row r="106" spans="9:9" ht="12.75" customHeight="1" x14ac:dyDescent="0.2"/>
    <row r="107" spans="9:9" ht="12.75" customHeight="1" x14ac:dyDescent="0.2">
      <c r="I107" s="34" t="str">
        <f>IFERROR(IF(A107="CBLO",VLOOKUP($A$1&amp;A107,#REF!,23,0),IF(VLOOKUP($C107,#REF!,17,0)="","",VLOOKUP(C107,#REF!,17,0))),"")</f>
        <v/>
      </c>
    </row>
    <row r="108" spans="9:9" ht="12.75" customHeight="1" x14ac:dyDescent="0.2">
      <c r="I108" s="34" t="str">
        <f>IFERROR(IF(A108="CBLO",VLOOKUP($A$1&amp;A108,#REF!,23,0),IF(VLOOKUP($C108,#REF!,17,0)="","",VLOOKUP(C108,#REF!,17,0))),"")</f>
        <v/>
      </c>
    </row>
    <row r="109" spans="9:9" ht="12.75" customHeight="1" x14ac:dyDescent="0.2">
      <c r="I109" s="34" t="str">
        <f>IFERROR(IF(A109="CBLO",VLOOKUP($A$1&amp;A109,#REF!,23,0),IF(VLOOKUP($C109,#REF!,17,0)="","",VLOOKUP(C109,#REF!,17,0))),"")</f>
        <v/>
      </c>
    </row>
    <row r="110" spans="9:9" ht="12.75" customHeight="1" x14ac:dyDescent="0.2">
      <c r="I110" s="34" t="str">
        <f>IFERROR(IF(A110="CBLO",VLOOKUP($A$1&amp;A110,#REF!,23,0),IF(VLOOKUP($C110,#REF!,17,0)="","",VLOOKUP(C110,#REF!,17,0))),"")</f>
        <v/>
      </c>
    </row>
    <row r="111" spans="9:9" ht="12.75" customHeight="1" x14ac:dyDescent="0.2">
      <c r="I111" s="34" t="str">
        <f>IFERROR(IF(A111="CBLO",VLOOKUP($A$1&amp;A111,#REF!,23,0),IF(VLOOKUP($C111,#REF!,17,0)="","",VLOOKUP(C111,#REF!,17,0))),"")</f>
        <v/>
      </c>
    </row>
    <row r="112" spans="9:9" ht="12.75" customHeight="1" x14ac:dyDescent="0.2">
      <c r="I112" s="34" t="str">
        <f>IFERROR(IF(A112="CBLO",VLOOKUP($A$1&amp;A112,#REF!,23,0),IF(VLOOKUP($C112,#REF!,17,0)="","",VLOOKUP(C112,#REF!,17,0))),"")</f>
        <v/>
      </c>
    </row>
    <row r="113" spans="9:9" ht="12.75" customHeight="1" x14ac:dyDescent="0.2"/>
    <row r="114" spans="9:9" ht="12.75" customHeight="1" x14ac:dyDescent="0.2"/>
    <row r="115" spans="9:9" ht="12.75" customHeight="1" x14ac:dyDescent="0.2"/>
    <row r="116" spans="9:9" ht="12.75" customHeight="1" x14ac:dyDescent="0.2">
      <c r="I116" s="34" t="str">
        <f>IFERROR(IF(A116="CBLO",VLOOKUP($A$1&amp;A116,#REF!,23,0),IF(VLOOKUP($C116,#REF!,17,0)="","",VLOOKUP(C116,#REF!,17,0))),"")</f>
        <v/>
      </c>
    </row>
    <row r="117" spans="9:9" ht="12.75" customHeight="1" x14ac:dyDescent="0.2"/>
    <row r="118" spans="9:9" ht="12.75" customHeight="1" x14ac:dyDescent="0.2"/>
    <row r="119" spans="9:9" ht="12.75" customHeight="1" x14ac:dyDescent="0.2"/>
    <row r="120" spans="9:9" x14ac:dyDescent="0.2">
      <c r="I120" s="34" t="str">
        <f>IFERROR(IF(A120="CBLO",VLOOKUP($A$1&amp;A120,#REF!,23,0),IF(VLOOKUP($C120,#REF!,17,0)="","",VLOOKUP(C120,#REF!,17,0))),"")</f>
        <v/>
      </c>
    </row>
    <row r="121" spans="9:9" x14ac:dyDescent="0.2">
      <c r="I121" s="34" t="str">
        <f>IFERROR(IF(A121="CBLO",VLOOKUP($A$1&amp;A121,#REF!,23,0),IF(VLOOKUP($C121,#REF!,17,0)="","",VLOOKUP(C121,#REF!,17,0))),"")</f>
        <v/>
      </c>
    </row>
    <row r="126" spans="9:9" x14ac:dyDescent="0.2">
      <c r="I126" s="34" t="str">
        <f>IFERROR(IF(A126="CBLO",VLOOKUP($A$1&amp;A126,#REF!,23,0),IF(VLOOKUP($C126,#REF!,17,0)="","",VLOOKUP(C126,#REF!,17,0))),"")</f>
        <v/>
      </c>
    </row>
    <row r="127" spans="9:9" x14ac:dyDescent="0.2">
      <c r="I127" s="34" t="str">
        <f>IFERROR(IF(A127="CBLO",VLOOKUP($A$1&amp;A127,#REF!,23,0),IF(VLOOKUP($C127,#REF!,17,0)="","",VLOOKUP(C127,#REF!,17,0))),"")</f>
        <v/>
      </c>
    </row>
    <row r="131" spans="9:9" x14ac:dyDescent="0.2">
      <c r="I131" s="34" t="str">
        <f>IFERROR(IF(A131="CBLO",VLOOKUP($A$1&amp;A131,#REF!,23,0),IF(VLOOKUP($C131,#REF!,17,0)="","",VLOOKUP(C131,#REF!,17,0))),"")</f>
        <v/>
      </c>
    </row>
    <row r="135" spans="9:9" x14ac:dyDescent="0.2">
      <c r="I135" s="34" t="str">
        <f>IFERROR(IF(A135="CBLO",VLOOKUP($A$1&amp;A135,#REF!,23,0),IF(VLOOKUP($C135,#REF!,17,0)="","",VLOOKUP(C135,#REF!,17,0))),"")</f>
        <v/>
      </c>
    </row>
  </sheetData>
  <sheetProtection password="EDB3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6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4" customWidth="1"/>
    <col min="11" max="11" width="42.85546875" bestFit="1" customWidth="1"/>
    <col min="12" max="12" width="8" style="37" customWidth="1"/>
    <col min="14" max="14" width="23.7109375" bestFit="1" customWidth="1"/>
    <col min="18" max="18" width="16.7109375" bestFit="1" customWidth="1"/>
  </cols>
  <sheetData>
    <row r="1" spans="1:17" ht="18.75" x14ac:dyDescent="0.2">
      <c r="A1" s="95" t="s">
        <v>378</v>
      </c>
      <c r="B1" s="126" t="s">
        <v>159</v>
      </c>
      <c r="C1" s="127"/>
      <c r="D1" s="127"/>
      <c r="E1" s="127"/>
      <c r="F1" s="127"/>
      <c r="G1" s="127"/>
      <c r="H1" s="127"/>
      <c r="I1" s="128"/>
    </row>
    <row r="2" spans="1:17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  <c r="I2" s="7"/>
    </row>
    <row r="3" spans="1:17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17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125" t="s">
        <v>765</v>
      </c>
      <c r="I4" s="33" t="s">
        <v>7</v>
      </c>
      <c r="J4" s="35"/>
    </row>
    <row r="5" spans="1:17" ht="12.75" customHeight="1" x14ac:dyDescent="0.2">
      <c r="F5" s="14"/>
      <c r="G5" s="15"/>
      <c r="H5" s="15"/>
      <c r="I5" s="16"/>
    </row>
    <row r="6" spans="1:17" ht="12.75" customHeight="1" x14ac:dyDescent="0.2">
      <c r="F6" s="14"/>
      <c r="G6" s="15"/>
      <c r="H6" s="15"/>
      <c r="I6" s="16"/>
    </row>
    <row r="7" spans="1:17" ht="12.75" customHeight="1" x14ac:dyDescent="0.2">
      <c r="B7" s="17" t="s">
        <v>9</v>
      </c>
      <c r="C7" s="17"/>
      <c r="F7" s="14"/>
      <c r="G7" s="15"/>
      <c r="H7" s="15"/>
      <c r="I7" s="16"/>
    </row>
    <row r="8" spans="1:17" ht="12.75" customHeight="1" x14ac:dyDescent="0.2">
      <c r="B8" s="17" t="s">
        <v>407</v>
      </c>
      <c r="C8" s="17"/>
      <c r="F8" s="14"/>
      <c r="G8" s="15"/>
      <c r="H8" s="15"/>
      <c r="I8" s="61"/>
      <c r="K8" s="18" t="s">
        <v>699</v>
      </c>
      <c r="L8" s="103" t="s">
        <v>13</v>
      </c>
      <c r="Q8" s="66"/>
    </row>
    <row r="9" spans="1:17" s="66" customFormat="1" ht="12.75" customHeight="1" x14ac:dyDescent="0.2">
      <c r="A9" s="78">
        <f>+MAX($A$8:A8)+1</f>
        <v>1</v>
      </c>
      <c r="B9" s="78" t="s">
        <v>194</v>
      </c>
      <c r="C9" s="66" t="s">
        <v>14</v>
      </c>
      <c r="D9" s="78" t="s">
        <v>10</v>
      </c>
      <c r="E9" s="75">
        <v>11061</v>
      </c>
      <c r="F9" s="81">
        <v>208.411362</v>
      </c>
      <c r="G9" s="77">
        <f t="shared" ref="G9:G29" si="0">+ROUND(F9/VLOOKUP("Grand Total",$B$4:$F$291,5,0),4)</f>
        <v>1.2E-2</v>
      </c>
      <c r="H9" s="77"/>
      <c r="I9" s="92" t="s">
        <v>372</v>
      </c>
      <c r="J9" s="102"/>
      <c r="K9" s="15" t="s">
        <v>24</v>
      </c>
      <c r="L9" s="104">
        <f t="shared" ref="L9:L34" si="1">SUMIFS($G$5:$G$307,$D$5:$D$307,K9)</f>
        <v>0.10849999999999999</v>
      </c>
    </row>
    <row r="10" spans="1:17" s="66" customFormat="1" ht="12.75" customHeight="1" x14ac:dyDescent="0.2">
      <c r="A10" s="78">
        <f>+MAX($A$8:A9)+1</f>
        <v>2</v>
      </c>
      <c r="B10" s="78" t="s">
        <v>218</v>
      </c>
      <c r="C10" s="66" t="s">
        <v>20</v>
      </c>
      <c r="D10" s="78" t="s">
        <v>15</v>
      </c>
      <c r="E10" s="75">
        <v>6250</v>
      </c>
      <c r="F10" s="81">
        <v>189.69062500000001</v>
      </c>
      <c r="G10" s="77">
        <f t="shared" si="0"/>
        <v>1.09E-2</v>
      </c>
      <c r="H10" s="77"/>
      <c r="I10" s="92" t="s">
        <v>372</v>
      </c>
      <c r="J10" s="102"/>
      <c r="K10" s="66" t="s">
        <v>23</v>
      </c>
      <c r="L10" s="104">
        <f t="shared" si="1"/>
        <v>9.6299999999999997E-2</v>
      </c>
    </row>
    <row r="11" spans="1:17" s="66" customFormat="1" ht="12.75" customHeight="1" x14ac:dyDescent="0.2">
      <c r="A11" s="78">
        <f>+MAX($A$8:A10)+1</f>
        <v>3</v>
      </c>
      <c r="B11" s="78" t="s">
        <v>195</v>
      </c>
      <c r="C11" s="66" t="s">
        <v>16</v>
      </c>
      <c r="D11" s="78" t="s">
        <v>15</v>
      </c>
      <c r="E11" s="75">
        <v>15420</v>
      </c>
      <c r="F11" s="81">
        <v>180.81492</v>
      </c>
      <c r="G11" s="77">
        <f t="shared" si="0"/>
        <v>1.04E-2</v>
      </c>
      <c r="H11" s="77"/>
      <c r="I11" s="92" t="s">
        <v>372</v>
      </c>
      <c r="J11" s="102"/>
      <c r="K11" s="15" t="s">
        <v>21</v>
      </c>
      <c r="L11" s="104">
        <f t="shared" si="1"/>
        <v>8.3699999999999997E-2</v>
      </c>
    </row>
    <row r="12" spans="1:17" s="66" customFormat="1" ht="12.75" customHeight="1" x14ac:dyDescent="0.2">
      <c r="A12" s="78">
        <f>+MAX($A$8:A11)+1</f>
        <v>4</v>
      </c>
      <c r="B12" s="78" t="s">
        <v>233</v>
      </c>
      <c r="C12" s="66" t="s">
        <v>78</v>
      </c>
      <c r="D12" s="78" t="s">
        <v>26</v>
      </c>
      <c r="E12" s="75">
        <v>5265</v>
      </c>
      <c r="F12" s="81">
        <v>173.3211675</v>
      </c>
      <c r="G12" s="77">
        <f t="shared" si="0"/>
        <v>0.01</v>
      </c>
      <c r="H12" s="77"/>
      <c r="I12" s="92" t="s">
        <v>372</v>
      </c>
      <c r="J12" s="102"/>
      <c r="K12" s="15" t="s">
        <v>30</v>
      </c>
      <c r="L12" s="104">
        <f t="shared" si="1"/>
        <v>7.9799999999999996E-2</v>
      </c>
    </row>
    <row r="13" spans="1:17" s="66" customFormat="1" ht="12.75" customHeight="1" x14ac:dyDescent="0.2">
      <c r="A13" s="78">
        <f>+MAX($A$8:A12)+1</f>
        <v>5</v>
      </c>
      <c r="B13" s="78" t="s">
        <v>205</v>
      </c>
      <c r="C13" s="66" t="s">
        <v>48</v>
      </c>
      <c r="D13" s="78" t="s">
        <v>26</v>
      </c>
      <c r="E13" s="75">
        <v>3358</v>
      </c>
      <c r="F13" s="81">
        <v>167.70691500000001</v>
      </c>
      <c r="G13" s="77">
        <f t="shared" si="0"/>
        <v>9.7000000000000003E-3</v>
      </c>
      <c r="H13" s="77"/>
      <c r="I13" s="92" t="s">
        <v>372</v>
      </c>
      <c r="J13" s="102"/>
      <c r="K13" s="91" t="s">
        <v>10</v>
      </c>
      <c r="L13" s="104">
        <f t="shared" si="1"/>
        <v>5.5199999999999999E-2</v>
      </c>
    </row>
    <row r="14" spans="1:17" s="66" customFormat="1" ht="12.75" customHeight="1" x14ac:dyDescent="0.2">
      <c r="A14" s="78">
        <f>+MAX($A$8:A13)+1</f>
        <v>6</v>
      </c>
      <c r="B14" s="78" t="s">
        <v>252</v>
      </c>
      <c r="C14" s="66" t="s">
        <v>115</v>
      </c>
      <c r="D14" s="78" t="s">
        <v>36</v>
      </c>
      <c r="E14" s="75">
        <v>102600</v>
      </c>
      <c r="F14" s="81">
        <v>167.49449999999999</v>
      </c>
      <c r="G14" s="77">
        <f t="shared" si="0"/>
        <v>9.7000000000000003E-3</v>
      </c>
      <c r="H14" s="77"/>
      <c r="I14" s="92" t="s">
        <v>372</v>
      </c>
      <c r="J14" s="102"/>
      <c r="K14" s="91" t="s">
        <v>26</v>
      </c>
      <c r="L14" s="104">
        <f t="shared" si="1"/>
        <v>5.2299999999999999E-2</v>
      </c>
    </row>
    <row r="15" spans="1:17" s="66" customFormat="1" ht="12.75" customHeight="1" x14ac:dyDescent="0.2">
      <c r="A15" s="78">
        <f>+MAX($A$8:A14)+1</f>
        <v>7</v>
      </c>
      <c r="B15" s="78" t="s">
        <v>197</v>
      </c>
      <c r="C15" s="66" t="s">
        <v>11</v>
      </c>
      <c r="D15" s="78" t="s">
        <v>10</v>
      </c>
      <c r="E15" s="75">
        <v>53190</v>
      </c>
      <c r="F15" s="81">
        <v>166.61767499999999</v>
      </c>
      <c r="G15" s="77">
        <f t="shared" si="0"/>
        <v>9.5999999999999992E-3</v>
      </c>
      <c r="H15" s="77"/>
      <c r="I15" s="92" t="s">
        <v>372</v>
      </c>
      <c r="J15" s="102"/>
      <c r="K15" s="15" t="s">
        <v>291</v>
      </c>
      <c r="L15" s="104">
        <f t="shared" si="1"/>
        <v>4.5700000000000005E-2</v>
      </c>
    </row>
    <row r="16" spans="1:17" s="66" customFormat="1" ht="12.75" customHeight="1" x14ac:dyDescent="0.2">
      <c r="A16" s="78">
        <f>+MAX($A$8:A15)+1</f>
        <v>8</v>
      </c>
      <c r="B16" s="78" t="s">
        <v>249</v>
      </c>
      <c r="C16" s="66" t="s">
        <v>114</v>
      </c>
      <c r="D16" s="78" t="s">
        <v>36</v>
      </c>
      <c r="E16" s="75">
        <v>84086</v>
      </c>
      <c r="F16" s="81">
        <v>166.238022</v>
      </c>
      <c r="G16" s="77">
        <f t="shared" si="0"/>
        <v>9.5999999999999992E-3</v>
      </c>
      <c r="H16" s="77"/>
      <c r="I16" s="92" t="s">
        <v>372</v>
      </c>
      <c r="J16" s="102"/>
      <c r="K16" s="15" t="s">
        <v>45</v>
      </c>
      <c r="L16" s="104">
        <f t="shared" si="1"/>
        <v>4.4600000000000001E-2</v>
      </c>
    </row>
    <row r="17" spans="1:14" s="66" customFormat="1" ht="12.75" customHeight="1" x14ac:dyDescent="0.2">
      <c r="A17" s="78">
        <f>+MAX($A$8:A16)+1</f>
        <v>9</v>
      </c>
      <c r="B17" s="78" t="s">
        <v>580</v>
      </c>
      <c r="C17" s="66" t="s">
        <v>581</v>
      </c>
      <c r="D17" s="78" t="s">
        <v>26</v>
      </c>
      <c r="E17" s="75">
        <v>2482</v>
      </c>
      <c r="F17" s="81">
        <v>166.21705800000001</v>
      </c>
      <c r="G17" s="77">
        <f t="shared" si="0"/>
        <v>9.5999999999999992E-3</v>
      </c>
      <c r="H17" s="77"/>
      <c r="I17" s="92" t="s">
        <v>372</v>
      </c>
      <c r="J17" s="102"/>
      <c r="K17" s="91" t="s">
        <v>36</v>
      </c>
      <c r="L17" s="104">
        <f t="shared" si="1"/>
        <v>4.2299999999999997E-2</v>
      </c>
    </row>
    <row r="18" spans="1:14" s="66" customFormat="1" ht="12.75" customHeight="1" x14ac:dyDescent="0.2">
      <c r="A18" s="78">
        <f>+MAX($A$8:A17)+1</f>
        <v>10</v>
      </c>
      <c r="B18" s="78" t="s">
        <v>203</v>
      </c>
      <c r="C18" s="66" t="s">
        <v>46</v>
      </c>
      <c r="D18" s="78" t="s">
        <v>26</v>
      </c>
      <c r="E18" s="75">
        <v>62355</v>
      </c>
      <c r="F18" s="81">
        <v>165.2719275</v>
      </c>
      <c r="G18" s="77">
        <f t="shared" si="0"/>
        <v>9.4999999999999998E-3</v>
      </c>
      <c r="H18" s="77"/>
      <c r="I18" s="92" t="s">
        <v>372</v>
      </c>
      <c r="J18" s="102"/>
      <c r="K18" s="15" t="s">
        <v>571</v>
      </c>
      <c r="L18" s="104">
        <f t="shared" si="1"/>
        <v>3.8800000000000001E-2</v>
      </c>
    </row>
    <row r="19" spans="1:14" s="66" customFormat="1" ht="12.75" customHeight="1" x14ac:dyDescent="0.2">
      <c r="A19" s="78">
        <f>+MAX($A$8:A18)+1</f>
        <v>11</v>
      </c>
      <c r="B19" s="78" t="s">
        <v>250</v>
      </c>
      <c r="C19" s="66" t="s">
        <v>112</v>
      </c>
      <c r="D19" s="78" t="s">
        <v>21</v>
      </c>
      <c r="E19" s="75">
        <v>4421</v>
      </c>
      <c r="F19" s="81">
        <v>159.010107</v>
      </c>
      <c r="G19" s="77">
        <f t="shared" si="0"/>
        <v>9.1999999999999998E-3</v>
      </c>
      <c r="H19" s="77"/>
      <c r="I19" s="92" t="s">
        <v>372</v>
      </c>
      <c r="J19" s="102"/>
      <c r="K19" s="91" t="s">
        <v>15</v>
      </c>
      <c r="L19" s="104">
        <f t="shared" si="1"/>
        <v>3.5400000000000001E-2</v>
      </c>
    </row>
    <row r="20" spans="1:14" s="66" customFormat="1" ht="12.75" customHeight="1" x14ac:dyDescent="0.2">
      <c r="A20" s="78">
        <f>+MAX($A$8:A19)+1</f>
        <v>12</v>
      </c>
      <c r="B20" s="78" t="s">
        <v>227</v>
      </c>
      <c r="C20" s="66" t="s">
        <v>71</v>
      </c>
      <c r="D20" s="78" t="s">
        <v>28</v>
      </c>
      <c r="E20" s="75">
        <v>11914</v>
      </c>
      <c r="F20" s="81">
        <v>157.04439099999999</v>
      </c>
      <c r="G20" s="77">
        <f t="shared" si="0"/>
        <v>9.1000000000000004E-3</v>
      </c>
      <c r="H20" s="77"/>
      <c r="I20" s="92" t="s">
        <v>372</v>
      </c>
      <c r="J20" s="102"/>
      <c r="K20" s="15" t="s">
        <v>19</v>
      </c>
      <c r="L20" s="104">
        <f t="shared" si="1"/>
        <v>3.1699999999999999E-2</v>
      </c>
    </row>
    <row r="21" spans="1:14" s="66" customFormat="1" ht="12.75" customHeight="1" x14ac:dyDescent="0.2">
      <c r="A21" s="78">
        <f>+MAX($A$8:A20)+1</f>
        <v>13</v>
      </c>
      <c r="B21" s="78" t="s">
        <v>578</v>
      </c>
      <c r="C21" s="66" t="s">
        <v>579</v>
      </c>
      <c r="D21" s="78" t="s">
        <v>36</v>
      </c>
      <c r="E21" s="75">
        <v>185760</v>
      </c>
      <c r="F21" s="81">
        <v>156.96719999999999</v>
      </c>
      <c r="G21" s="77">
        <f t="shared" si="0"/>
        <v>9.1000000000000004E-3</v>
      </c>
      <c r="H21" s="77"/>
      <c r="I21" s="92" t="s">
        <v>372</v>
      </c>
      <c r="J21" s="102"/>
      <c r="K21" s="15" t="s">
        <v>560</v>
      </c>
      <c r="L21" s="104">
        <f t="shared" si="1"/>
        <v>2.81E-2</v>
      </c>
    </row>
    <row r="22" spans="1:14" s="66" customFormat="1" ht="12.75" customHeight="1" x14ac:dyDescent="0.2">
      <c r="A22" s="78">
        <f>+MAX($A$8:A21)+1</f>
        <v>14</v>
      </c>
      <c r="B22" s="78" t="s">
        <v>200</v>
      </c>
      <c r="C22" s="66" t="s">
        <v>27</v>
      </c>
      <c r="D22" s="78" t="s">
        <v>24</v>
      </c>
      <c r="E22" s="75">
        <v>8609</v>
      </c>
      <c r="F22" s="81">
        <v>155.710983</v>
      </c>
      <c r="G22" s="77">
        <f t="shared" si="0"/>
        <v>8.9999999999999993E-3</v>
      </c>
      <c r="H22" s="77"/>
      <c r="I22" s="92" t="s">
        <v>372</v>
      </c>
      <c r="J22" s="102"/>
      <c r="K22" s="15" t="s">
        <v>449</v>
      </c>
      <c r="L22" s="104">
        <f t="shared" si="1"/>
        <v>2.29E-2</v>
      </c>
    </row>
    <row r="23" spans="1:14" s="66" customFormat="1" ht="12.75" customHeight="1" x14ac:dyDescent="0.2">
      <c r="A23" s="78">
        <f>+MAX($A$8:A22)+1</f>
        <v>15</v>
      </c>
      <c r="B23" s="78" t="s">
        <v>199</v>
      </c>
      <c r="C23" s="66" t="s">
        <v>25</v>
      </c>
      <c r="D23" s="78" t="s">
        <v>15</v>
      </c>
      <c r="E23" s="75">
        <v>16555</v>
      </c>
      <c r="F23" s="81">
        <v>155.66666499999999</v>
      </c>
      <c r="G23" s="77">
        <f t="shared" si="0"/>
        <v>8.9999999999999993E-3</v>
      </c>
      <c r="H23" s="77"/>
      <c r="I23" s="92" t="s">
        <v>372</v>
      </c>
      <c r="J23" s="102"/>
      <c r="K23" s="66" t="s">
        <v>321</v>
      </c>
      <c r="L23" s="104">
        <f t="shared" si="1"/>
        <v>1.9599999999999999E-2</v>
      </c>
    </row>
    <row r="24" spans="1:14" s="66" customFormat="1" ht="12.75" customHeight="1" x14ac:dyDescent="0.2">
      <c r="A24" s="78">
        <f>+MAX($A$8:A23)+1</f>
        <v>16</v>
      </c>
      <c r="B24" s="78" t="s">
        <v>230</v>
      </c>
      <c r="C24" s="66" t="s">
        <v>79</v>
      </c>
      <c r="D24" s="78" t="s">
        <v>51</v>
      </c>
      <c r="E24" s="75">
        <v>50067</v>
      </c>
      <c r="F24" s="81">
        <v>154.78213049999999</v>
      </c>
      <c r="G24" s="77">
        <f t="shared" si="0"/>
        <v>8.8999999999999999E-3</v>
      </c>
      <c r="H24" s="77"/>
      <c r="I24" s="92" t="s">
        <v>372</v>
      </c>
      <c r="J24" s="102"/>
      <c r="K24" s="15" t="s">
        <v>532</v>
      </c>
      <c r="L24" s="104">
        <f t="shared" si="1"/>
        <v>1.9099999999999999E-2</v>
      </c>
    </row>
    <row r="25" spans="1:14" s="66" customFormat="1" ht="12.75" customHeight="1" x14ac:dyDescent="0.2">
      <c r="A25" s="78">
        <f>+MAX($A$8:A24)+1</f>
        <v>17</v>
      </c>
      <c r="B25" s="78" t="s">
        <v>214</v>
      </c>
      <c r="C25" s="66" t="s">
        <v>98</v>
      </c>
      <c r="D25" s="78" t="s">
        <v>10</v>
      </c>
      <c r="E25" s="75">
        <v>13697</v>
      </c>
      <c r="F25" s="81">
        <v>149.37263350000001</v>
      </c>
      <c r="G25" s="77">
        <f t="shared" si="0"/>
        <v>8.6E-3</v>
      </c>
      <c r="H25" s="77"/>
      <c r="I25" s="92" t="s">
        <v>372</v>
      </c>
      <c r="J25" s="102"/>
      <c r="K25" s="66" t="s">
        <v>364</v>
      </c>
      <c r="L25" s="104">
        <f t="shared" si="1"/>
        <v>1.8499999999999999E-2</v>
      </c>
    </row>
    <row r="26" spans="1:14" s="66" customFormat="1" ht="12.75" customHeight="1" x14ac:dyDescent="0.2">
      <c r="A26" s="78">
        <f>+MAX($A$8:A25)+1</f>
        <v>18</v>
      </c>
      <c r="B26" s="78" t="s">
        <v>242</v>
      </c>
      <c r="C26" s="66" t="s">
        <v>100</v>
      </c>
      <c r="D26" s="78" t="s">
        <v>21</v>
      </c>
      <c r="E26" s="75">
        <v>20503</v>
      </c>
      <c r="F26" s="81">
        <v>149.33360050000002</v>
      </c>
      <c r="G26" s="77">
        <f t="shared" si="0"/>
        <v>8.6E-3</v>
      </c>
      <c r="H26" s="77"/>
      <c r="I26" s="92" t="s">
        <v>372</v>
      </c>
      <c r="J26" s="102"/>
      <c r="K26" t="s">
        <v>174</v>
      </c>
      <c r="L26" s="104">
        <f t="shared" si="1"/>
        <v>1.7299999999999999E-2</v>
      </c>
    </row>
    <row r="27" spans="1:14" s="66" customFormat="1" ht="12.75" customHeight="1" x14ac:dyDescent="0.2">
      <c r="A27" s="78">
        <f>+MAX($A$8:A26)+1</f>
        <v>19</v>
      </c>
      <c r="B27" s="78" t="s">
        <v>196</v>
      </c>
      <c r="C27" s="78" t="s">
        <v>31</v>
      </c>
      <c r="D27" s="78" t="s">
        <v>30</v>
      </c>
      <c r="E27" s="75">
        <v>15417</v>
      </c>
      <c r="F27" s="81">
        <v>147.16297349999999</v>
      </c>
      <c r="G27" s="77">
        <f t="shared" si="0"/>
        <v>8.5000000000000006E-3</v>
      </c>
      <c r="H27" s="77"/>
      <c r="I27" s="92" t="s">
        <v>372</v>
      </c>
      <c r="J27" s="102"/>
      <c r="K27" t="s">
        <v>293</v>
      </c>
      <c r="L27" s="104">
        <f t="shared" si="1"/>
        <v>1.72E-2</v>
      </c>
    </row>
    <row r="28" spans="1:14" s="66" customFormat="1" ht="12.75" customHeight="1" x14ac:dyDescent="0.2">
      <c r="A28" s="78">
        <f>+MAX($A$8:A27)+1</f>
        <v>20</v>
      </c>
      <c r="B28" s="78" t="s">
        <v>241</v>
      </c>
      <c r="C28" s="66" t="s">
        <v>101</v>
      </c>
      <c r="D28" s="78" t="s">
        <v>26</v>
      </c>
      <c r="E28" s="75">
        <v>11089</v>
      </c>
      <c r="F28" s="81">
        <v>146.12529749999999</v>
      </c>
      <c r="G28" s="77">
        <f t="shared" si="0"/>
        <v>8.3999999999999995E-3</v>
      </c>
      <c r="H28" s="77"/>
      <c r="I28" s="92" t="s">
        <v>372</v>
      </c>
      <c r="J28" s="102"/>
      <c r="K28" s="15" t="s">
        <v>178</v>
      </c>
      <c r="L28" s="104">
        <f t="shared" si="1"/>
        <v>1.55E-2</v>
      </c>
    </row>
    <row r="29" spans="1:14" s="66" customFormat="1" ht="12.75" customHeight="1" x14ac:dyDescent="0.2">
      <c r="A29" s="78">
        <f>+MAX($A$8:A28)+1</f>
        <v>21</v>
      </c>
      <c r="B29" s="78" t="s">
        <v>430</v>
      </c>
      <c r="C29" s="66" t="s">
        <v>68</v>
      </c>
      <c r="D29" s="78" t="s">
        <v>23</v>
      </c>
      <c r="E29" s="75">
        <v>14172</v>
      </c>
      <c r="F29" s="81">
        <v>75.869802000000007</v>
      </c>
      <c r="G29" s="77">
        <f t="shared" si="0"/>
        <v>4.4000000000000003E-3</v>
      </c>
      <c r="H29" s="77"/>
      <c r="I29" s="92" t="s">
        <v>372</v>
      </c>
      <c r="J29" s="102"/>
      <c r="K29" s="15" t="s">
        <v>28</v>
      </c>
      <c r="L29" s="104">
        <f t="shared" si="1"/>
        <v>9.1000000000000004E-3</v>
      </c>
    </row>
    <row r="30" spans="1:14" ht="12.75" customHeight="1" x14ac:dyDescent="0.2">
      <c r="B30" s="19" t="s">
        <v>85</v>
      </c>
      <c r="C30" s="19"/>
      <c r="D30" s="19"/>
      <c r="E30" s="20"/>
      <c r="F30" s="20">
        <f>SUM(F9:F29)</f>
        <v>3358.8299555000012</v>
      </c>
      <c r="G30" s="21">
        <f>SUM(G9:G29)</f>
        <v>0.19379999999999997</v>
      </c>
      <c r="H30" s="21"/>
      <c r="I30" s="22"/>
      <c r="K30" s="66" t="s">
        <v>51</v>
      </c>
      <c r="L30" s="104">
        <f t="shared" si="1"/>
        <v>8.8999999999999999E-3</v>
      </c>
    </row>
    <row r="31" spans="1:14" ht="12.75" customHeight="1" x14ac:dyDescent="0.2">
      <c r="F31" s="45"/>
      <c r="G31" s="15"/>
      <c r="H31" s="15"/>
      <c r="I31" s="16"/>
      <c r="K31" s="91" t="s">
        <v>108</v>
      </c>
      <c r="L31" s="104">
        <f t="shared" si="1"/>
        <v>5.8999999999999999E-3</v>
      </c>
    </row>
    <row r="32" spans="1:14" s="66" customFormat="1" ht="12.75" customHeight="1" x14ac:dyDescent="0.2">
      <c r="A32"/>
      <c r="B32" s="17" t="s">
        <v>731</v>
      </c>
      <c r="C32" s="17"/>
      <c r="D32"/>
      <c r="E32" s="39"/>
      <c r="F32" s="45"/>
      <c r="G32" s="46"/>
      <c r="H32" s="46"/>
      <c r="I32" s="48"/>
      <c r="J32" s="78"/>
      <c r="K32" s="15" t="s">
        <v>404</v>
      </c>
      <c r="L32" s="104">
        <f t="shared" si="1"/>
        <v>4.7999999999999996E-3</v>
      </c>
      <c r="N32" s="76"/>
    </row>
    <row r="33" spans="1:12" s="66" customFormat="1" ht="12.75" customHeight="1" x14ac:dyDescent="0.2">
      <c r="A33" s="78">
        <f>+MAX($A$8:A32)+1</f>
        <v>22</v>
      </c>
      <c r="B33" s="78" t="s">
        <v>204</v>
      </c>
      <c r="C33" s="66" t="s">
        <v>44</v>
      </c>
      <c r="D33" s="78" t="s">
        <v>24</v>
      </c>
      <c r="E33" s="75">
        <v>237000</v>
      </c>
      <c r="F33" s="81">
        <v>1294.4939999999999</v>
      </c>
      <c r="G33" s="77">
        <f>+ROUND(F33/VLOOKUP("Grand Total",$B$4:$F$291,5,0),4)</f>
        <v>7.46E-2</v>
      </c>
      <c r="H33" s="77"/>
      <c r="I33" s="92" t="s">
        <v>372</v>
      </c>
      <c r="J33" s="102"/>
      <c r="K33" s="15" t="s">
        <v>37</v>
      </c>
      <c r="L33" s="104">
        <f t="shared" si="1"/>
        <v>2.0999999999999999E-3</v>
      </c>
    </row>
    <row r="34" spans="1:12" s="66" customFormat="1" ht="12.75" customHeight="1" x14ac:dyDescent="0.2">
      <c r="A34" s="78">
        <f>+A33+1</f>
        <v>23</v>
      </c>
      <c r="B34" s="78" t="s">
        <v>204</v>
      </c>
      <c r="C34" s="122" t="s">
        <v>667</v>
      </c>
      <c r="D34" s="78" t="s">
        <v>324</v>
      </c>
      <c r="E34" s="75">
        <v>-237000</v>
      </c>
      <c r="F34" s="81">
        <v>-1301.4855</v>
      </c>
      <c r="G34" s="77"/>
      <c r="H34" s="77">
        <f>+ROUND(F34/VLOOKUP("Grand Total",$B$4:$F$291,5,0),4)</f>
        <v>-7.4999999999999997E-2</v>
      </c>
      <c r="I34" s="105">
        <v>43187</v>
      </c>
      <c r="J34" s="102"/>
      <c r="K34" s="91" t="s">
        <v>324</v>
      </c>
      <c r="L34" s="104">
        <f t="shared" si="1"/>
        <v>0</v>
      </c>
    </row>
    <row r="35" spans="1:12" s="66" customFormat="1" ht="12.75" customHeight="1" x14ac:dyDescent="0.2">
      <c r="A35" s="78">
        <f t="shared" ref="A35:A72" si="2">+A34+1</f>
        <v>24</v>
      </c>
      <c r="B35" s="78" t="s">
        <v>196</v>
      </c>
      <c r="C35" s="78" t="s">
        <v>31</v>
      </c>
      <c r="D35" s="78" t="s">
        <v>30</v>
      </c>
      <c r="E35" s="75">
        <v>113000</v>
      </c>
      <c r="F35" s="81">
        <v>1078.6415</v>
      </c>
      <c r="G35" s="77">
        <f>+ROUND(F35/VLOOKUP("Grand Total",$B$4:$F$291,5,0),4)</f>
        <v>6.2199999999999998E-2</v>
      </c>
      <c r="H35" s="77"/>
      <c r="I35" s="92" t="s">
        <v>372</v>
      </c>
      <c r="J35" s="102"/>
      <c r="K35" s="15" t="s">
        <v>64</v>
      </c>
      <c r="L35" s="49">
        <f>+SUMIFS($G$5:$G$996,$B$5:$B$996,"CBLO / Reverse Repo Investments")+SUMIFS($G$5:$G$996,$B$5:$B$996,"Net Receivable/Payable")</f>
        <v>9.6699999999999994E-2</v>
      </c>
    </row>
    <row r="36" spans="1:12" s="66" customFormat="1" ht="12.75" customHeight="1" x14ac:dyDescent="0.2">
      <c r="A36" s="78">
        <f t="shared" si="2"/>
        <v>25</v>
      </c>
      <c r="B36" s="78" t="s">
        <v>196</v>
      </c>
      <c r="C36" s="122" t="s">
        <v>667</v>
      </c>
      <c r="D36" s="78" t="s">
        <v>324</v>
      </c>
      <c r="E36" s="75">
        <v>-113000</v>
      </c>
      <c r="F36" s="81">
        <v>-1079.828</v>
      </c>
      <c r="G36" s="77"/>
      <c r="H36" s="77">
        <f>+ROUND(F36/VLOOKUP("Grand Total",$B$4:$F$291,5,0),4)</f>
        <v>-6.2300000000000001E-2</v>
      </c>
      <c r="I36" s="105">
        <v>43187</v>
      </c>
      <c r="J36" s="102"/>
      <c r="L36" s="104"/>
    </row>
    <row r="37" spans="1:12" s="66" customFormat="1" ht="12.75" customHeight="1" x14ac:dyDescent="0.2">
      <c r="A37" s="78">
        <f t="shared" si="2"/>
        <v>26</v>
      </c>
      <c r="B37" s="78" t="s">
        <v>217</v>
      </c>
      <c r="C37" s="66" t="s">
        <v>61</v>
      </c>
      <c r="D37" s="78" t="s">
        <v>23</v>
      </c>
      <c r="E37" s="75">
        <v>174400</v>
      </c>
      <c r="F37" s="81">
        <v>1070.6415999999999</v>
      </c>
      <c r="G37" s="77">
        <f>+ROUND(F37/VLOOKUP("Grand Total",$B$4:$F$291,5,0),4)</f>
        <v>6.1699999999999998E-2</v>
      </c>
      <c r="H37" s="77"/>
      <c r="I37" s="92" t="s">
        <v>372</v>
      </c>
      <c r="J37" s="102"/>
      <c r="K37" s="91"/>
      <c r="L37" s="104"/>
    </row>
    <row r="38" spans="1:12" s="66" customFormat="1" ht="12.75" customHeight="1" x14ac:dyDescent="0.2">
      <c r="A38" s="78">
        <f t="shared" si="2"/>
        <v>27</v>
      </c>
      <c r="B38" s="78" t="s">
        <v>217</v>
      </c>
      <c r="C38" s="122" t="s">
        <v>667</v>
      </c>
      <c r="D38" s="78" t="s">
        <v>324</v>
      </c>
      <c r="E38" s="75">
        <v>-174400</v>
      </c>
      <c r="F38" s="81">
        <v>-1074.4784</v>
      </c>
      <c r="G38" s="77"/>
      <c r="H38" s="77">
        <f>+ROUND(F38/VLOOKUP("Grand Total",$B$4:$F$291,5,0),4)</f>
        <v>-6.2E-2</v>
      </c>
      <c r="I38" s="105">
        <v>43187</v>
      </c>
      <c r="J38" s="102"/>
      <c r="L38" s="104"/>
    </row>
    <row r="39" spans="1:12" s="66" customFormat="1" ht="12.75" customHeight="1" x14ac:dyDescent="0.2">
      <c r="A39" s="78">
        <f t="shared" si="2"/>
        <v>28</v>
      </c>
      <c r="B39" s="78" t="s">
        <v>262</v>
      </c>
      <c r="C39" s="66" t="s">
        <v>124</v>
      </c>
      <c r="D39" s="78" t="s">
        <v>45</v>
      </c>
      <c r="E39" s="75">
        <v>315000</v>
      </c>
      <c r="F39" s="81">
        <v>773.01</v>
      </c>
      <c r="G39" s="77">
        <f>+ROUND(F39/VLOOKUP("Grand Total",$B$4:$F$291,5,0),4)</f>
        <v>4.4600000000000001E-2</v>
      </c>
      <c r="H39" s="77"/>
      <c r="I39" s="92" t="s">
        <v>372</v>
      </c>
      <c r="J39" s="102"/>
      <c r="K39" s="91"/>
      <c r="L39" s="104"/>
    </row>
    <row r="40" spans="1:12" s="66" customFormat="1" ht="12.75" customHeight="1" x14ac:dyDescent="0.2">
      <c r="A40" s="78">
        <f t="shared" si="2"/>
        <v>29</v>
      </c>
      <c r="B40" s="78" t="s">
        <v>262</v>
      </c>
      <c r="C40" s="122" t="s">
        <v>667</v>
      </c>
      <c r="D40" s="78" t="s">
        <v>324</v>
      </c>
      <c r="E40" s="75">
        <v>-315000</v>
      </c>
      <c r="F40" s="81">
        <v>-775.21500000000003</v>
      </c>
      <c r="G40" s="77"/>
      <c r="H40" s="77">
        <f>+ROUND(F40/VLOOKUP("Grand Total",$B$4:$F$291,5,0),4)</f>
        <v>-4.4699999999999997E-2</v>
      </c>
      <c r="I40" s="105">
        <v>43187</v>
      </c>
      <c r="J40" s="102"/>
      <c r="L40" s="104"/>
    </row>
    <row r="41" spans="1:12" s="66" customFormat="1" ht="12.75" customHeight="1" x14ac:dyDescent="0.2">
      <c r="A41" s="78">
        <f t="shared" si="2"/>
        <v>30</v>
      </c>
      <c r="B41" s="78" t="s">
        <v>202</v>
      </c>
      <c r="C41" s="66" t="s">
        <v>35</v>
      </c>
      <c r="D41" s="78" t="s">
        <v>19</v>
      </c>
      <c r="E41" s="75">
        <v>45100</v>
      </c>
      <c r="F41" s="81">
        <v>550.33275000000003</v>
      </c>
      <c r="G41" s="77">
        <f>+ROUND(F41/VLOOKUP("Grand Total",$B$4:$F$291,5,0),4)</f>
        <v>3.1699999999999999E-2</v>
      </c>
      <c r="H41" s="77"/>
      <c r="I41" s="92" t="s">
        <v>372</v>
      </c>
      <c r="J41" s="102"/>
      <c r="K41" s="91"/>
      <c r="L41" s="104"/>
    </row>
    <row r="42" spans="1:12" s="66" customFormat="1" ht="12.75" customHeight="1" x14ac:dyDescent="0.2">
      <c r="A42" s="78">
        <f t="shared" si="2"/>
        <v>31</v>
      </c>
      <c r="B42" s="78" t="s">
        <v>202</v>
      </c>
      <c r="C42" s="122" t="s">
        <v>667</v>
      </c>
      <c r="D42" s="78" t="s">
        <v>324</v>
      </c>
      <c r="E42" s="75">
        <v>-45100</v>
      </c>
      <c r="F42" s="81">
        <v>-552.27205000000004</v>
      </c>
      <c r="G42" s="77"/>
      <c r="H42" s="77">
        <f>+ROUND(F42/VLOOKUP("Grand Total",$B$4:$F$291,5,0),4)</f>
        <v>-3.1800000000000002E-2</v>
      </c>
      <c r="I42" s="105">
        <v>43187</v>
      </c>
      <c r="J42" s="102"/>
      <c r="L42" s="104"/>
    </row>
    <row r="43" spans="1:12" s="66" customFormat="1" ht="12.75" customHeight="1" x14ac:dyDescent="0.2">
      <c r="A43" s="78">
        <f t="shared" si="2"/>
        <v>32</v>
      </c>
      <c r="B43" s="78" t="s">
        <v>211</v>
      </c>
      <c r="C43" s="66" t="s">
        <v>49</v>
      </c>
      <c r="D43" s="78" t="s">
        <v>21</v>
      </c>
      <c r="E43" s="75">
        <v>6000</v>
      </c>
      <c r="F43" s="81">
        <v>531.05700000000002</v>
      </c>
      <c r="G43" s="77">
        <f>+ROUND(F43/VLOOKUP("Grand Total",$B$4:$F$291,5,0),4)</f>
        <v>3.0599999999999999E-2</v>
      </c>
      <c r="H43" s="77"/>
      <c r="I43" s="92" t="s">
        <v>372</v>
      </c>
      <c r="J43" s="102"/>
      <c r="K43" s="91"/>
      <c r="L43" s="104"/>
    </row>
    <row r="44" spans="1:12" s="66" customFormat="1" ht="12.75" customHeight="1" x14ac:dyDescent="0.2">
      <c r="A44" s="78">
        <f t="shared" si="2"/>
        <v>33</v>
      </c>
      <c r="B44" s="78" t="s">
        <v>211</v>
      </c>
      <c r="C44" s="122" t="s">
        <v>667</v>
      </c>
      <c r="D44" s="78" t="s">
        <v>324</v>
      </c>
      <c r="E44" s="75">
        <v>-6000</v>
      </c>
      <c r="F44" s="81">
        <v>-534</v>
      </c>
      <c r="G44" s="77"/>
      <c r="H44" s="77">
        <f>+ROUND(F44/VLOOKUP("Grand Total",$B$4:$F$291,5,0),4)</f>
        <v>-3.0800000000000001E-2</v>
      </c>
      <c r="I44" s="105">
        <v>43187</v>
      </c>
      <c r="J44" s="102"/>
      <c r="L44" s="104"/>
    </row>
    <row r="45" spans="1:12" s="66" customFormat="1" ht="12.75" customHeight="1" x14ac:dyDescent="0.2">
      <c r="A45" s="78">
        <f t="shared" si="2"/>
        <v>34</v>
      </c>
      <c r="B45" s="78" t="s">
        <v>430</v>
      </c>
      <c r="C45" s="66" t="s">
        <v>68</v>
      </c>
      <c r="D45" s="78" t="s">
        <v>23</v>
      </c>
      <c r="E45" s="75">
        <v>97900</v>
      </c>
      <c r="F45" s="81">
        <v>524.10765000000004</v>
      </c>
      <c r="G45" s="77">
        <f>+ROUND(F45/VLOOKUP("Grand Total",$B$4:$F$291,5,0),4)</f>
        <v>3.0200000000000001E-2</v>
      </c>
      <c r="H45" s="77"/>
      <c r="I45" s="92" t="s">
        <v>372</v>
      </c>
      <c r="J45" s="102"/>
      <c r="K45" s="91"/>
      <c r="L45" s="104"/>
    </row>
    <row r="46" spans="1:12" s="66" customFormat="1" ht="12.75" customHeight="1" x14ac:dyDescent="0.2">
      <c r="A46" s="78">
        <f t="shared" si="2"/>
        <v>35</v>
      </c>
      <c r="B46" s="78" t="s">
        <v>430</v>
      </c>
      <c r="C46" s="122" t="s">
        <v>667</v>
      </c>
      <c r="D46" s="78" t="s">
        <v>324</v>
      </c>
      <c r="E46" s="75">
        <v>-97900</v>
      </c>
      <c r="F46" s="81">
        <v>-526.84884999999997</v>
      </c>
      <c r="G46" s="77"/>
      <c r="H46" s="77">
        <f>+ROUND(F46/VLOOKUP("Grand Total",$B$4:$F$291,5,0),4)</f>
        <v>-3.04E-2</v>
      </c>
      <c r="I46" s="105">
        <v>43187</v>
      </c>
      <c r="J46" s="102"/>
      <c r="L46" s="104"/>
    </row>
    <row r="47" spans="1:12" s="66" customFormat="1" ht="12.75" customHeight="1" x14ac:dyDescent="0.2">
      <c r="A47" s="78">
        <f t="shared" si="2"/>
        <v>36</v>
      </c>
      <c r="B47" s="78" t="s">
        <v>17</v>
      </c>
      <c r="C47" s="66" t="s">
        <v>18</v>
      </c>
      <c r="D47" s="78" t="s">
        <v>10</v>
      </c>
      <c r="E47" s="75">
        <v>162000</v>
      </c>
      <c r="F47" s="81">
        <v>434.16</v>
      </c>
      <c r="G47" s="77">
        <f>+ROUND(F47/VLOOKUP("Grand Total",$B$4:$F$291,5,0),4)</f>
        <v>2.5000000000000001E-2</v>
      </c>
      <c r="H47" s="77"/>
      <c r="I47" s="92" t="s">
        <v>372</v>
      </c>
      <c r="J47" s="102"/>
      <c r="K47" s="91"/>
      <c r="L47" s="104"/>
    </row>
    <row r="48" spans="1:12" s="66" customFormat="1" ht="12.75" customHeight="1" x14ac:dyDescent="0.2">
      <c r="A48" s="78">
        <f t="shared" si="2"/>
        <v>37</v>
      </c>
      <c r="B48" s="78" t="s">
        <v>17</v>
      </c>
      <c r="C48" s="122" t="s">
        <v>667</v>
      </c>
      <c r="D48" s="78" t="s">
        <v>324</v>
      </c>
      <c r="E48" s="75">
        <v>-162000</v>
      </c>
      <c r="F48" s="81">
        <v>-436.34699999999998</v>
      </c>
      <c r="G48" s="77"/>
      <c r="H48" s="77">
        <f>+ROUND(F48/VLOOKUP("Grand Total",$B$4:$F$291,5,0),4)</f>
        <v>-2.52E-2</v>
      </c>
      <c r="I48" s="105">
        <v>43187</v>
      </c>
      <c r="J48" s="102"/>
      <c r="L48" s="104"/>
    </row>
    <row r="49" spans="1:12" s="66" customFormat="1" ht="12.75" customHeight="1" x14ac:dyDescent="0.2">
      <c r="A49" s="78">
        <f t="shared" si="2"/>
        <v>38</v>
      </c>
      <c r="B49" s="78" t="s">
        <v>349</v>
      </c>
      <c r="C49" s="66" t="s">
        <v>350</v>
      </c>
      <c r="D49" s="78" t="s">
        <v>24</v>
      </c>
      <c r="E49" s="75">
        <v>34400</v>
      </c>
      <c r="F49" s="81">
        <v>431.41039999999998</v>
      </c>
      <c r="G49" s="77">
        <f>+ROUND(F49/VLOOKUP("Grand Total",$B$4:$F$291,5,0),4)</f>
        <v>2.4899999999999999E-2</v>
      </c>
      <c r="H49" s="77"/>
      <c r="I49" s="92" t="s">
        <v>372</v>
      </c>
      <c r="J49" s="102"/>
      <c r="L49" s="104"/>
    </row>
    <row r="50" spans="1:12" s="66" customFormat="1" ht="12.75" customHeight="1" x14ac:dyDescent="0.2">
      <c r="A50" s="78">
        <f t="shared" si="2"/>
        <v>39</v>
      </c>
      <c r="B50" s="78" t="s">
        <v>349</v>
      </c>
      <c r="C50" s="122" t="s">
        <v>667</v>
      </c>
      <c r="D50" s="78" t="s">
        <v>324</v>
      </c>
      <c r="E50" s="75">
        <v>-34400</v>
      </c>
      <c r="F50" s="81">
        <v>-432.90679999999998</v>
      </c>
      <c r="G50" s="77"/>
      <c r="H50" s="77">
        <f>+ROUND(F50/VLOOKUP("Grand Total",$B$4:$F$291,5,0),4)</f>
        <v>-2.5000000000000001E-2</v>
      </c>
      <c r="I50" s="105">
        <v>43187</v>
      </c>
      <c r="J50" s="102"/>
      <c r="L50" s="104"/>
    </row>
    <row r="51" spans="1:12" s="66" customFormat="1" ht="12.75" customHeight="1" x14ac:dyDescent="0.2">
      <c r="A51" s="78">
        <f t="shared" si="2"/>
        <v>40</v>
      </c>
      <c r="B51" s="78" t="s">
        <v>201</v>
      </c>
      <c r="C51" s="66" t="s">
        <v>39</v>
      </c>
      <c r="D51" s="78" t="s">
        <v>21</v>
      </c>
      <c r="E51" s="75">
        <v>9500</v>
      </c>
      <c r="F51" s="81">
        <v>286.95699999999999</v>
      </c>
      <c r="G51" s="77">
        <f>+ROUND(F51/VLOOKUP("Grand Total",$B$4:$F$291,5,0),4)</f>
        <v>1.6500000000000001E-2</v>
      </c>
      <c r="H51" s="77"/>
      <c r="I51" s="92" t="s">
        <v>372</v>
      </c>
      <c r="J51" s="102"/>
      <c r="K51" s="91"/>
      <c r="L51" s="104"/>
    </row>
    <row r="52" spans="1:12" s="66" customFormat="1" ht="12.75" customHeight="1" x14ac:dyDescent="0.2">
      <c r="A52" s="78">
        <f t="shared" si="2"/>
        <v>41</v>
      </c>
      <c r="B52" s="78" t="s">
        <v>201</v>
      </c>
      <c r="C52" s="122" t="s">
        <v>667</v>
      </c>
      <c r="D52" s="78" t="s">
        <v>324</v>
      </c>
      <c r="E52" s="75">
        <v>-9500</v>
      </c>
      <c r="F52" s="81">
        <v>-288.55775</v>
      </c>
      <c r="G52" s="77"/>
      <c r="H52" s="77">
        <f>+ROUND(F52/VLOOKUP("Grand Total",$B$4:$F$291,5,0),4)</f>
        <v>-1.66E-2</v>
      </c>
      <c r="I52" s="105">
        <v>43187</v>
      </c>
      <c r="J52" s="102"/>
      <c r="L52" s="104"/>
    </row>
    <row r="53" spans="1:12" s="66" customFormat="1" ht="12.75" customHeight="1" x14ac:dyDescent="0.2">
      <c r="A53" s="78">
        <f t="shared" si="2"/>
        <v>42</v>
      </c>
      <c r="B53" s="78" t="s">
        <v>480</v>
      </c>
      <c r="C53" s="66" t="s">
        <v>481</v>
      </c>
      <c r="D53" s="78" t="s">
        <v>178</v>
      </c>
      <c r="E53" s="75">
        <v>168000</v>
      </c>
      <c r="F53" s="81">
        <v>268.464</v>
      </c>
      <c r="G53" s="77">
        <f>+ROUND(F53/VLOOKUP("Grand Total",$B$4:$F$291,5,0),4)</f>
        <v>1.55E-2</v>
      </c>
      <c r="H53" s="77"/>
      <c r="I53" s="92" t="s">
        <v>372</v>
      </c>
      <c r="J53" s="102"/>
      <c r="K53" s="91"/>
      <c r="L53" s="104"/>
    </row>
    <row r="54" spans="1:12" s="66" customFormat="1" ht="12.75" customHeight="1" x14ac:dyDescent="0.2">
      <c r="A54" s="78">
        <f t="shared" si="2"/>
        <v>43</v>
      </c>
      <c r="B54" s="78" t="s">
        <v>480</v>
      </c>
      <c r="C54" s="122" t="s">
        <v>667</v>
      </c>
      <c r="D54" s="78" t="s">
        <v>324</v>
      </c>
      <c r="E54" s="75">
        <v>-168000</v>
      </c>
      <c r="F54" s="81">
        <v>-268.96800000000002</v>
      </c>
      <c r="G54" s="77"/>
      <c r="H54" s="77">
        <f>+ROUND(F54/VLOOKUP("Grand Total",$B$4:$F$291,5,0),4)</f>
        <v>-1.55E-2</v>
      </c>
      <c r="I54" s="105">
        <v>43187</v>
      </c>
      <c r="J54" s="102"/>
      <c r="L54" s="104"/>
    </row>
    <row r="55" spans="1:12" s="66" customFormat="1" ht="12.75" customHeight="1" x14ac:dyDescent="0.2">
      <c r="A55" s="78">
        <f t="shared" si="2"/>
        <v>44</v>
      </c>
      <c r="B55" s="78" t="s">
        <v>482</v>
      </c>
      <c r="C55" s="66" t="s">
        <v>483</v>
      </c>
      <c r="D55" s="78" t="s">
        <v>21</v>
      </c>
      <c r="E55" s="75">
        <v>24200</v>
      </c>
      <c r="F55" s="81">
        <v>216.06970000000001</v>
      </c>
      <c r="G55" s="77">
        <f>+ROUND(F55/VLOOKUP("Grand Total",$B$4:$F$291,5,0),4)</f>
        <v>1.2500000000000001E-2</v>
      </c>
      <c r="H55" s="77"/>
      <c r="I55" s="92" t="s">
        <v>372</v>
      </c>
      <c r="J55" s="102"/>
      <c r="K55" s="91"/>
      <c r="L55" s="104"/>
    </row>
    <row r="56" spans="1:12" s="66" customFormat="1" ht="12.75" customHeight="1" x14ac:dyDescent="0.2">
      <c r="A56" s="78">
        <f t="shared" si="2"/>
        <v>45</v>
      </c>
      <c r="B56" s="78" t="s">
        <v>482</v>
      </c>
      <c r="C56" s="122" t="s">
        <v>667</v>
      </c>
      <c r="D56" s="78" t="s">
        <v>324</v>
      </c>
      <c r="E56" s="75">
        <v>-24200</v>
      </c>
      <c r="F56" s="81">
        <v>-216.63839999999999</v>
      </c>
      <c r="G56" s="77"/>
      <c r="H56" s="77">
        <f>+ROUND(F56/VLOOKUP("Grand Total",$B$4:$F$291,5,0),4)</f>
        <v>-1.2500000000000001E-2</v>
      </c>
      <c r="I56" s="105">
        <v>43187</v>
      </c>
      <c r="J56" s="102"/>
      <c r="L56" s="104"/>
    </row>
    <row r="57" spans="1:12" s="66" customFormat="1" ht="12.75" customHeight="1" x14ac:dyDescent="0.2">
      <c r="A57" s="78">
        <f t="shared" si="2"/>
        <v>46</v>
      </c>
      <c r="B57" s="78" t="s">
        <v>296</v>
      </c>
      <c r="C57" s="78" t="s">
        <v>181</v>
      </c>
      <c r="D57" s="78" t="s">
        <v>36</v>
      </c>
      <c r="E57" s="75">
        <v>35100</v>
      </c>
      <c r="F57" s="81">
        <v>159.91560000000001</v>
      </c>
      <c r="G57" s="77">
        <f>+ROUND(F57/VLOOKUP("Grand Total",$B$4:$F$291,5,0),4)</f>
        <v>9.1999999999999998E-3</v>
      </c>
      <c r="H57" s="77"/>
      <c r="I57" s="92" t="s">
        <v>372</v>
      </c>
      <c r="J57" s="102"/>
      <c r="K57" s="91"/>
      <c r="L57" s="104"/>
    </row>
    <row r="58" spans="1:12" s="66" customFormat="1" ht="12.75" customHeight="1" x14ac:dyDescent="0.2">
      <c r="A58" s="78">
        <f t="shared" si="2"/>
        <v>47</v>
      </c>
      <c r="B58" s="78" t="s">
        <v>296</v>
      </c>
      <c r="C58" s="122" t="s">
        <v>667</v>
      </c>
      <c r="D58" s="78" t="s">
        <v>324</v>
      </c>
      <c r="E58" s="75">
        <v>-35100</v>
      </c>
      <c r="F58" s="81">
        <v>-160.84575000000001</v>
      </c>
      <c r="G58" s="77"/>
      <c r="H58" s="77">
        <f>+ROUND(F58/VLOOKUP("Grand Total",$B$4:$F$291,5,0),4)</f>
        <v>-9.2999999999999992E-3</v>
      </c>
      <c r="I58" s="105">
        <v>43187</v>
      </c>
      <c r="J58" s="102"/>
      <c r="L58" s="104"/>
    </row>
    <row r="59" spans="1:12" s="66" customFormat="1" ht="12.75" customHeight="1" x14ac:dyDescent="0.2">
      <c r="A59" s="78">
        <f t="shared" si="2"/>
        <v>48</v>
      </c>
      <c r="B59" s="78" t="s">
        <v>555</v>
      </c>
      <c r="C59" s="66" t="s">
        <v>556</v>
      </c>
      <c r="D59" s="78" t="s">
        <v>30</v>
      </c>
      <c r="E59" s="75">
        <v>43500</v>
      </c>
      <c r="F59" s="81">
        <v>158.64449999999999</v>
      </c>
      <c r="G59" s="77">
        <f>+ROUND(F59/VLOOKUP("Grand Total",$B$4:$F$291,5,0),4)</f>
        <v>9.1000000000000004E-3</v>
      </c>
      <c r="H59" s="77"/>
      <c r="I59" s="92" t="s">
        <v>372</v>
      </c>
      <c r="J59" s="102"/>
      <c r="K59" s="91"/>
      <c r="L59" s="104"/>
    </row>
    <row r="60" spans="1:12" s="66" customFormat="1" ht="12.75" customHeight="1" x14ac:dyDescent="0.2">
      <c r="A60" s="78">
        <f t="shared" si="2"/>
        <v>49</v>
      </c>
      <c r="B60" s="78" t="s">
        <v>555</v>
      </c>
      <c r="C60" s="122" t="s">
        <v>667</v>
      </c>
      <c r="D60" s="78" t="s">
        <v>324</v>
      </c>
      <c r="E60" s="75">
        <v>-43500</v>
      </c>
      <c r="F60" s="81">
        <v>-159.53625</v>
      </c>
      <c r="G60" s="77"/>
      <c r="H60" s="77">
        <f>+ROUND(F60/VLOOKUP("Grand Total",$B$4:$F$291,5,0),4)</f>
        <v>-9.1999999999999998E-3</v>
      </c>
      <c r="I60" s="105">
        <v>43187</v>
      </c>
      <c r="J60" s="102"/>
      <c r="L60" s="104"/>
    </row>
    <row r="61" spans="1:12" s="66" customFormat="1" ht="12.75" customHeight="1" x14ac:dyDescent="0.2">
      <c r="A61" s="78">
        <f t="shared" si="2"/>
        <v>50</v>
      </c>
      <c r="B61" s="78" t="s">
        <v>397</v>
      </c>
      <c r="C61" s="66" t="s">
        <v>129</v>
      </c>
      <c r="D61" s="78" t="s">
        <v>21</v>
      </c>
      <c r="E61" s="75">
        <v>52500</v>
      </c>
      <c r="F61" s="81">
        <v>108.6225</v>
      </c>
      <c r="G61" s="77">
        <f>+ROUND(F61/VLOOKUP("Grand Total",$B$4:$F$291,5,0),4)</f>
        <v>6.3E-3</v>
      </c>
      <c r="H61" s="77"/>
      <c r="I61" s="92" t="s">
        <v>372</v>
      </c>
      <c r="J61" s="102"/>
      <c r="K61" s="91"/>
      <c r="L61" s="104"/>
    </row>
    <row r="62" spans="1:12" s="66" customFormat="1" ht="12.75" customHeight="1" x14ac:dyDescent="0.2">
      <c r="A62" s="78">
        <f t="shared" si="2"/>
        <v>51</v>
      </c>
      <c r="B62" s="78" t="s">
        <v>397</v>
      </c>
      <c r="C62" s="122" t="s">
        <v>667</v>
      </c>
      <c r="D62" s="78" t="s">
        <v>324</v>
      </c>
      <c r="E62" s="75">
        <v>-52500</v>
      </c>
      <c r="F62" s="81">
        <v>-109.30500000000001</v>
      </c>
      <c r="G62" s="77"/>
      <c r="H62" s="77">
        <f>+ROUND(F62/VLOOKUP("Grand Total",$B$4:$F$291,5,0),4)</f>
        <v>-6.3E-3</v>
      </c>
      <c r="I62" s="105">
        <v>43187</v>
      </c>
      <c r="J62" s="102"/>
      <c r="L62" s="104"/>
    </row>
    <row r="63" spans="1:12" s="66" customFormat="1" ht="12.75" customHeight="1" x14ac:dyDescent="0.2">
      <c r="A63" s="78">
        <f t="shared" si="2"/>
        <v>52</v>
      </c>
      <c r="B63" s="78" t="s">
        <v>251</v>
      </c>
      <c r="C63" s="66" t="s">
        <v>113</v>
      </c>
      <c r="D63" s="78" t="s">
        <v>15</v>
      </c>
      <c r="E63" s="75">
        <v>14400</v>
      </c>
      <c r="F63" s="81">
        <v>88.221599999999995</v>
      </c>
      <c r="G63" s="77">
        <f>+ROUND(F63/VLOOKUP("Grand Total",$B$4:$F$291,5,0),4)</f>
        <v>5.1000000000000004E-3</v>
      </c>
      <c r="H63" s="77"/>
      <c r="I63" s="92" t="s">
        <v>372</v>
      </c>
      <c r="J63" s="102"/>
      <c r="K63" s="91"/>
      <c r="L63" s="104"/>
    </row>
    <row r="64" spans="1:12" s="66" customFormat="1" ht="12.75" customHeight="1" x14ac:dyDescent="0.2">
      <c r="A64" s="78">
        <f t="shared" si="2"/>
        <v>53</v>
      </c>
      <c r="B64" s="78" t="s">
        <v>251</v>
      </c>
      <c r="C64" s="122" t="s">
        <v>667</v>
      </c>
      <c r="D64" s="78" t="s">
        <v>324</v>
      </c>
      <c r="E64" s="75">
        <v>-14400</v>
      </c>
      <c r="F64" s="81">
        <v>-88.7256</v>
      </c>
      <c r="G64" s="77"/>
      <c r="H64" s="77">
        <f>+ROUND(F64/VLOOKUP("Grand Total",$B$4:$F$291,5,0),4)</f>
        <v>-5.1000000000000004E-3</v>
      </c>
      <c r="I64" s="105">
        <v>43187</v>
      </c>
      <c r="J64" s="102"/>
      <c r="L64" s="104"/>
    </row>
    <row r="65" spans="1:12" s="66" customFormat="1" ht="12.75" customHeight="1" x14ac:dyDescent="0.2">
      <c r="A65" s="78">
        <f t="shared" si="2"/>
        <v>54</v>
      </c>
      <c r="B65" s="78" t="s">
        <v>299</v>
      </c>
      <c r="C65" s="66" t="s">
        <v>184</v>
      </c>
      <c r="D65" s="78" t="s">
        <v>36</v>
      </c>
      <c r="E65" s="75">
        <v>182000</v>
      </c>
      <c r="F65" s="81">
        <v>81.353999999999999</v>
      </c>
      <c r="G65" s="77">
        <f>+ROUND(F65/VLOOKUP("Grand Total",$B$4:$F$291,5,0),4)</f>
        <v>4.7000000000000002E-3</v>
      </c>
      <c r="H65" s="77"/>
      <c r="I65" s="92" t="s">
        <v>372</v>
      </c>
      <c r="J65" s="102"/>
      <c r="K65" s="91"/>
      <c r="L65" s="104"/>
    </row>
    <row r="66" spans="1:12" s="66" customFormat="1" ht="12.75" customHeight="1" x14ac:dyDescent="0.2">
      <c r="A66" s="78">
        <f t="shared" si="2"/>
        <v>55</v>
      </c>
      <c r="B66" s="78" t="s">
        <v>299</v>
      </c>
      <c r="C66" s="122" t="s">
        <v>667</v>
      </c>
      <c r="D66" s="78" t="s">
        <v>324</v>
      </c>
      <c r="E66" s="75">
        <v>-182000</v>
      </c>
      <c r="F66" s="81">
        <v>-81.900000000000006</v>
      </c>
      <c r="G66" s="77"/>
      <c r="H66" s="77">
        <f>+ROUND(F66/VLOOKUP("Grand Total",$B$4:$F$291,5,0),4)</f>
        <v>-4.7000000000000002E-3</v>
      </c>
      <c r="I66" s="105">
        <v>43187</v>
      </c>
      <c r="J66" s="102"/>
      <c r="L66" s="104"/>
    </row>
    <row r="67" spans="1:12" s="66" customFormat="1" ht="12.75" customHeight="1" x14ac:dyDescent="0.2">
      <c r="A67" s="78">
        <f t="shared" si="2"/>
        <v>56</v>
      </c>
      <c r="B67" s="78" t="s">
        <v>529</v>
      </c>
      <c r="C67" s="66" t="s">
        <v>530</v>
      </c>
      <c r="D67" s="78" t="s">
        <v>26</v>
      </c>
      <c r="E67" s="75">
        <v>42000</v>
      </c>
      <c r="F67" s="81">
        <v>50.295000000000002</v>
      </c>
      <c r="G67" s="77">
        <f>+ROUND(F67/VLOOKUP("Grand Total",$B$4:$F$291,5,0),4)</f>
        <v>2.8999999999999998E-3</v>
      </c>
      <c r="H67" s="77"/>
      <c r="I67" s="92" t="s">
        <v>372</v>
      </c>
      <c r="J67" s="102"/>
      <c r="K67" s="91"/>
      <c r="L67" s="104"/>
    </row>
    <row r="68" spans="1:12" s="66" customFormat="1" ht="12.75" customHeight="1" x14ac:dyDescent="0.2">
      <c r="A68" s="78">
        <f t="shared" si="2"/>
        <v>57</v>
      </c>
      <c r="B68" s="78" t="s">
        <v>529</v>
      </c>
      <c r="C68" s="122" t="s">
        <v>667</v>
      </c>
      <c r="D68" s="78" t="s">
        <v>324</v>
      </c>
      <c r="E68" s="75">
        <v>-42000</v>
      </c>
      <c r="F68" s="81">
        <v>-50.337000000000003</v>
      </c>
      <c r="G68" s="77"/>
      <c r="H68" s="77">
        <f>+ROUND(F68/VLOOKUP("Grand Total",$B$4:$F$291,5,0),4)</f>
        <v>-2.8999999999999998E-3</v>
      </c>
      <c r="I68" s="105">
        <v>43187</v>
      </c>
      <c r="J68" s="102"/>
      <c r="L68" s="104"/>
    </row>
    <row r="69" spans="1:12" s="66" customFormat="1" ht="12.75" customHeight="1" x14ac:dyDescent="0.2">
      <c r="A69" s="78">
        <f t="shared" si="2"/>
        <v>58</v>
      </c>
      <c r="B69" s="78" t="s">
        <v>203</v>
      </c>
      <c r="C69" s="66" t="s">
        <v>46</v>
      </c>
      <c r="D69" s="78" t="s">
        <v>26</v>
      </c>
      <c r="E69" s="75">
        <v>14400</v>
      </c>
      <c r="F69" s="81">
        <v>38.167200000000001</v>
      </c>
      <c r="G69" s="77">
        <f>+ROUND(F69/VLOOKUP("Grand Total",$B$4:$F$291,5,0),4)</f>
        <v>2.2000000000000001E-3</v>
      </c>
      <c r="H69" s="77"/>
      <c r="I69" s="92" t="s">
        <v>372</v>
      </c>
      <c r="J69" s="102"/>
      <c r="K69" s="91"/>
      <c r="L69" s="104"/>
    </row>
    <row r="70" spans="1:12" s="66" customFormat="1" ht="12.75" customHeight="1" x14ac:dyDescent="0.2">
      <c r="A70" s="78">
        <f t="shared" si="2"/>
        <v>59</v>
      </c>
      <c r="B70" s="78" t="s">
        <v>203</v>
      </c>
      <c r="C70" s="122" t="s">
        <v>667</v>
      </c>
      <c r="D70" s="78" t="s">
        <v>324</v>
      </c>
      <c r="E70" s="75">
        <v>-14400</v>
      </c>
      <c r="F70" s="81">
        <v>-38.3688</v>
      </c>
      <c r="G70" s="77"/>
      <c r="H70" s="77">
        <f>+ROUND(F70/VLOOKUP("Grand Total",$B$4:$F$291,5,0),4)</f>
        <v>-2.2000000000000001E-3</v>
      </c>
      <c r="I70" s="105">
        <v>43187</v>
      </c>
      <c r="J70" s="102"/>
      <c r="L70" s="104"/>
    </row>
    <row r="71" spans="1:12" s="66" customFormat="1" ht="12.75" customHeight="1" x14ac:dyDescent="0.2">
      <c r="A71" s="78">
        <f t="shared" si="2"/>
        <v>60</v>
      </c>
      <c r="B71" s="78" t="s">
        <v>223</v>
      </c>
      <c r="C71" s="66" t="s">
        <v>224</v>
      </c>
      <c r="D71" s="78" t="s">
        <v>37</v>
      </c>
      <c r="E71" s="75">
        <v>4800</v>
      </c>
      <c r="F71" s="81">
        <v>35.812800000000003</v>
      </c>
      <c r="G71" s="77">
        <f>+ROUND(F71/VLOOKUP("Grand Total",$B$4:$F$291,5,0),4)</f>
        <v>2.0999999999999999E-3</v>
      </c>
      <c r="H71" s="77"/>
      <c r="I71" s="92" t="s">
        <v>372</v>
      </c>
      <c r="J71" s="102"/>
      <c r="K71" s="91"/>
      <c r="L71" s="104"/>
    </row>
    <row r="72" spans="1:12" s="66" customFormat="1" ht="12.75" customHeight="1" x14ac:dyDescent="0.2">
      <c r="A72" s="78">
        <f t="shared" si="2"/>
        <v>61</v>
      </c>
      <c r="B72" s="78" t="s">
        <v>223</v>
      </c>
      <c r="C72" s="122" t="s">
        <v>667</v>
      </c>
      <c r="D72" s="78" t="s">
        <v>324</v>
      </c>
      <c r="E72" s="75">
        <v>-4800</v>
      </c>
      <c r="F72" s="81">
        <v>-35.973599999999998</v>
      </c>
      <c r="G72" s="77"/>
      <c r="H72" s="77">
        <f>+ROUND(F72/VLOOKUP("Grand Total",$B$4:$F$291,5,0),4)</f>
        <v>-2.0999999999999999E-3</v>
      </c>
      <c r="I72" s="105">
        <v>43187</v>
      </c>
      <c r="J72" s="102"/>
      <c r="L72" s="104"/>
    </row>
    <row r="73" spans="1:12" s="47" customFormat="1" ht="12.75" customHeight="1" x14ac:dyDescent="0.2">
      <c r="A73"/>
      <c r="B73" s="19" t="s">
        <v>85</v>
      </c>
      <c r="C73" s="19"/>
      <c r="D73" s="19"/>
      <c r="E73" s="20"/>
      <c r="F73" s="20">
        <f>+F33+F35+F37+F39+F41+F43+F45+F47+F49+F51+F53+F55+F57+F59+F61+F63+F65+F67+F69+F71</f>
        <v>8180.3787999999995</v>
      </c>
      <c r="G73" s="80">
        <f>+G33+G35+G37+G39+G41+G43+G45+G47+G49+G51+G53+G55+G57+G59+G61+G63+G65+G67+G69+G71</f>
        <v>0.47159999999999996</v>
      </c>
      <c r="H73" s="80">
        <f>SUM(H34:H72)</f>
        <v>-0.47359999999999997</v>
      </c>
      <c r="I73" s="22"/>
      <c r="J73" s="57"/>
      <c r="L73" s="49"/>
    </row>
    <row r="74" spans="1:12" ht="12.75" customHeight="1" x14ac:dyDescent="0.2">
      <c r="F74" s="29"/>
      <c r="G74" s="29"/>
      <c r="H74" s="29"/>
      <c r="I74" s="16"/>
      <c r="J74" s="57"/>
    </row>
    <row r="75" spans="1:12" s="47" customFormat="1" ht="12.75" customHeight="1" x14ac:dyDescent="0.2">
      <c r="A75"/>
      <c r="B75" s="17" t="s">
        <v>91</v>
      </c>
      <c r="C75" s="17"/>
      <c r="D75"/>
      <c r="E75" s="29"/>
      <c r="F75" s="14"/>
      <c r="G75" s="15"/>
      <c r="H75" s="15"/>
      <c r="I75" s="16"/>
      <c r="J75" s="57"/>
      <c r="L75" s="49"/>
    </row>
    <row r="76" spans="1:12" s="47" customFormat="1" ht="12.75" customHeight="1" x14ac:dyDescent="0.2">
      <c r="A76"/>
      <c r="B76" s="17" t="s">
        <v>307</v>
      </c>
      <c r="C76" s="17"/>
      <c r="D76"/>
      <c r="E76" s="29"/>
      <c r="F76" s="14"/>
      <c r="G76" s="15"/>
      <c r="H76" s="15"/>
      <c r="I76" s="16"/>
      <c r="J76" s="57"/>
      <c r="K76"/>
      <c r="L76" s="37"/>
    </row>
    <row r="77" spans="1:12" s="47" customFormat="1" ht="12.75" customHeight="1" x14ac:dyDescent="0.2">
      <c r="A77" s="78">
        <f>+MAX($A$8:A76)+1</f>
        <v>62</v>
      </c>
      <c r="B77" t="s">
        <v>705</v>
      </c>
      <c r="C77" t="s">
        <v>706</v>
      </c>
      <c r="D77" t="s">
        <v>291</v>
      </c>
      <c r="E77" s="29">
        <v>100</v>
      </c>
      <c r="F77" s="14">
        <v>492.88350000000003</v>
      </c>
      <c r="G77" s="77">
        <f>+ROUND(F77/VLOOKUP("Grand Total",$B$4:$F$291,5,0),4)</f>
        <v>2.8400000000000002E-2</v>
      </c>
      <c r="H77" s="77"/>
      <c r="I77" s="16">
        <v>43228</v>
      </c>
      <c r="J77" s="57"/>
      <c r="K77"/>
      <c r="L77" s="37"/>
    </row>
    <row r="78" spans="1:12" s="47" customFormat="1" ht="12.75" customHeight="1" x14ac:dyDescent="0.2">
      <c r="A78" s="78">
        <f>+MAX($A$8:A77)+1</f>
        <v>63</v>
      </c>
      <c r="B78" t="s">
        <v>292</v>
      </c>
      <c r="C78" t="s">
        <v>707</v>
      </c>
      <c r="D78" t="s">
        <v>571</v>
      </c>
      <c r="E78" s="29">
        <v>100</v>
      </c>
      <c r="F78" s="14">
        <v>491.27800000000002</v>
      </c>
      <c r="G78" s="77">
        <f>+ROUND(F78/VLOOKUP("Grand Total",$B$4:$F$291,5,0),4)</f>
        <v>2.8299999999999999E-2</v>
      </c>
      <c r="H78" s="77"/>
      <c r="I78" s="16">
        <v>43241</v>
      </c>
      <c r="J78" s="57"/>
      <c r="K78"/>
      <c r="L78" s="37"/>
    </row>
    <row r="79" spans="1:12" s="47" customFormat="1" ht="12.75" customHeight="1" x14ac:dyDescent="0.2">
      <c r="A79" s="78">
        <f>+MAX($A$8:A78)+1</f>
        <v>64</v>
      </c>
      <c r="B79" t="s">
        <v>559</v>
      </c>
      <c r="C79" t="s">
        <v>708</v>
      </c>
      <c r="D79" t="s">
        <v>560</v>
      </c>
      <c r="E79" s="29">
        <v>100</v>
      </c>
      <c r="F79" s="14">
        <v>487.69799999999998</v>
      </c>
      <c r="G79" s="77">
        <f>+ROUND(F79/VLOOKUP("Grand Total",$B$4:$F$291,5,0),4)</f>
        <v>2.81E-2</v>
      </c>
      <c r="H79" s="77"/>
      <c r="I79" s="16">
        <v>43245</v>
      </c>
      <c r="J79" s="57"/>
      <c r="K79"/>
      <c r="L79" s="37"/>
    </row>
    <row r="80" spans="1:12" s="47" customFormat="1" ht="12.75" customHeight="1" x14ac:dyDescent="0.2">
      <c r="A80" s="78">
        <f>+MAX($A$8:A79)+1</f>
        <v>65</v>
      </c>
      <c r="B80" t="s">
        <v>572</v>
      </c>
      <c r="C80" t="s">
        <v>645</v>
      </c>
      <c r="D80" t="s">
        <v>291</v>
      </c>
      <c r="E80" s="29">
        <v>60</v>
      </c>
      <c r="F80" s="14">
        <v>299.77319999999997</v>
      </c>
      <c r="G80" s="77">
        <f>+ROUND(F80/VLOOKUP("Grand Total",$B$4:$F$291,5,0),4)</f>
        <v>1.7299999999999999E-2</v>
      </c>
      <c r="H80" s="77"/>
      <c r="I80" s="16">
        <v>43164</v>
      </c>
      <c r="J80" s="57"/>
      <c r="K80"/>
      <c r="L80" s="37"/>
    </row>
    <row r="81" spans="1:13" s="47" customFormat="1" ht="12.75" customHeight="1" x14ac:dyDescent="0.2">
      <c r="A81" s="78">
        <f>+MAX($A$8:A80)+1</f>
        <v>66</v>
      </c>
      <c r="B81" t="s">
        <v>292</v>
      </c>
      <c r="C81" t="s">
        <v>557</v>
      </c>
      <c r="D81" t="s">
        <v>571</v>
      </c>
      <c r="E81" s="29">
        <v>38</v>
      </c>
      <c r="F81" s="14">
        <v>181.53322</v>
      </c>
      <c r="G81" s="77">
        <f>+ROUND(F81/VLOOKUP("Grand Total",$B$4:$F$291,5,0),4)</f>
        <v>1.0500000000000001E-2</v>
      </c>
      <c r="H81" s="77"/>
      <c r="I81" s="16">
        <v>43350</v>
      </c>
      <c r="J81" s="57"/>
      <c r="K81"/>
      <c r="L81" s="37"/>
    </row>
    <row r="82" spans="1:13" ht="12.75" customHeight="1" x14ac:dyDescent="0.2">
      <c r="B82" s="19" t="s">
        <v>85</v>
      </c>
      <c r="C82" s="19"/>
      <c r="D82" s="19"/>
      <c r="E82" s="30"/>
      <c r="F82" s="20">
        <f>SUM(F77:F81)</f>
        <v>1953.1659200000001</v>
      </c>
      <c r="G82" s="21">
        <f>SUM(G77:G81)</f>
        <v>0.11259999999999999</v>
      </c>
      <c r="H82" s="21"/>
      <c r="I82" s="22"/>
      <c r="J82" s="57"/>
    </row>
    <row r="83" spans="1:13" ht="12.75" customHeight="1" x14ac:dyDescent="0.2">
      <c r="F83" s="45"/>
      <c r="G83" s="15"/>
      <c r="H83" s="15"/>
      <c r="I83" s="16"/>
      <c r="J83" s="57"/>
    </row>
    <row r="84" spans="1:13" ht="12.75" customHeight="1" x14ac:dyDescent="0.2">
      <c r="B84" s="17" t="s">
        <v>167</v>
      </c>
      <c r="F84" s="14"/>
      <c r="G84" s="15"/>
      <c r="H84" s="15"/>
      <c r="I84" s="16"/>
      <c r="J84" s="57"/>
    </row>
    <row r="85" spans="1:13" ht="12.75" customHeight="1" x14ac:dyDescent="0.2">
      <c r="A85" s="78">
        <f>+MAX($A$8:A84)+1</f>
        <v>67</v>
      </c>
      <c r="B85" t="s">
        <v>589</v>
      </c>
      <c r="C85" t="s">
        <v>590</v>
      </c>
      <c r="D85" t="s">
        <v>404</v>
      </c>
      <c r="E85" s="29">
        <v>83000</v>
      </c>
      <c r="F85" s="14">
        <v>82.834249</v>
      </c>
      <c r="G85" s="77">
        <f>+ROUND(F85/VLOOKUP("Grand Total",$B$4:$F$291,5,0),4)</f>
        <v>4.7999999999999996E-3</v>
      </c>
      <c r="H85" s="77"/>
      <c r="I85" s="16">
        <v>43172</v>
      </c>
      <c r="J85" s="56"/>
    </row>
    <row r="86" spans="1:13" s="47" customFormat="1" ht="12.75" customHeight="1" x14ac:dyDescent="0.2">
      <c r="A86"/>
      <c r="B86" s="19" t="s">
        <v>85</v>
      </c>
      <c r="C86" s="19"/>
      <c r="D86" s="19"/>
      <c r="E86" s="30"/>
      <c r="F86" s="20">
        <f>SUM(F85)</f>
        <v>82.834249</v>
      </c>
      <c r="G86" s="21">
        <f>SUM(G85)</f>
        <v>4.7999999999999996E-3</v>
      </c>
      <c r="H86" s="21"/>
      <c r="I86" s="22"/>
      <c r="J86" s="56"/>
      <c r="K86" s="37"/>
      <c r="L86"/>
      <c r="M86"/>
    </row>
    <row r="87" spans="1:13" s="47" customFormat="1" ht="12.75" customHeight="1" x14ac:dyDescent="0.2">
      <c r="B87" s="68"/>
      <c r="C87" s="68"/>
      <c r="D87" s="68"/>
      <c r="E87" s="69"/>
      <c r="F87" s="70"/>
      <c r="G87" s="71"/>
      <c r="H87" s="71"/>
      <c r="I87" s="72"/>
      <c r="J87" s="56"/>
      <c r="K87" s="49"/>
    </row>
    <row r="88" spans="1:13" ht="12.75" customHeight="1" x14ac:dyDescent="0.2">
      <c r="B88" s="17" t="s">
        <v>125</v>
      </c>
      <c r="F88" s="45"/>
      <c r="G88" s="15"/>
      <c r="H88" s="15"/>
      <c r="I88" s="16"/>
      <c r="J88" s="57"/>
      <c r="K88" s="37"/>
      <c r="L88"/>
    </row>
    <row r="89" spans="1:13" s="47" customFormat="1" ht="12.75" customHeight="1" x14ac:dyDescent="0.2">
      <c r="B89" s="32" t="s">
        <v>306</v>
      </c>
      <c r="C89" s="17"/>
      <c r="D89"/>
      <c r="E89" s="29"/>
      <c r="F89" s="14"/>
      <c r="G89" s="15"/>
      <c r="H89" s="15"/>
      <c r="I89" s="72"/>
      <c r="J89" s="56"/>
      <c r="K89" s="49"/>
    </row>
    <row r="90" spans="1:13" s="47" customFormat="1" ht="12.75" customHeight="1" x14ac:dyDescent="0.2">
      <c r="A90" s="78">
        <f>+MAX($A$8:A89)+1</f>
        <v>68</v>
      </c>
      <c r="B90" s="66" t="s">
        <v>531</v>
      </c>
      <c r="C90" s="94" t="s">
        <v>512</v>
      </c>
      <c r="D90" t="s">
        <v>449</v>
      </c>
      <c r="E90" s="29">
        <v>40</v>
      </c>
      <c r="F90" s="14">
        <v>396.60719999999998</v>
      </c>
      <c r="G90" s="77">
        <f t="shared" ref="G90:G96" si="3">+ROUND(F90/VLOOKUP("Grand Total",$B$4:$F$291,5,0),4)</f>
        <v>2.29E-2</v>
      </c>
      <c r="H90" s="77"/>
      <c r="I90" s="65">
        <v>43671</v>
      </c>
      <c r="J90" s="56"/>
      <c r="K90" s="49"/>
    </row>
    <row r="91" spans="1:13" s="47" customFormat="1" ht="12.75" customHeight="1" x14ac:dyDescent="0.2">
      <c r="A91" s="78">
        <f>+MAX($A$8:A90)+1</f>
        <v>69</v>
      </c>
      <c r="B91" s="66" t="s">
        <v>351</v>
      </c>
      <c r="C91" s="94" t="s">
        <v>352</v>
      </c>
      <c r="D91" t="s">
        <v>532</v>
      </c>
      <c r="E91" s="29">
        <v>33</v>
      </c>
      <c r="F91" s="14">
        <v>331.48896000000002</v>
      </c>
      <c r="G91" s="77">
        <f t="shared" si="3"/>
        <v>1.9099999999999999E-2</v>
      </c>
      <c r="H91" s="77"/>
      <c r="I91" s="65">
        <v>43309</v>
      </c>
      <c r="J91" s="56"/>
      <c r="K91" s="49"/>
    </row>
    <row r="92" spans="1:13" s="47" customFormat="1" ht="12.75" customHeight="1" x14ac:dyDescent="0.2">
      <c r="A92" s="78">
        <f>+MAX($A$8:A91)+1</f>
        <v>70</v>
      </c>
      <c r="B92" s="66" t="s">
        <v>591</v>
      </c>
      <c r="C92" s="94" t="s">
        <v>448</v>
      </c>
      <c r="D92" t="s">
        <v>174</v>
      </c>
      <c r="E92" s="29">
        <v>30</v>
      </c>
      <c r="F92" s="14">
        <v>299.44290000000001</v>
      </c>
      <c r="G92" s="77">
        <f t="shared" si="3"/>
        <v>1.7299999999999999E-2</v>
      </c>
      <c r="H92" s="77"/>
      <c r="I92" s="65">
        <v>43678</v>
      </c>
      <c r="J92" s="56"/>
      <c r="K92" s="49"/>
    </row>
    <row r="93" spans="1:13" s="47" customFormat="1" ht="12.75" customHeight="1" x14ac:dyDescent="0.2">
      <c r="A93" s="78">
        <f>+MAX($A$8:A92)+1</f>
        <v>71</v>
      </c>
      <c r="B93" s="66" t="s">
        <v>486</v>
      </c>
      <c r="C93" s="94" t="s">
        <v>487</v>
      </c>
      <c r="D93" t="s">
        <v>293</v>
      </c>
      <c r="E93" s="29">
        <v>30</v>
      </c>
      <c r="F93" s="14">
        <v>298.54860000000002</v>
      </c>
      <c r="G93" s="77">
        <f t="shared" si="3"/>
        <v>1.72E-2</v>
      </c>
      <c r="H93" s="77"/>
      <c r="I93" s="65">
        <v>43630</v>
      </c>
      <c r="J93" s="56"/>
      <c r="K93" s="49"/>
    </row>
    <row r="94" spans="1:13" s="47" customFormat="1" ht="12.75" customHeight="1" x14ac:dyDescent="0.2">
      <c r="A94" s="78">
        <f>+MAX($A$8:A93)+1</f>
        <v>72</v>
      </c>
      <c r="B94" s="66" t="s">
        <v>362</v>
      </c>
      <c r="C94" s="94" t="s">
        <v>533</v>
      </c>
      <c r="D94" t="s">
        <v>364</v>
      </c>
      <c r="E94" s="29">
        <v>20000</v>
      </c>
      <c r="F94" s="14">
        <v>200.98159999999999</v>
      </c>
      <c r="G94" s="77">
        <f t="shared" si="3"/>
        <v>1.1599999999999999E-2</v>
      </c>
      <c r="H94" s="77"/>
      <c r="I94" s="65">
        <v>43717</v>
      </c>
      <c r="J94" s="56"/>
      <c r="K94" s="49"/>
    </row>
    <row r="95" spans="1:13" s="47" customFormat="1" ht="12.75" customHeight="1" x14ac:dyDescent="0.2">
      <c r="A95" s="78">
        <f>+MAX($A$8:A94)+1</f>
        <v>73</v>
      </c>
      <c r="B95" s="66" t="s">
        <v>420</v>
      </c>
      <c r="C95" s="94" t="s">
        <v>421</v>
      </c>
      <c r="D95" t="s">
        <v>364</v>
      </c>
      <c r="E95" s="29">
        <v>12</v>
      </c>
      <c r="F95" s="14">
        <v>120.03708</v>
      </c>
      <c r="G95" s="77">
        <f t="shared" si="3"/>
        <v>6.8999999999999999E-3</v>
      </c>
      <c r="H95" s="77"/>
      <c r="I95" s="65">
        <v>43322</v>
      </c>
      <c r="J95" s="56"/>
      <c r="K95" s="49"/>
    </row>
    <row r="96" spans="1:13" s="47" customFormat="1" ht="12.75" customHeight="1" x14ac:dyDescent="0.2">
      <c r="A96" s="78">
        <f>+MAX($A$8:A95)+1</f>
        <v>74</v>
      </c>
      <c r="B96" s="66" t="s">
        <v>510</v>
      </c>
      <c r="C96" s="94" t="s">
        <v>511</v>
      </c>
      <c r="D96" t="s">
        <v>108</v>
      </c>
      <c r="E96" s="29">
        <v>8</v>
      </c>
      <c r="F96" s="14">
        <v>101.5551</v>
      </c>
      <c r="G96" s="77">
        <f t="shared" si="3"/>
        <v>5.8999999999999999E-3</v>
      </c>
      <c r="H96" s="77"/>
      <c r="I96" s="65">
        <v>43757</v>
      </c>
      <c r="J96" s="56"/>
      <c r="K96" s="49"/>
    </row>
    <row r="97" spans="1:13" ht="12.75" customHeight="1" x14ac:dyDescent="0.2">
      <c r="A97" s="47"/>
      <c r="B97" s="19" t="s">
        <v>85</v>
      </c>
      <c r="C97" s="19"/>
      <c r="D97" s="19"/>
      <c r="E97" s="30"/>
      <c r="F97" s="20">
        <f>SUM(F90:F96)</f>
        <v>1748.6614400000003</v>
      </c>
      <c r="G97" s="21">
        <f>SUM(G90:G96)</f>
        <v>0.10089999999999999</v>
      </c>
      <c r="H97" s="21"/>
      <c r="I97" s="64"/>
      <c r="J97" s="57"/>
      <c r="K97" s="49"/>
      <c r="L97" s="47"/>
      <c r="M97" s="47"/>
    </row>
    <row r="98" spans="1:13" ht="12.75" customHeight="1" x14ac:dyDescent="0.2">
      <c r="F98" s="45"/>
      <c r="G98" s="15"/>
      <c r="H98" s="15"/>
      <c r="I98" s="16"/>
      <c r="J98" s="57"/>
      <c r="K98" s="37"/>
      <c r="L98"/>
    </row>
    <row r="99" spans="1:13" ht="12.75" customHeight="1" x14ac:dyDescent="0.2">
      <c r="B99" s="17" t="s">
        <v>92</v>
      </c>
      <c r="C99" s="17"/>
      <c r="F99" s="14"/>
      <c r="G99" s="15"/>
      <c r="H99" s="15"/>
      <c r="I99" s="74"/>
      <c r="J99"/>
      <c r="K99" s="37"/>
      <c r="L99"/>
    </row>
    <row r="100" spans="1:13" ht="12.75" customHeight="1" x14ac:dyDescent="0.2">
      <c r="A100" s="78">
        <f>+MAX($A$8:A99)+1</f>
        <v>75</v>
      </c>
      <c r="B100" t="s">
        <v>447</v>
      </c>
      <c r="C100" t="s">
        <v>355</v>
      </c>
      <c r="D100" t="s">
        <v>321</v>
      </c>
      <c r="E100" s="29">
        <v>20340.004499999999</v>
      </c>
      <c r="F100" s="14">
        <v>340.77025200000003</v>
      </c>
      <c r="G100" s="77">
        <f>+ROUND(F100/VLOOKUP("Grand Total",$B$4:$F$291,5,0),4)</f>
        <v>1.9599999999999999E-2</v>
      </c>
      <c r="H100" s="77"/>
      <c r="I100" s="74" t="s">
        <v>372</v>
      </c>
      <c r="J100"/>
      <c r="K100" s="37"/>
      <c r="L100"/>
    </row>
    <row r="101" spans="1:13" ht="12.75" customHeight="1" x14ac:dyDescent="0.2">
      <c r="B101" s="19" t="s">
        <v>85</v>
      </c>
      <c r="C101" s="19"/>
      <c r="D101" s="19"/>
      <c r="E101" s="30"/>
      <c r="F101" s="20">
        <f>SUM(F100:F100)</f>
        <v>340.77025200000003</v>
      </c>
      <c r="G101" s="21">
        <f>SUM(G100)</f>
        <v>1.9599999999999999E-2</v>
      </c>
      <c r="H101" s="21"/>
      <c r="I101" s="22"/>
      <c r="J101"/>
      <c r="K101" s="37"/>
      <c r="L101"/>
    </row>
    <row r="102" spans="1:13" s="47" customFormat="1" ht="12.75" customHeight="1" x14ac:dyDescent="0.2">
      <c r="B102" s="68"/>
      <c r="C102" s="68"/>
      <c r="D102" s="68"/>
      <c r="E102" s="69"/>
      <c r="F102" s="70"/>
      <c r="G102" s="71"/>
      <c r="H102" s="71"/>
      <c r="K102" s="49"/>
    </row>
    <row r="103" spans="1:13" ht="12.75" customHeight="1" x14ac:dyDescent="0.2">
      <c r="A103" s="96" t="s">
        <v>371</v>
      </c>
      <c r="B103" s="17" t="s">
        <v>93</v>
      </c>
      <c r="C103" s="17"/>
      <c r="F103" s="14">
        <v>447.29392000000001</v>
      </c>
      <c r="G103" s="77">
        <f>+ROUND(F103/VLOOKUP("Grand Total",$B$4:$F$291,5,0),4)</f>
        <v>2.58E-2</v>
      </c>
      <c r="H103" s="77"/>
      <c r="I103" s="16">
        <v>43160</v>
      </c>
      <c r="J103" s="56"/>
    </row>
    <row r="104" spans="1:13" ht="12.75" customHeight="1" x14ac:dyDescent="0.2">
      <c r="B104" s="19" t="s">
        <v>85</v>
      </c>
      <c r="C104" s="19"/>
      <c r="D104" s="19"/>
      <c r="E104" s="30"/>
      <c r="F104" s="20">
        <f>SUM(F103)</f>
        <v>447.29392000000001</v>
      </c>
      <c r="G104" s="21">
        <f>SUM(G103)</f>
        <v>2.58E-2</v>
      </c>
      <c r="H104" s="21"/>
      <c r="I104" s="22"/>
      <c r="J104" s="57"/>
    </row>
    <row r="105" spans="1:13" ht="12.75" customHeight="1" x14ac:dyDescent="0.2">
      <c r="F105" s="14"/>
      <c r="G105" s="15"/>
      <c r="H105" s="15"/>
      <c r="I105" s="16"/>
      <c r="J105" s="57"/>
    </row>
    <row r="106" spans="1:13" ht="12.75" customHeight="1" x14ac:dyDescent="0.2">
      <c r="B106" s="17" t="s">
        <v>94</v>
      </c>
      <c r="C106" s="17"/>
      <c r="F106" s="14"/>
      <c r="G106" s="15"/>
      <c r="H106" s="15"/>
      <c r="I106" s="16"/>
      <c r="J106" s="57"/>
    </row>
    <row r="107" spans="1:13" ht="12.75" customHeight="1" x14ac:dyDescent="0.2">
      <c r="B107" s="17" t="s">
        <v>95</v>
      </c>
      <c r="C107" s="17"/>
      <c r="F107" s="45">
        <f>+F109-SUMIF($B$5:B106,"Total",$F$5:F106)</f>
        <v>1231.9091187000067</v>
      </c>
      <c r="G107" s="15">
        <f>+ROUND(F107/VLOOKUP("Grand Total",$B$4:$F$272,5,0),4)-0.01%</f>
        <v>7.0899999999999991E-2</v>
      </c>
      <c r="H107" s="15"/>
      <c r="I107" s="16"/>
      <c r="J107" s="56"/>
    </row>
    <row r="108" spans="1:13" ht="12.75" customHeight="1" x14ac:dyDescent="0.2">
      <c r="B108" s="19" t="s">
        <v>85</v>
      </c>
      <c r="C108" s="19"/>
      <c r="D108" s="19"/>
      <c r="E108" s="30"/>
      <c r="F108" s="20">
        <f>SUM(F107)</f>
        <v>1231.9091187000067</v>
      </c>
      <c r="G108" s="21">
        <f>SUM(G107)</f>
        <v>7.0899999999999991E-2</v>
      </c>
      <c r="H108" s="21"/>
      <c r="I108" s="22"/>
      <c r="J108" s="40"/>
    </row>
    <row r="109" spans="1:13" ht="12.75" customHeight="1" x14ac:dyDescent="0.2">
      <c r="B109" s="23" t="s">
        <v>96</v>
      </c>
      <c r="C109" s="23"/>
      <c r="D109" s="23"/>
      <c r="E109" s="31"/>
      <c r="F109" s="24">
        <v>17343.843655200006</v>
      </c>
      <c r="G109" s="25">
        <f>+SUMIF($B$5:B108,"Total",$G$5:G108)</f>
        <v>1</v>
      </c>
      <c r="H109" s="25"/>
      <c r="I109" s="26"/>
      <c r="L109"/>
    </row>
    <row r="110" spans="1:13" ht="12.75" customHeight="1" x14ac:dyDescent="0.2">
      <c r="F110" s="41"/>
      <c r="L110"/>
    </row>
    <row r="111" spans="1:13" ht="12.75" customHeight="1" x14ac:dyDescent="0.2">
      <c r="B111" s="17" t="s">
        <v>634</v>
      </c>
      <c r="C111" s="17"/>
      <c r="F111" s="43"/>
      <c r="L111"/>
    </row>
    <row r="112" spans="1:13" ht="12.75" customHeight="1" x14ac:dyDescent="0.2">
      <c r="B112" s="17" t="s">
        <v>188</v>
      </c>
      <c r="C112" s="17"/>
      <c r="G112" s="15"/>
      <c r="H112" s="15"/>
      <c r="L112"/>
    </row>
    <row r="113" spans="2:12" ht="12.75" customHeight="1" x14ac:dyDescent="0.2">
      <c r="B113" s="17"/>
      <c r="C113" s="17"/>
      <c r="L113"/>
    </row>
    <row r="114" spans="2:12" ht="12.75" customHeight="1" x14ac:dyDescent="0.2">
      <c r="L114"/>
    </row>
    <row r="115" spans="2:12" ht="12.75" customHeight="1" x14ac:dyDescent="0.2">
      <c r="L115"/>
    </row>
    <row r="116" spans="2:12" ht="12.75" customHeight="1" x14ac:dyDescent="0.2">
      <c r="L116"/>
    </row>
    <row r="117" spans="2:12" ht="12.75" customHeight="1" x14ac:dyDescent="0.2">
      <c r="L117"/>
    </row>
    <row r="118" spans="2:12" ht="12.75" customHeight="1" x14ac:dyDescent="0.2">
      <c r="L118"/>
    </row>
    <row r="119" spans="2:12" ht="12.75" customHeight="1" x14ac:dyDescent="0.2">
      <c r="L119"/>
    </row>
    <row r="120" spans="2:12" ht="12.75" customHeight="1" x14ac:dyDescent="0.2">
      <c r="L120"/>
    </row>
    <row r="121" spans="2:12" ht="12.75" customHeight="1" x14ac:dyDescent="0.2">
      <c r="L121"/>
    </row>
    <row r="122" spans="2:12" ht="12.75" customHeight="1" x14ac:dyDescent="0.2">
      <c r="J122"/>
      <c r="L122"/>
    </row>
    <row r="123" spans="2:12" ht="12.75" customHeight="1" x14ac:dyDescent="0.2">
      <c r="E123"/>
      <c r="J123"/>
      <c r="L123"/>
    </row>
    <row r="124" spans="2:12" ht="12.75" customHeight="1" x14ac:dyDescent="0.2">
      <c r="E124"/>
      <c r="J124"/>
      <c r="L124"/>
    </row>
    <row r="125" spans="2:12" ht="12.75" customHeight="1" x14ac:dyDescent="0.2">
      <c r="E125"/>
      <c r="J125"/>
      <c r="L125"/>
    </row>
    <row r="126" spans="2:12" ht="12.75" customHeight="1" x14ac:dyDescent="0.2">
      <c r="E126"/>
      <c r="J126"/>
      <c r="L126"/>
    </row>
    <row r="127" spans="2:12" ht="12.75" customHeight="1" x14ac:dyDescent="0.2">
      <c r="E127"/>
      <c r="J127"/>
      <c r="L127"/>
    </row>
    <row r="128" spans="2:12" ht="12.75" customHeight="1" x14ac:dyDescent="0.2">
      <c r="E128"/>
      <c r="J128"/>
      <c r="L128"/>
    </row>
    <row r="129" spans="5:12" ht="12.75" customHeight="1" x14ac:dyDescent="0.2">
      <c r="E129"/>
      <c r="J129"/>
      <c r="L129"/>
    </row>
    <row r="130" spans="5:12" ht="12.75" customHeight="1" x14ac:dyDescent="0.2">
      <c r="E130"/>
      <c r="J130"/>
      <c r="L130"/>
    </row>
    <row r="131" spans="5:12" ht="12.75" customHeight="1" x14ac:dyDescent="0.2">
      <c r="E131"/>
      <c r="J131"/>
      <c r="L131"/>
    </row>
    <row r="132" spans="5:12" ht="12.75" customHeight="1" x14ac:dyDescent="0.2">
      <c r="E132"/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ht="12.75" customHeight="1" x14ac:dyDescent="0.2">
      <c r="E153"/>
      <c r="J153"/>
      <c r="L153"/>
    </row>
    <row r="154" spans="5:12" ht="12.75" customHeight="1" x14ac:dyDescent="0.2">
      <c r="E154"/>
      <c r="J154"/>
      <c r="L154"/>
    </row>
    <row r="155" spans="5:12" ht="12.75" customHeight="1" x14ac:dyDescent="0.2">
      <c r="E155"/>
      <c r="J155"/>
      <c r="L155"/>
    </row>
    <row r="156" spans="5:12" ht="12.75" customHeight="1" x14ac:dyDescent="0.2">
      <c r="E156"/>
      <c r="J156"/>
      <c r="L156"/>
    </row>
    <row r="157" spans="5:12" ht="12.75" customHeight="1" x14ac:dyDescent="0.2">
      <c r="E157"/>
      <c r="J157"/>
      <c r="L157"/>
    </row>
    <row r="158" spans="5:12" ht="12.75" customHeight="1" x14ac:dyDescent="0.2">
      <c r="E158"/>
      <c r="J158"/>
      <c r="L158"/>
    </row>
    <row r="159" spans="5:12" ht="12.75" customHeight="1" x14ac:dyDescent="0.2">
      <c r="E159"/>
      <c r="J159"/>
      <c r="L159"/>
    </row>
    <row r="160" spans="5:12" x14ac:dyDescent="0.2">
      <c r="E160"/>
      <c r="J160"/>
      <c r="L160"/>
    </row>
    <row r="161" spans="5:5" x14ac:dyDescent="0.2">
      <c r="E161"/>
    </row>
  </sheetData>
  <sheetProtection password="EDB3" sheet="1" objects="1" scenarios="1"/>
  <sortState ref="K9:L34">
    <sortCondition descending="1" ref="L9:L34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42.85546875" bestFit="1" customWidth="1"/>
    <col min="11" max="11" width="8" style="37" customWidth="1"/>
  </cols>
  <sheetData>
    <row r="1" spans="1:16" ht="18.75" x14ac:dyDescent="0.2">
      <c r="A1" s="95" t="s">
        <v>379</v>
      </c>
      <c r="B1" s="126" t="s">
        <v>162</v>
      </c>
      <c r="C1" s="127"/>
      <c r="D1" s="127"/>
      <c r="E1" s="127"/>
      <c r="F1" s="127"/>
      <c r="G1" s="127"/>
      <c r="H1" s="128"/>
    </row>
    <row r="2" spans="1:16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</row>
    <row r="7" spans="1:16" ht="12.75" customHeight="1" x14ac:dyDescent="0.2">
      <c r="B7" s="17" t="s">
        <v>9</v>
      </c>
      <c r="C7" s="17"/>
      <c r="F7" s="14"/>
      <c r="G7" s="15"/>
      <c r="H7" s="16"/>
    </row>
    <row r="8" spans="1:16" ht="12.75" customHeight="1" x14ac:dyDescent="0.2">
      <c r="B8" s="17" t="s">
        <v>407</v>
      </c>
      <c r="C8" s="17"/>
      <c r="F8" s="14"/>
      <c r="G8" s="15"/>
      <c r="H8" s="16"/>
      <c r="J8" s="18" t="s">
        <v>699</v>
      </c>
      <c r="K8" s="38" t="s">
        <v>13</v>
      </c>
    </row>
    <row r="9" spans="1:16" ht="12.75" customHeight="1" x14ac:dyDescent="0.2">
      <c r="A9">
        <f>+MAX($A$8:A8)+1</f>
        <v>1</v>
      </c>
      <c r="B9" t="s">
        <v>194</v>
      </c>
      <c r="C9" t="s">
        <v>14</v>
      </c>
      <c r="D9" t="s">
        <v>10</v>
      </c>
      <c r="E9" s="29">
        <v>89534</v>
      </c>
      <c r="F9" s="14">
        <v>1686.999628</v>
      </c>
      <c r="G9" s="15">
        <f t="shared" ref="G9:G40" si="0">+ROUND(F9/VLOOKUP("Grand Total",$B$4:$F$275,5,0),4)</f>
        <v>4.3900000000000002E-2</v>
      </c>
      <c r="H9" s="16" t="s">
        <v>372</v>
      </c>
      <c r="J9" s="15" t="s">
        <v>10</v>
      </c>
      <c r="K9" s="49">
        <f t="shared" ref="K9:K31" si="1">SUMIFS($G$5:$G$312,$D$5:$D$312,J9)</f>
        <v>0.19350000000000001</v>
      </c>
    </row>
    <row r="10" spans="1:16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9">
        <v>477443</v>
      </c>
      <c r="F10" s="14">
        <v>1495.5901974999999</v>
      </c>
      <c r="G10" s="15">
        <f t="shared" si="0"/>
        <v>3.8899999999999997E-2</v>
      </c>
      <c r="H10" s="16" t="s">
        <v>372</v>
      </c>
      <c r="J10" s="15" t="s">
        <v>26</v>
      </c>
      <c r="K10" s="49">
        <f t="shared" si="1"/>
        <v>0.11729999999999999</v>
      </c>
    </row>
    <row r="11" spans="1:16" ht="12.75" customHeight="1" x14ac:dyDescent="0.2">
      <c r="A11">
        <f>+MAX($A$8:A10)+1</f>
        <v>3</v>
      </c>
      <c r="B11" t="s">
        <v>195</v>
      </c>
      <c r="C11" t="s">
        <v>16</v>
      </c>
      <c r="D11" t="s">
        <v>15</v>
      </c>
      <c r="E11" s="29">
        <v>103297</v>
      </c>
      <c r="F11" s="14">
        <v>1211.260622</v>
      </c>
      <c r="G11" s="15">
        <f t="shared" si="0"/>
        <v>3.15E-2</v>
      </c>
      <c r="H11" s="16" t="s">
        <v>372</v>
      </c>
      <c r="J11" s="15" t="s">
        <v>15</v>
      </c>
      <c r="K11" s="49">
        <f t="shared" si="1"/>
        <v>7.4300000000000005E-2</v>
      </c>
      <c r="M11" s="15"/>
      <c r="N11" s="37"/>
      <c r="O11" s="37"/>
      <c r="P11" s="15"/>
    </row>
    <row r="12" spans="1:16" ht="12.75" customHeight="1" x14ac:dyDescent="0.2">
      <c r="A12">
        <f>+MAX($A$8:A11)+1</f>
        <v>4</v>
      </c>
      <c r="B12" t="s">
        <v>196</v>
      </c>
      <c r="C12" t="s">
        <v>31</v>
      </c>
      <c r="D12" t="s">
        <v>30</v>
      </c>
      <c r="E12" s="29">
        <v>125452</v>
      </c>
      <c r="F12" s="14">
        <v>1197.502066</v>
      </c>
      <c r="G12" s="15">
        <f t="shared" si="0"/>
        <v>3.1099999999999999E-2</v>
      </c>
      <c r="H12" s="16" t="s">
        <v>372</v>
      </c>
      <c r="J12" s="15" t="s">
        <v>28</v>
      </c>
      <c r="K12" s="49">
        <f t="shared" si="1"/>
        <v>5.8099999999999999E-2</v>
      </c>
      <c r="M12" s="15"/>
      <c r="N12" s="37"/>
      <c r="P12" s="15"/>
    </row>
    <row r="13" spans="1:16" ht="12.75" customHeight="1" x14ac:dyDescent="0.2">
      <c r="A13">
        <f>+MAX($A$8:A12)+1</f>
        <v>5</v>
      </c>
      <c r="B13" t="s">
        <v>227</v>
      </c>
      <c r="C13" t="s">
        <v>71</v>
      </c>
      <c r="D13" t="s">
        <v>28</v>
      </c>
      <c r="E13" s="29">
        <v>85362</v>
      </c>
      <c r="F13" s="14">
        <v>1125.1992029999999</v>
      </c>
      <c r="G13" s="15">
        <f t="shared" si="0"/>
        <v>2.93E-2</v>
      </c>
      <c r="H13" s="16" t="s">
        <v>372</v>
      </c>
      <c r="J13" s="15" t="s">
        <v>36</v>
      </c>
      <c r="K13" s="49">
        <f t="shared" si="1"/>
        <v>5.3599999999999995E-2</v>
      </c>
      <c r="M13" s="15"/>
      <c r="N13" s="37"/>
      <c r="P13" s="15"/>
    </row>
    <row r="14" spans="1:16" ht="12.75" customHeight="1" x14ac:dyDescent="0.2">
      <c r="A14">
        <f>+MAX($A$8:A13)+1</f>
        <v>6</v>
      </c>
      <c r="B14" t="s">
        <v>200</v>
      </c>
      <c r="C14" t="s">
        <v>27</v>
      </c>
      <c r="D14" t="s">
        <v>24</v>
      </c>
      <c r="E14" s="29">
        <v>58670</v>
      </c>
      <c r="F14" s="14">
        <v>1061.1642899999999</v>
      </c>
      <c r="G14" s="15">
        <f t="shared" si="0"/>
        <v>2.76E-2</v>
      </c>
      <c r="H14" s="16" t="s">
        <v>372</v>
      </c>
      <c r="J14" s="15" t="s">
        <v>21</v>
      </c>
      <c r="K14" s="49">
        <f t="shared" si="1"/>
        <v>5.2699999999999997E-2</v>
      </c>
      <c r="M14" s="15"/>
      <c r="N14" s="37"/>
      <c r="P14" s="15"/>
    </row>
    <row r="15" spans="1:16" ht="12.75" customHeight="1" x14ac:dyDescent="0.2">
      <c r="A15">
        <f>+MAX($A$8:A14)+1</f>
        <v>7</v>
      </c>
      <c r="B15" t="s">
        <v>203</v>
      </c>
      <c r="C15" t="s">
        <v>46</v>
      </c>
      <c r="D15" t="s">
        <v>26</v>
      </c>
      <c r="E15" s="29">
        <v>361866</v>
      </c>
      <c r="F15" s="14">
        <v>959.12583299999994</v>
      </c>
      <c r="G15" s="15">
        <f t="shared" si="0"/>
        <v>2.4899999999999999E-2</v>
      </c>
      <c r="H15" s="16" t="s">
        <v>372</v>
      </c>
      <c r="J15" s="15" t="s">
        <v>24</v>
      </c>
      <c r="K15" s="49">
        <f t="shared" si="1"/>
        <v>4.8700000000000007E-2</v>
      </c>
      <c r="M15" s="15"/>
      <c r="N15" s="37"/>
      <c r="P15" s="15"/>
    </row>
    <row r="16" spans="1:16" ht="12.75" customHeight="1" x14ac:dyDescent="0.2">
      <c r="A16">
        <f>+MAX($A$8:A15)+1</f>
        <v>8</v>
      </c>
      <c r="B16" t="s">
        <v>17</v>
      </c>
      <c r="C16" t="s">
        <v>18</v>
      </c>
      <c r="D16" t="s">
        <v>10</v>
      </c>
      <c r="E16" s="29">
        <v>333301</v>
      </c>
      <c r="F16" s="14">
        <v>893.24667999999997</v>
      </c>
      <c r="G16" s="15">
        <f t="shared" si="0"/>
        <v>2.3199999999999998E-2</v>
      </c>
      <c r="H16" s="16" t="s">
        <v>372</v>
      </c>
      <c r="J16" s="15" t="s">
        <v>19</v>
      </c>
      <c r="K16" s="49">
        <f t="shared" si="1"/>
        <v>4.7700000000000006E-2</v>
      </c>
      <c r="M16" s="15"/>
      <c r="N16" s="37"/>
      <c r="P16" s="15"/>
    </row>
    <row r="17" spans="1:16" ht="12.75" customHeight="1" x14ac:dyDescent="0.2">
      <c r="A17">
        <f>+MAX($A$8:A16)+1</f>
        <v>9</v>
      </c>
      <c r="B17" t="s">
        <v>318</v>
      </c>
      <c r="C17" t="s">
        <v>319</v>
      </c>
      <c r="D17" t="s">
        <v>143</v>
      </c>
      <c r="E17" s="29">
        <v>166066</v>
      </c>
      <c r="F17" s="14">
        <v>876.08118300000001</v>
      </c>
      <c r="G17" s="15">
        <f t="shared" si="0"/>
        <v>2.2800000000000001E-2</v>
      </c>
      <c r="H17" s="16" t="s">
        <v>372</v>
      </c>
      <c r="J17" s="15" t="s">
        <v>133</v>
      </c>
      <c r="K17" s="49">
        <f t="shared" si="1"/>
        <v>4.3700000000000003E-2</v>
      </c>
      <c r="M17" s="15"/>
      <c r="N17" s="37"/>
      <c r="P17" s="15"/>
    </row>
    <row r="18" spans="1:16" ht="12.75" customHeight="1" x14ac:dyDescent="0.2">
      <c r="A18">
        <f>+MAX($A$8:A17)+1</f>
        <v>10</v>
      </c>
      <c r="B18" t="s">
        <v>233</v>
      </c>
      <c r="C18" t="s">
        <v>78</v>
      </c>
      <c r="D18" t="s">
        <v>26</v>
      </c>
      <c r="E18" s="29">
        <v>26016</v>
      </c>
      <c r="F18" s="14">
        <v>856.43371200000001</v>
      </c>
      <c r="G18" s="15">
        <f t="shared" si="0"/>
        <v>2.23E-2</v>
      </c>
      <c r="H18" s="16" t="s">
        <v>372</v>
      </c>
      <c r="J18" s="15" t="s">
        <v>23</v>
      </c>
      <c r="K18" s="49">
        <f t="shared" si="1"/>
        <v>4.2999999999999997E-2</v>
      </c>
      <c r="M18" s="15"/>
      <c r="N18" s="37"/>
      <c r="P18" s="15"/>
    </row>
    <row r="19" spans="1:16" ht="12.75" customHeight="1" x14ac:dyDescent="0.2">
      <c r="A19">
        <f>+MAX($A$8:A18)+1</f>
        <v>11</v>
      </c>
      <c r="B19" t="s">
        <v>199</v>
      </c>
      <c r="C19" t="s">
        <v>25</v>
      </c>
      <c r="D19" t="s">
        <v>15</v>
      </c>
      <c r="E19" s="29">
        <v>90069</v>
      </c>
      <c r="F19" s="14">
        <v>846.91880700000002</v>
      </c>
      <c r="G19" s="15">
        <f t="shared" si="0"/>
        <v>2.1999999999999999E-2</v>
      </c>
      <c r="H19" s="16" t="s">
        <v>372</v>
      </c>
      <c r="J19" s="15" t="s">
        <v>41</v>
      </c>
      <c r="K19" s="49">
        <f t="shared" si="1"/>
        <v>3.4099999999999998E-2</v>
      </c>
      <c r="M19" s="15"/>
      <c r="N19" s="37"/>
      <c r="P19" s="15"/>
    </row>
    <row r="20" spans="1:16" ht="12.75" customHeight="1" x14ac:dyDescent="0.2">
      <c r="A20">
        <f>+MAX($A$8:A19)+1</f>
        <v>12</v>
      </c>
      <c r="B20" t="s">
        <v>226</v>
      </c>
      <c r="C20" t="s">
        <v>66</v>
      </c>
      <c r="D20" t="s">
        <v>28</v>
      </c>
      <c r="E20" s="29">
        <v>198268</v>
      </c>
      <c r="F20" s="14">
        <v>823.30786999999998</v>
      </c>
      <c r="G20" s="15">
        <f t="shared" si="0"/>
        <v>2.1399999999999999E-2</v>
      </c>
      <c r="H20" s="16" t="s">
        <v>372</v>
      </c>
      <c r="J20" s="15" t="s">
        <v>38</v>
      </c>
      <c r="K20" s="49">
        <f t="shared" si="1"/>
        <v>3.3599999999999998E-2</v>
      </c>
      <c r="M20" s="15"/>
      <c r="N20" s="37"/>
      <c r="P20" s="15"/>
    </row>
    <row r="21" spans="1:16" ht="12.75" customHeight="1" x14ac:dyDescent="0.2">
      <c r="A21">
        <f>+MAX($A$8:A20)+1</f>
        <v>13</v>
      </c>
      <c r="B21" t="s">
        <v>218</v>
      </c>
      <c r="C21" t="s">
        <v>20</v>
      </c>
      <c r="D21" t="s">
        <v>15</v>
      </c>
      <c r="E21" s="29">
        <v>26320</v>
      </c>
      <c r="F21" s="14">
        <v>798.82515999999998</v>
      </c>
      <c r="G21" s="15">
        <f t="shared" si="0"/>
        <v>2.0799999999999999E-2</v>
      </c>
      <c r="H21" s="16" t="s">
        <v>372</v>
      </c>
      <c r="J21" t="s">
        <v>30</v>
      </c>
      <c r="K21" s="49">
        <f t="shared" si="1"/>
        <v>3.1099999999999999E-2</v>
      </c>
      <c r="M21" s="15"/>
      <c r="N21" s="37"/>
      <c r="P21" s="15"/>
    </row>
    <row r="22" spans="1:16" ht="12.75" customHeight="1" x14ac:dyDescent="0.2">
      <c r="A22">
        <f>+MAX($A$8:A21)+1</f>
        <v>14</v>
      </c>
      <c r="B22" t="s">
        <v>310</v>
      </c>
      <c r="C22" t="s">
        <v>76</v>
      </c>
      <c r="D22" t="s">
        <v>38</v>
      </c>
      <c r="E22" s="29">
        <v>224228</v>
      </c>
      <c r="F22" s="14">
        <v>792.19752400000004</v>
      </c>
      <c r="G22" s="15">
        <f t="shared" si="0"/>
        <v>2.06E-2</v>
      </c>
      <c r="H22" s="16" t="s">
        <v>372</v>
      </c>
      <c r="J22" s="15" t="s">
        <v>143</v>
      </c>
      <c r="K22" s="49">
        <f t="shared" si="1"/>
        <v>2.2800000000000001E-2</v>
      </c>
      <c r="M22" s="15"/>
      <c r="N22" s="37"/>
      <c r="P22" s="15"/>
    </row>
    <row r="23" spans="1:16" ht="12.75" customHeight="1" x14ac:dyDescent="0.2">
      <c r="A23">
        <f>+MAX($A$8:A22)+1</f>
        <v>15</v>
      </c>
      <c r="B23" t="s">
        <v>347</v>
      </c>
      <c r="C23" t="s">
        <v>412</v>
      </c>
      <c r="D23" t="s">
        <v>133</v>
      </c>
      <c r="E23" s="29">
        <v>64462</v>
      </c>
      <c r="F23" s="14">
        <v>773.35061400000006</v>
      </c>
      <c r="G23" s="15">
        <f t="shared" si="0"/>
        <v>2.01E-2</v>
      </c>
      <c r="H23" s="16" t="s">
        <v>372</v>
      </c>
      <c r="J23" s="15" t="s">
        <v>45</v>
      </c>
      <c r="K23" s="49">
        <f t="shared" si="1"/>
        <v>1.8700000000000001E-2</v>
      </c>
      <c r="M23" s="15"/>
      <c r="N23" s="37"/>
      <c r="P23" s="15"/>
    </row>
    <row r="24" spans="1:16" ht="12.75" customHeight="1" x14ac:dyDescent="0.2">
      <c r="A24">
        <f>+MAX($A$8:A23)+1</f>
        <v>16</v>
      </c>
      <c r="B24" t="s">
        <v>578</v>
      </c>
      <c r="C24" t="s">
        <v>579</v>
      </c>
      <c r="D24" t="s">
        <v>36</v>
      </c>
      <c r="E24" s="29">
        <v>855000</v>
      </c>
      <c r="F24" s="14">
        <v>722.47500000000002</v>
      </c>
      <c r="G24" s="15">
        <f t="shared" si="0"/>
        <v>1.8800000000000001E-2</v>
      </c>
      <c r="H24" s="16" t="s">
        <v>372</v>
      </c>
      <c r="J24" s="15" t="s">
        <v>411</v>
      </c>
      <c r="K24" s="49">
        <f t="shared" si="1"/>
        <v>1.8599999999999998E-2</v>
      </c>
      <c r="M24" s="15"/>
      <c r="N24" s="37"/>
      <c r="P24" s="15"/>
    </row>
    <row r="25" spans="1:16" ht="12.75" customHeight="1" x14ac:dyDescent="0.2">
      <c r="A25">
        <f>+MAX($A$8:A24)+1</f>
        <v>17</v>
      </c>
      <c r="B25" t="s">
        <v>409</v>
      </c>
      <c r="C25" t="s">
        <v>410</v>
      </c>
      <c r="D25" t="s">
        <v>411</v>
      </c>
      <c r="E25" s="29">
        <v>424966</v>
      </c>
      <c r="F25" s="14">
        <v>717.13012500000002</v>
      </c>
      <c r="G25" s="15">
        <f t="shared" si="0"/>
        <v>1.8599999999999998E-2</v>
      </c>
      <c r="H25" s="16" t="s">
        <v>372</v>
      </c>
      <c r="J25" s="15" t="s">
        <v>51</v>
      </c>
      <c r="K25" s="49">
        <f t="shared" si="1"/>
        <v>1.3899999999999999E-2</v>
      </c>
      <c r="M25" s="15"/>
      <c r="N25" s="37"/>
      <c r="P25" s="15"/>
    </row>
    <row r="26" spans="1:16" ht="12.75" customHeight="1" x14ac:dyDescent="0.2">
      <c r="A26">
        <f>+MAX($A$8:A25)+1</f>
        <v>18</v>
      </c>
      <c r="B26" t="s">
        <v>205</v>
      </c>
      <c r="C26" t="s">
        <v>48</v>
      </c>
      <c r="D26" t="s">
        <v>26</v>
      </c>
      <c r="E26" s="29">
        <v>14166</v>
      </c>
      <c r="F26" s="14">
        <v>707.485455</v>
      </c>
      <c r="G26" s="15">
        <f t="shared" si="0"/>
        <v>1.84E-2</v>
      </c>
      <c r="H26" s="16" t="s">
        <v>372</v>
      </c>
      <c r="J26" s="15" t="s">
        <v>37</v>
      </c>
      <c r="K26" s="49">
        <f t="shared" si="1"/>
        <v>1.34E-2</v>
      </c>
      <c r="M26" s="15"/>
      <c r="N26" s="37"/>
      <c r="P26" s="15"/>
    </row>
    <row r="27" spans="1:16" ht="12.75" customHeight="1" x14ac:dyDescent="0.2">
      <c r="A27">
        <f>+MAX($A$8:A26)+1</f>
        <v>19</v>
      </c>
      <c r="B27" t="s">
        <v>311</v>
      </c>
      <c r="C27" t="s">
        <v>67</v>
      </c>
      <c r="D27" t="s">
        <v>19</v>
      </c>
      <c r="E27" s="29">
        <v>435230</v>
      </c>
      <c r="F27" s="14">
        <v>693.10377500000004</v>
      </c>
      <c r="G27" s="15">
        <f t="shared" si="0"/>
        <v>1.7999999999999999E-2</v>
      </c>
      <c r="H27" s="16" t="s">
        <v>372</v>
      </c>
      <c r="J27" s="15" t="s">
        <v>492</v>
      </c>
      <c r="K27" s="49">
        <f t="shared" si="1"/>
        <v>1.2999999999999999E-2</v>
      </c>
      <c r="M27" s="15"/>
      <c r="N27" s="37"/>
      <c r="P27" s="15"/>
    </row>
    <row r="28" spans="1:16" ht="12.75" customHeight="1" x14ac:dyDescent="0.2">
      <c r="A28">
        <f>+MAX($A$8:A27)+1</f>
        <v>20</v>
      </c>
      <c r="B28" t="s">
        <v>208</v>
      </c>
      <c r="C28" t="s">
        <v>52</v>
      </c>
      <c r="D28" t="s">
        <v>41</v>
      </c>
      <c r="E28" s="29">
        <v>588703</v>
      </c>
      <c r="F28" s="14">
        <v>688.48815849999994</v>
      </c>
      <c r="G28" s="15">
        <f t="shared" si="0"/>
        <v>1.7899999999999999E-2</v>
      </c>
      <c r="H28" s="16" t="s">
        <v>372</v>
      </c>
      <c r="J28" t="s">
        <v>43</v>
      </c>
      <c r="K28" s="49">
        <f t="shared" si="1"/>
        <v>0.01</v>
      </c>
      <c r="M28" s="15"/>
      <c r="N28" s="37"/>
      <c r="P28" s="15"/>
    </row>
    <row r="29" spans="1:16" ht="12.75" customHeight="1" x14ac:dyDescent="0.2">
      <c r="A29">
        <f>+MAX($A$8:A28)+1</f>
        <v>21</v>
      </c>
      <c r="B29" t="s">
        <v>395</v>
      </c>
      <c r="C29" t="s">
        <v>394</v>
      </c>
      <c r="D29" t="s">
        <v>26</v>
      </c>
      <c r="E29" s="29">
        <v>208229</v>
      </c>
      <c r="F29" s="14">
        <v>676.8483645</v>
      </c>
      <c r="G29" s="15">
        <f t="shared" si="0"/>
        <v>1.7600000000000001E-2</v>
      </c>
      <c r="H29" s="16" t="s">
        <v>372</v>
      </c>
      <c r="J29" s="15" t="s">
        <v>34</v>
      </c>
      <c r="K29" s="49">
        <f t="shared" si="1"/>
        <v>7.1000000000000004E-3</v>
      </c>
      <c r="L29" s="55">
        <f>+SUM($K$9:K27)</f>
        <v>0.93179999999999996</v>
      </c>
      <c r="M29" s="15"/>
      <c r="N29" s="37"/>
      <c r="P29" s="15"/>
    </row>
    <row r="30" spans="1:16" ht="12.75" customHeight="1" x14ac:dyDescent="0.2">
      <c r="A30">
        <f>+MAX($A$8:A29)+1</f>
        <v>22</v>
      </c>
      <c r="B30" t="s">
        <v>580</v>
      </c>
      <c r="C30" t="s">
        <v>581</v>
      </c>
      <c r="D30" t="s">
        <v>26</v>
      </c>
      <c r="E30" s="29">
        <v>10010</v>
      </c>
      <c r="F30" s="14">
        <v>670.35969</v>
      </c>
      <c r="G30" s="15">
        <f t="shared" si="0"/>
        <v>1.7399999999999999E-2</v>
      </c>
      <c r="H30" s="16" t="s">
        <v>372</v>
      </c>
      <c r="J30" s="15" t="s">
        <v>433</v>
      </c>
      <c r="K30" s="49">
        <f t="shared" si="1"/>
        <v>3.3E-3</v>
      </c>
      <c r="L30" s="55"/>
      <c r="M30" s="15"/>
      <c r="N30" s="37"/>
      <c r="P30" s="15"/>
    </row>
    <row r="31" spans="1:16" ht="12.75" customHeight="1" x14ac:dyDescent="0.2">
      <c r="A31">
        <f>+MAX($A$8:A30)+1</f>
        <v>23</v>
      </c>
      <c r="B31" t="s">
        <v>252</v>
      </c>
      <c r="C31" t="s">
        <v>115</v>
      </c>
      <c r="D31" t="s">
        <v>36</v>
      </c>
      <c r="E31" s="29">
        <v>396200</v>
      </c>
      <c r="F31" s="14">
        <v>646.79650000000004</v>
      </c>
      <c r="G31" s="15">
        <f t="shared" si="0"/>
        <v>1.6799999999999999E-2</v>
      </c>
      <c r="H31" s="16" t="s">
        <v>372</v>
      </c>
      <c r="J31" s="15" t="s">
        <v>102</v>
      </c>
      <c r="K31" s="49">
        <f t="shared" si="1"/>
        <v>0</v>
      </c>
      <c r="M31" s="15"/>
      <c r="N31" s="37"/>
      <c r="P31" s="15"/>
    </row>
    <row r="32" spans="1:16" ht="12.75" customHeight="1" x14ac:dyDescent="0.2">
      <c r="A32">
        <f>+MAX($A$8:A31)+1</f>
        <v>24</v>
      </c>
      <c r="B32" t="s">
        <v>309</v>
      </c>
      <c r="C32" t="s">
        <v>57</v>
      </c>
      <c r="D32" t="s">
        <v>26</v>
      </c>
      <c r="E32" s="29">
        <v>44862</v>
      </c>
      <c r="F32" s="14">
        <v>640.67422199999999</v>
      </c>
      <c r="G32" s="15">
        <f t="shared" si="0"/>
        <v>1.67E-2</v>
      </c>
      <c r="H32" s="16" t="s">
        <v>372</v>
      </c>
      <c r="J32" s="15" t="s">
        <v>64</v>
      </c>
      <c r="K32" s="49">
        <f>+SUMIFS($G$5:$G$996,$B$5:$B$996,"CBLO / Reverse Repo Investments")+SUMIFS($G$5:$G$996,$B$5:$B$996,"Net Receivable/Payable")</f>
        <v>4.7799999999999995E-2</v>
      </c>
      <c r="M32" s="15"/>
      <c r="N32" s="37"/>
      <c r="P32" s="15"/>
    </row>
    <row r="33" spans="1:16" ht="12.75" customHeight="1" x14ac:dyDescent="0.2">
      <c r="A33">
        <f>+MAX($A$8:A32)+1</f>
        <v>25</v>
      </c>
      <c r="B33" t="s">
        <v>278</v>
      </c>
      <c r="C33" t="s">
        <v>146</v>
      </c>
      <c r="D33" t="s">
        <v>41</v>
      </c>
      <c r="E33" s="29">
        <v>83088</v>
      </c>
      <c r="F33" s="14">
        <v>624.82176000000004</v>
      </c>
      <c r="G33" s="15">
        <f t="shared" si="0"/>
        <v>1.6199999999999999E-2</v>
      </c>
      <c r="H33" s="16" t="s">
        <v>372</v>
      </c>
      <c r="M33" s="15"/>
      <c r="N33" s="37"/>
      <c r="P33" s="15"/>
    </row>
    <row r="34" spans="1:16" ht="12.75" customHeight="1" x14ac:dyDescent="0.2">
      <c r="A34">
        <f>+MAX($A$8:A33)+1</f>
        <v>26</v>
      </c>
      <c r="B34" t="s">
        <v>214</v>
      </c>
      <c r="C34" t="s">
        <v>98</v>
      </c>
      <c r="D34" t="s">
        <v>10</v>
      </c>
      <c r="E34" s="29">
        <v>54915</v>
      </c>
      <c r="F34" s="14">
        <v>598.87553249999996</v>
      </c>
      <c r="G34" s="15">
        <f t="shared" si="0"/>
        <v>1.5599999999999999E-2</v>
      </c>
      <c r="H34" s="16" t="s">
        <v>372</v>
      </c>
      <c r="M34" s="15"/>
      <c r="N34" s="37"/>
      <c r="P34" s="15"/>
    </row>
    <row r="35" spans="1:16" ht="12.75" customHeight="1" x14ac:dyDescent="0.2">
      <c r="A35">
        <f>+MAX($A$8:A34)+1</f>
        <v>27</v>
      </c>
      <c r="B35" t="s">
        <v>250</v>
      </c>
      <c r="C35" t="s">
        <v>112</v>
      </c>
      <c r="D35" t="s">
        <v>21</v>
      </c>
      <c r="E35" s="29">
        <v>16598</v>
      </c>
      <c r="F35" s="14">
        <v>596.98026600000003</v>
      </c>
      <c r="G35" s="15">
        <f t="shared" si="0"/>
        <v>1.55E-2</v>
      </c>
      <c r="H35" s="16" t="s">
        <v>372</v>
      </c>
    </row>
    <row r="36" spans="1:16" ht="12.75" customHeight="1" x14ac:dyDescent="0.2">
      <c r="A36">
        <f>+MAX($A$8:A35)+1</f>
        <v>28</v>
      </c>
      <c r="B36" t="s">
        <v>211</v>
      </c>
      <c r="C36" t="s">
        <v>49</v>
      </c>
      <c r="D36" t="s">
        <v>21</v>
      </c>
      <c r="E36" s="29">
        <v>6577</v>
      </c>
      <c r="F36" s="14">
        <v>582.12698149999994</v>
      </c>
      <c r="G36" s="15">
        <f t="shared" si="0"/>
        <v>1.5100000000000001E-2</v>
      </c>
      <c r="H36" s="16" t="s">
        <v>372</v>
      </c>
    </row>
    <row r="37" spans="1:16" ht="12.75" customHeight="1" x14ac:dyDescent="0.2">
      <c r="A37">
        <f>+MAX($A$8:A36)+1</f>
        <v>29</v>
      </c>
      <c r="B37" t="s">
        <v>544</v>
      </c>
      <c r="C37" t="s">
        <v>545</v>
      </c>
      <c r="D37" t="s">
        <v>133</v>
      </c>
      <c r="E37" s="29">
        <v>151654</v>
      </c>
      <c r="F37" s="14">
        <v>577.65008599999999</v>
      </c>
      <c r="G37" s="15">
        <f t="shared" si="0"/>
        <v>1.4999999999999999E-2</v>
      </c>
      <c r="H37" s="16" t="s">
        <v>372</v>
      </c>
    </row>
    <row r="38" spans="1:16" ht="12.75" customHeight="1" x14ac:dyDescent="0.2">
      <c r="A38">
        <f>+MAX($A$8:A37)+1</f>
        <v>30</v>
      </c>
      <c r="B38" t="s">
        <v>222</v>
      </c>
      <c r="C38" t="s">
        <v>63</v>
      </c>
      <c r="D38" t="s">
        <v>36</v>
      </c>
      <c r="E38" s="29">
        <v>107294</v>
      </c>
      <c r="F38" s="14">
        <v>537.864822</v>
      </c>
      <c r="G38" s="15">
        <f t="shared" si="0"/>
        <v>1.4E-2</v>
      </c>
      <c r="H38" s="16" t="s">
        <v>372</v>
      </c>
    </row>
    <row r="39" spans="1:16" ht="12.75" customHeight="1" x14ac:dyDescent="0.2">
      <c r="A39">
        <f>+MAX($A$8:A38)+1</f>
        <v>31</v>
      </c>
      <c r="B39" t="s">
        <v>230</v>
      </c>
      <c r="C39" t="s">
        <v>79</v>
      </c>
      <c r="D39" t="s">
        <v>51</v>
      </c>
      <c r="E39" s="29">
        <v>172412</v>
      </c>
      <c r="F39" s="14">
        <v>533.01169800000002</v>
      </c>
      <c r="G39" s="15">
        <f t="shared" si="0"/>
        <v>1.3899999999999999E-2</v>
      </c>
      <c r="H39" s="16" t="s">
        <v>372</v>
      </c>
    </row>
    <row r="40" spans="1:16" ht="12.75" customHeight="1" x14ac:dyDescent="0.2">
      <c r="A40">
        <f>+MAX($A$8:A39)+1</f>
        <v>32</v>
      </c>
      <c r="B40" t="s">
        <v>700</v>
      </c>
      <c r="C40" t="s">
        <v>701</v>
      </c>
      <c r="D40" t="s">
        <v>37</v>
      </c>
      <c r="E40" s="29">
        <v>38581</v>
      </c>
      <c r="F40" s="14">
        <v>515.32641699999999</v>
      </c>
      <c r="G40" s="15">
        <f t="shared" si="0"/>
        <v>1.34E-2</v>
      </c>
      <c r="H40" s="16" t="s">
        <v>372</v>
      </c>
    </row>
    <row r="41" spans="1:16" ht="12.75" customHeight="1" x14ac:dyDescent="0.2">
      <c r="A41">
        <f>+MAX($A$8:A40)+1</f>
        <v>33</v>
      </c>
      <c r="B41" t="s">
        <v>213</v>
      </c>
      <c r="C41" t="s">
        <v>74</v>
      </c>
      <c r="D41" t="s">
        <v>492</v>
      </c>
      <c r="E41" s="29">
        <v>364687</v>
      </c>
      <c r="F41" s="14">
        <v>500.16822049999996</v>
      </c>
      <c r="G41" s="15">
        <f t="shared" ref="G41:G69" si="2">+ROUND(F41/VLOOKUP("Grand Total",$B$4:$F$275,5,0),4)</f>
        <v>1.2999999999999999E-2</v>
      </c>
      <c r="H41" s="16" t="s">
        <v>372</v>
      </c>
    </row>
    <row r="42" spans="1:16" ht="12.75" customHeight="1" x14ac:dyDescent="0.2">
      <c r="A42">
        <f>+MAX($A$8:A41)+1</f>
        <v>34</v>
      </c>
      <c r="B42" t="s">
        <v>368</v>
      </c>
      <c r="C42" t="s">
        <v>369</v>
      </c>
      <c r="D42" t="s">
        <v>38</v>
      </c>
      <c r="E42" s="29">
        <v>616360</v>
      </c>
      <c r="F42" s="14">
        <v>499.86795999999998</v>
      </c>
      <c r="G42" s="15">
        <f t="shared" si="2"/>
        <v>1.2999999999999999E-2</v>
      </c>
      <c r="H42" s="16" t="s">
        <v>372</v>
      </c>
    </row>
    <row r="43" spans="1:16" ht="12.75" customHeight="1" x14ac:dyDescent="0.2">
      <c r="A43">
        <f>+MAX($A$8:A42)+1</f>
        <v>35</v>
      </c>
      <c r="B43" t="s">
        <v>242</v>
      </c>
      <c r="C43" t="s">
        <v>100</v>
      </c>
      <c r="D43" t="s">
        <v>21</v>
      </c>
      <c r="E43" s="29">
        <v>60750</v>
      </c>
      <c r="F43" s="14">
        <v>442.47262499999999</v>
      </c>
      <c r="G43" s="15">
        <f t="shared" si="2"/>
        <v>1.15E-2</v>
      </c>
      <c r="H43" s="16" t="s">
        <v>372</v>
      </c>
    </row>
    <row r="44" spans="1:16" ht="12.75" customHeight="1" x14ac:dyDescent="0.2">
      <c r="A44">
        <f>+MAX($A$8:A43)+1</f>
        <v>36</v>
      </c>
      <c r="B44" t="s">
        <v>543</v>
      </c>
      <c r="C44" t="s">
        <v>472</v>
      </c>
      <c r="D44" t="s">
        <v>23</v>
      </c>
      <c r="E44" s="29">
        <v>128801</v>
      </c>
      <c r="F44" s="14">
        <v>433.09336250000001</v>
      </c>
      <c r="G44" s="15">
        <f t="shared" si="2"/>
        <v>1.1299999999999999E-2</v>
      </c>
      <c r="H44" s="16" t="s">
        <v>372</v>
      </c>
    </row>
    <row r="45" spans="1:16" ht="12.75" customHeight="1" x14ac:dyDescent="0.2">
      <c r="A45">
        <f>+MAX($A$8:A44)+1</f>
        <v>37</v>
      </c>
      <c r="B45" t="s">
        <v>207</v>
      </c>
      <c r="C45" t="s">
        <v>50</v>
      </c>
      <c r="D45" t="s">
        <v>23</v>
      </c>
      <c r="E45" s="29">
        <v>7446</v>
      </c>
      <c r="F45" s="14">
        <v>427.63122600000003</v>
      </c>
      <c r="G45" s="15">
        <f t="shared" si="2"/>
        <v>1.11E-2</v>
      </c>
      <c r="H45" s="16" t="s">
        <v>372</v>
      </c>
    </row>
    <row r="46" spans="1:16" ht="12.75" customHeight="1" x14ac:dyDescent="0.2">
      <c r="A46">
        <f>+MAX($A$8:A45)+1</f>
        <v>38</v>
      </c>
      <c r="B46" t="s">
        <v>603</v>
      </c>
      <c r="C46" t="s">
        <v>406</v>
      </c>
      <c r="D46" t="s">
        <v>10</v>
      </c>
      <c r="E46" s="29">
        <v>396203</v>
      </c>
      <c r="F46" s="14">
        <v>427.10683399999999</v>
      </c>
      <c r="G46" s="15">
        <f t="shared" si="2"/>
        <v>1.11E-2</v>
      </c>
      <c r="H46" s="16" t="s">
        <v>372</v>
      </c>
    </row>
    <row r="47" spans="1:16" ht="12.75" customHeight="1" x14ac:dyDescent="0.2">
      <c r="A47">
        <f>+MAX($A$8:A46)+1</f>
        <v>39</v>
      </c>
      <c r="B47" t="s">
        <v>204</v>
      </c>
      <c r="C47" t="s">
        <v>44</v>
      </c>
      <c r="D47" t="s">
        <v>24</v>
      </c>
      <c r="E47" s="29">
        <v>75858</v>
      </c>
      <c r="F47" s="14">
        <v>414.33639600000004</v>
      </c>
      <c r="G47" s="15">
        <f t="shared" si="2"/>
        <v>1.0800000000000001E-2</v>
      </c>
      <c r="H47" s="16" t="s">
        <v>372</v>
      </c>
    </row>
    <row r="48" spans="1:16" ht="12.75" customHeight="1" x14ac:dyDescent="0.2">
      <c r="A48">
        <f>+MAX($A$8:A47)+1</f>
        <v>40</v>
      </c>
      <c r="B48" t="s">
        <v>232</v>
      </c>
      <c r="C48" t="s">
        <v>81</v>
      </c>
      <c r="D48" t="s">
        <v>45</v>
      </c>
      <c r="E48" s="29">
        <v>125426</v>
      </c>
      <c r="F48" s="14">
        <v>409.45317700000004</v>
      </c>
      <c r="G48" s="15">
        <f t="shared" si="2"/>
        <v>1.06E-2</v>
      </c>
      <c r="H48" s="16" t="s">
        <v>372</v>
      </c>
    </row>
    <row r="49" spans="1:8" ht="12.75" customHeight="1" x14ac:dyDescent="0.2">
      <c r="A49">
        <f>+MAX($A$8:A48)+1</f>
        <v>41</v>
      </c>
      <c r="B49" t="s">
        <v>198</v>
      </c>
      <c r="C49" t="s">
        <v>22</v>
      </c>
      <c r="D49" t="s">
        <v>21</v>
      </c>
      <c r="E49" s="29">
        <v>110578</v>
      </c>
      <c r="F49" s="14">
        <v>409.02802200000002</v>
      </c>
      <c r="G49" s="15">
        <f t="shared" si="2"/>
        <v>1.06E-2</v>
      </c>
      <c r="H49" s="16" t="s">
        <v>372</v>
      </c>
    </row>
    <row r="50" spans="1:8" ht="12.75" customHeight="1" x14ac:dyDescent="0.2">
      <c r="A50">
        <f>+MAX($A$8:A49)+1</f>
        <v>42</v>
      </c>
      <c r="B50" t="s">
        <v>206</v>
      </c>
      <c r="C50" t="s">
        <v>53</v>
      </c>
      <c r="D50" t="s">
        <v>19</v>
      </c>
      <c r="E50" s="29">
        <v>9782</v>
      </c>
      <c r="F50" s="14">
        <v>406.50079200000005</v>
      </c>
      <c r="G50" s="15">
        <f t="shared" si="2"/>
        <v>1.06E-2</v>
      </c>
      <c r="H50" s="16" t="s">
        <v>372</v>
      </c>
    </row>
    <row r="51" spans="1:8" ht="12.75" customHeight="1" x14ac:dyDescent="0.2">
      <c r="A51">
        <f>+MAX($A$8:A50)+1</f>
        <v>43</v>
      </c>
      <c r="B51" t="s">
        <v>430</v>
      </c>
      <c r="C51" t="s">
        <v>68</v>
      </c>
      <c r="D51" t="s">
        <v>23</v>
      </c>
      <c r="E51" s="29">
        <v>74439</v>
      </c>
      <c r="F51" s="14">
        <v>398.5091865</v>
      </c>
      <c r="G51" s="15">
        <f t="shared" si="2"/>
        <v>1.04E-2</v>
      </c>
      <c r="H51" s="16" t="s">
        <v>372</v>
      </c>
    </row>
    <row r="52" spans="1:8" ht="12.75" customHeight="1" x14ac:dyDescent="0.2">
      <c r="A52">
        <f>+MAX($A$8:A51)+1</f>
        <v>44</v>
      </c>
      <c r="B52" t="s">
        <v>495</v>
      </c>
      <c r="C52" t="s">
        <v>496</v>
      </c>
      <c r="D52" t="s">
        <v>24</v>
      </c>
      <c r="E52" s="29">
        <v>29674</v>
      </c>
      <c r="F52" s="14">
        <v>395.80664899999999</v>
      </c>
      <c r="G52" s="15">
        <f t="shared" si="2"/>
        <v>1.03E-2</v>
      </c>
      <c r="H52" s="16" t="s">
        <v>372</v>
      </c>
    </row>
    <row r="53" spans="1:8" ht="12.75" customHeight="1" x14ac:dyDescent="0.2">
      <c r="A53">
        <f>+MAX($A$8:A52)+1</f>
        <v>45</v>
      </c>
      <c r="B53" s="66" t="s">
        <v>322</v>
      </c>
      <c r="C53" s="66" t="s">
        <v>323</v>
      </c>
      <c r="D53" t="s">
        <v>10</v>
      </c>
      <c r="E53" s="29">
        <v>226331</v>
      </c>
      <c r="F53" s="14">
        <v>395.62658799999997</v>
      </c>
      <c r="G53" s="15">
        <f t="shared" si="2"/>
        <v>1.03E-2</v>
      </c>
      <c r="H53" s="16" t="s">
        <v>372</v>
      </c>
    </row>
    <row r="54" spans="1:8" ht="12.75" customHeight="1" x14ac:dyDescent="0.2">
      <c r="A54">
        <f>+MAX($A$8:A53)+1</f>
        <v>46</v>
      </c>
      <c r="B54" t="s">
        <v>217</v>
      </c>
      <c r="C54" t="s">
        <v>61</v>
      </c>
      <c r="D54" t="s">
        <v>23</v>
      </c>
      <c r="E54" s="29">
        <v>63656</v>
      </c>
      <c r="F54" s="14">
        <v>390.78418399999998</v>
      </c>
      <c r="G54" s="15">
        <f t="shared" si="2"/>
        <v>1.0200000000000001E-2</v>
      </c>
      <c r="H54" s="16" t="s">
        <v>372</v>
      </c>
    </row>
    <row r="55" spans="1:8" ht="12.75" customHeight="1" x14ac:dyDescent="0.2">
      <c r="A55">
        <f>+MAX($A$8:A54)+1</f>
        <v>47</v>
      </c>
      <c r="B55" t="s">
        <v>40</v>
      </c>
      <c r="C55" t="s">
        <v>42</v>
      </c>
      <c r="D55" t="s">
        <v>10</v>
      </c>
      <c r="E55" s="29">
        <v>273565</v>
      </c>
      <c r="F55" s="14">
        <v>388.32551749999999</v>
      </c>
      <c r="G55" s="15">
        <f t="shared" si="2"/>
        <v>1.01E-2</v>
      </c>
      <c r="H55" s="16" t="s">
        <v>372</v>
      </c>
    </row>
    <row r="56" spans="1:8" ht="12.75" customHeight="1" x14ac:dyDescent="0.2">
      <c r="A56">
        <f>+MAX($A$8:A55)+1</f>
        <v>48</v>
      </c>
      <c r="B56" t="s">
        <v>493</v>
      </c>
      <c r="C56" t="s">
        <v>494</v>
      </c>
      <c r="D56" t="s">
        <v>43</v>
      </c>
      <c r="E56" s="29">
        <v>40485</v>
      </c>
      <c r="F56" s="14">
        <v>386.40908250000001</v>
      </c>
      <c r="G56" s="15">
        <f t="shared" si="2"/>
        <v>0.01</v>
      </c>
      <c r="H56" s="16" t="s">
        <v>372</v>
      </c>
    </row>
    <row r="57" spans="1:8" ht="12.75" customHeight="1" x14ac:dyDescent="0.2">
      <c r="A57">
        <f>+MAX($A$8:A56)+1</f>
        <v>49</v>
      </c>
      <c r="B57" t="s">
        <v>209</v>
      </c>
      <c r="C57" t="s">
        <v>33</v>
      </c>
      <c r="D57" t="s">
        <v>19</v>
      </c>
      <c r="E57" s="29">
        <v>37195</v>
      </c>
      <c r="F57" s="14">
        <v>376.33900999999997</v>
      </c>
      <c r="G57" s="15">
        <f t="shared" si="2"/>
        <v>9.7999999999999997E-3</v>
      </c>
      <c r="H57" s="16" t="s">
        <v>372</v>
      </c>
    </row>
    <row r="58" spans="1:8" ht="12.75" customHeight="1" x14ac:dyDescent="0.2">
      <c r="A58">
        <f>+MAX($A$8:A57)+1</f>
        <v>50</v>
      </c>
      <c r="B58" t="s">
        <v>339</v>
      </c>
      <c r="C58" t="s">
        <v>340</v>
      </c>
      <c r="D58" t="s">
        <v>19</v>
      </c>
      <c r="E58" s="29">
        <v>39873</v>
      </c>
      <c r="F58" s="14">
        <v>358.97661899999997</v>
      </c>
      <c r="G58" s="15">
        <f t="shared" si="2"/>
        <v>9.2999999999999992E-3</v>
      </c>
      <c r="H58" s="16" t="s">
        <v>372</v>
      </c>
    </row>
    <row r="59" spans="1:8" ht="12.75" customHeight="1" x14ac:dyDescent="0.2">
      <c r="A59">
        <f>+MAX($A$8:A58)+1</f>
        <v>51</v>
      </c>
      <c r="B59" t="s">
        <v>219</v>
      </c>
      <c r="C59" t="s">
        <v>29</v>
      </c>
      <c r="D59" t="s">
        <v>10</v>
      </c>
      <c r="E59" s="29">
        <v>67240</v>
      </c>
      <c r="F59" s="14">
        <v>355.53149999999999</v>
      </c>
      <c r="G59" s="15">
        <f t="shared" si="2"/>
        <v>9.1999999999999998E-3</v>
      </c>
      <c r="H59" s="16" t="s">
        <v>372</v>
      </c>
    </row>
    <row r="60" spans="1:8" ht="12.75" customHeight="1" x14ac:dyDescent="0.2">
      <c r="A60">
        <f>+MAX($A$8:A59)+1</f>
        <v>52</v>
      </c>
      <c r="B60" t="s">
        <v>548</v>
      </c>
      <c r="C60" t="s">
        <v>549</v>
      </c>
      <c r="D60" t="s">
        <v>10</v>
      </c>
      <c r="E60" s="29">
        <v>588497</v>
      </c>
      <c r="F60" s="14">
        <v>352.50970299999994</v>
      </c>
      <c r="G60" s="15">
        <f t="shared" si="2"/>
        <v>9.1999999999999998E-3</v>
      </c>
      <c r="H60" s="16" t="s">
        <v>372</v>
      </c>
    </row>
    <row r="61" spans="1:8" ht="12.75" customHeight="1" x14ac:dyDescent="0.2">
      <c r="A61">
        <f>+MAX($A$8:A60)+1</f>
        <v>53</v>
      </c>
      <c r="B61" t="s">
        <v>566</v>
      </c>
      <c r="C61" t="s">
        <v>567</v>
      </c>
      <c r="D61" t="s">
        <v>133</v>
      </c>
      <c r="E61" s="29">
        <v>76679</v>
      </c>
      <c r="F61" s="14">
        <v>332.480144</v>
      </c>
      <c r="G61" s="15">
        <f t="shared" si="2"/>
        <v>8.6E-3</v>
      </c>
      <c r="H61" s="16" t="s">
        <v>372</v>
      </c>
    </row>
    <row r="62" spans="1:8" ht="12.75" customHeight="1" x14ac:dyDescent="0.2">
      <c r="A62">
        <f>+MAX($A$8:A61)+1</f>
        <v>54</v>
      </c>
      <c r="B62" t="s">
        <v>546</v>
      </c>
      <c r="C62" t="s">
        <v>547</v>
      </c>
      <c r="D62" t="s">
        <v>45</v>
      </c>
      <c r="E62" s="29">
        <v>454547</v>
      </c>
      <c r="F62" s="14">
        <v>311.59196850000001</v>
      </c>
      <c r="G62" s="15">
        <f t="shared" si="2"/>
        <v>8.0999999999999996E-3</v>
      </c>
      <c r="H62" s="16" t="s">
        <v>372</v>
      </c>
    </row>
    <row r="63" spans="1:8" ht="12.75" customHeight="1" x14ac:dyDescent="0.2">
      <c r="A63">
        <f>+MAX($A$8:A62)+1</f>
        <v>55</v>
      </c>
      <c r="B63" t="s">
        <v>165</v>
      </c>
      <c r="C63" t="s">
        <v>183</v>
      </c>
      <c r="D63" t="s">
        <v>10</v>
      </c>
      <c r="E63" s="29">
        <v>99524</v>
      </c>
      <c r="F63" s="14">
        <v>297.82557000000003</v>
      </c>
      <c r="G63" s="15">
        <f t="shared" si="2"/>
        <v>7.7000000000000002E-3</v>
      </c>
      <c r="H63" s="16" t="s">
        <v>372</v>
      </c>
    </row>
    <row r="64" spans="1:8" ht="12.75" customHeight="1" x14ac:dyDescent="0.2">
      <c r="A64">
        <f>+MAX($A$8:A63)+1</f>
        <v>56</v>
      </c>
      <c r="B64" t="s">
        <v>320</v>
      </c>
      <c r="C64" t="s">
        <v>72</v>
      </c>
      <c r="D64" t="s">
        <v>28</v>
      </c>
      <c r="E64" s="29">
        <v>838614</v>
      </c>
      <c r="F64" s="14">
        <v>284.29014599999999</v>
      </c>
      <c r="G64" s="15">
        <f t="shared" si="2"/>
        <v>7.4000000000000003E-3</v>
      </c>
      <c r="H64" s="16" t="s">
        <v>372</v>
      </c>
    </row>
    <row r="65" spans="1:9" ht="12.75" customHeight="1" x14ac:dyDescent="0.2">
      <c r="A65">
        <f>+MAX($A$8:A64)+1</f>
        <v>57</v>
      </c>
      <c r="B65" t="s">
        <v>225</v>
      </c>
      <c r="C65" t="s">
        <v>70</v>
      </c>
      <c r="D65" t="s">
        <v>10</v>
      </c>
      <c r="E65" s="29">
        <v>298135</v>
      </c>
      <c r="F65" s="14">
        <v>280.99223749999999</v>
      </c>
      <c r="G65" s="15">
        <f t="shared" si="2"/>
        <v>7.3000000000000001E-3</v>
      </c>
      <c r="H65" s="16" t="s">
        <v>372</v>
      </c>
    </row>
    <row r="66" spans="1:9" ht="12.75" customHeight="1" x14ac:dyDescent="0.2">
      <c r="A66">
        <f>+MAX($A$8:A65)+1</f>
        <v>58</v>
      </c>
      <c r="B66" t="s">
        <v>216</v>
      </c>
      <c r="C66" t="s">
        <v>65</v>
      </c>
      <c r="D66" t="s">
        <v>34</v>
      </c>
      <c r="E66" s="29">
        <v>63471</v>
      </c>
      <c r="F66" s="14">
        <v>272.00497050000001</v>
      </c>
      <c r="G66" s="15">
        <f t="shared" si="2"/>
        <v>7.1000000000000004E-3</v>
      </c>
      <c r="H66" s="16" t="s">
        <v>372</v>
      </c>
    </row>
    <row r="67" spans="1:9" ht="12.75" customHeight="1" x14ac:dyDescent="0.2">
      <c r="A67">
        <f>+MAX($A$8:A66)+1</f>
        <v>59</v>
      </c>
      <c r="B67" t="s">
        <v>604</v>
      </c>
      <c r="C67" t="s">
        <v>605</v>
      </c>
      <c r="D67" t="s">
        <v>10</v>
      </c>
      <c r="E67" s="29">
        <v>442985</v>
      </c>
      <c r="F67" s="14">
        <v>270.66383500000001</v>
      </c>
      <c r="G67" s="15">
        <f t="shared" si="2"/>
        <v>7.0000000000000001E-3</v>
      </c>
      <c r="H67" s="16" t="s">
        <v>372</v>
      </c>
    </row>
    <row r="68" spans="1:9" ht="12.75" customHeight="1" x14ac:dyDescent="0.2">
      <c r="A68">
        <f>+MAX($A$8:A67)+1</f>
        <v>60</v>
      </c>
      <c r="B68" t="s">
        <v>221</v>
      </c>
      <c r="C68" t="s">
        <v>75</v>
      </c>
      <c r="D68" t="s">
        <v>36</v>
      </c>
      <c r="E68" s="29">
        <v>2533170</v>
      </c>
      <c r="F68" s="14">
        <v>151.99019999999999</v>
      </c>
      <c r="G68" s="15">
        <f t="shared" si="2"/>
        <v>4.0000000000000001E-3</v>
      </c>
      <c r="H68" s="16" t="s">
        <v>372</v>
      </c>
    </row>
    <row r="69" spans="1:9" ht="12.75" customHeight="1" x14ac:dyDescent="0.2">
      <c r="A69">
        <f>+MAX($A$8:A68)+1</f>
        <v>61</v>
      </c>
      <c r="B69" t="s">
        <v>431</v>
      </c>
      <c r="C69" t="s">
        <v>432</v>
      </c>
      <c r="D69" t="s">
        <v>433</v>
      </c>
      <c r="E69" s="29">
        <v>56242</v>
      </c>
      <c r="F69" s="14">
        <v>126.572621</v>
      </c>
      <c r="G69" s="15">
        <f t="shared" si="2"/>
        <v>3.3E-3</v>
      </c>
      <c r="H69" s="16" t="s">
        <v>372</v>
      </c>
    </row>
    <row r="70" spans="1:9" ht="12.75" customHeight="1" x14ac:dyDescent="0.2">
      <c r="A70">
        <f>+MAX($A$8:A69)+1</f>
        <v>62</v>
      </c>
      <c r="B70" t="s">
        <v>458</v>
      </c>
      <c r="C70" s="122" t="s">
        <v>667</v>
      </c>
      <c r="D70" t="s">
        <v>38</v>
      </c>
      <c r="E70" s="29">
        <v>2250</v>
      </c>
      <c r="F70" s="14">
        <v>0</v>
      </c>
      <c r="G70" s="109" t="s">
        <v>540</v>
      </c>
      <c r="H70" s="16" t="s">
        <v>372</v>
      </c>
    </row>
    <row r="71" spans="1:9" ht="12.75" customHeight="1" x14ac:dyDescent="0.2">
      <c r="A71">
        <f>+MAX($A$8:A70)+1</f>
        <v>63</v>
      </c>
      <c r="B71" t="s">
        <v>568</v>
      </c>
      <c r="C71" t="s">
        <v>84</v>
      </c>
      <c r="D71" t="s">
        <v>102</v>
      </c>
      <c r="E71" s="29">
        <v>374002</v>
      </c>
      <c r="F71" s="14">
        <v>0</v>
      </c>
      <c r="G71" s="109" t="s">
        <v>540</v>
      </c>
      <c r="H71" s="16" t="s">
        <v>372</v>
      </c>
    </row>
    <row r="72" spans="1:9" ht="12.75" customHeight="1" x14ac:dyDescent="0.2">
      <c r="B72" s="19" t="s">
        <v>85</v>
      </c>
      <c r="C72" s="19"/>
      <c r="D72" s="19"/>
      <c r="E72" s="30"/>
      <c r="F72" s="20">
        <f>SUM(F9:F71)</f>
        <v>36624.1105895</v>
      </c>
      <c r="G72" s="21">
        <f>SUM(G9:G71)</f>
        <v>0.95219999999999994</v>
      </c>
      <c r="H72" s="22"/>
      <c r="I72" s="50"/>
    </row>
    <row r="73" spans="1:9" ht="12.75" customHeight="1" x14ac:dyDescent="0.2">
      <c r="F73" s="14"/>
      <c r="G73" s="15"/>
      <c r="H73" s="16"/>
    </row>
    <row r="74" spans="1:9" ht="12.75" customHeight="1" x14ac:dyDescent="0.2">
      <c r="A74" s="96" t="s">
        <v>371</v>
      </c>
      <c r="B74" s="17" t="s">
        <v>93</v>
      </c>
      <c r="C74" s="17"/>
      <c r="F74" s="14">
        <v>2013.16266</v>
      </c>
      <c r="G74" s="15">
        <f>+ROUND(F74/VLOOKUP("Grand Total",$B$4:$F$275,5,0),4)</f>
        <v>5.2299999999999999E-2</v>
      </c>
      <c r="H74" s="16">
        <v>43160</v>
      </c>
    </row>
    <row r="75" spans="1:9" ht="12.75" customHeight="1" x14ac:dyDescent="0.2">
      <c r="B75" s="19" t="s">
        <v>85</v>
      </c>
      <c r="C75" s="19"/>
      <c r="D75" s="19"/>
      <c r="E75" s="30"/>
      <c r="F75" s="20">
        <f>SUM(F74)</f>
        <v>2013.16266</v>
      </c>
      <c r="G75" s="21">
        <f>SUM(G74)</f>
        <v>5.2299999999999999E-2</v>
      </c>
      <c r="H75" s="22"/>
      <c r="I75" s="36"/>
    </row>
    <row r="76" spans="1:9" ht="12.75" customHeight="1" x14ac:dyDescent="0.2">
      <c r="F76" s="14"/>
      <c r="G76" s="15"/>
      <c r="H76" s="16"/>
    </row>
    <row r="77" spans="1:9" ht="12.75" customHeight="1" x14ac:dyDescent="0.2">
      <c r="B77" s="17" t="s">
        <v>94</v>
      </c>
      <c r="C77" s="17"/>
      <c r="F77" s="14"/>
      <c r="G77" s="15"/>
      <c r="H77" s="16"/>
    </row>
    <row r="78" spans="1:9" ht="12.75" customHeight="1" x14ac:dyDescent="0.2">
      <c r="B78" s="17" t="s">
        <v>95</v>
      </c>
      <c r="C78" s="17"/>
      <c r="F78" s="14">
        <v>-170.23924840000836</v>
      </c>
      <c r="G78" s="123">
        <f>+ROUND(F78/VLOOKUP("Grand Total",$B$4:$F$275,5,0),4)-0.01%</f>
        <v>-4.5000000000000005E-3</v>
      </c>
      <c r="H78" s="16"/>
    </row>
    <row r="79" spans="1:9" ht="12.75" customHeight="1" x14ac:dyDescent="0.2">
      <c r="B79" s="19" t="s">
        <v>85</v>
      </c>
      <c r="C79" s="19"/>
      <c r="D79" s="19"/>
      <c r="E79" s="30"/>
      <c r="F79" s="20">
        <f>SUM(F78)</f>
        <v>-170.23924840000836</v>
      </c>
      <c r="G79" s="124">
        <f>SUM(G78)</f>
        <v>-4.5000000000000005E-3</v>
      </c>
      <c r="H79" s="22"/>
      <c r="I79" s="36"/>
    </row>
    <row r="80" spans="1:9" ht="12.75" customHeight="1" x14ac:dyDescent="0.2">
      <c r="B80" s="23" t="s">
        <v>96</v>
      </c>
      <c r="C80" s="23"/>
      <c r="D80" s="23"/>
      <c r="E80" s="31"/>
      <c r="F80" s="24">
        <f>+SUMIF($B$5:B79,"Total",$F$5:F79)</f>
        <v>38467.034001099993</v>
      </c>
      <c r="G80" s="25">
        <f>+SUMIF($B$5:B79,"Total",$G$5:G79)</f>
        <v>1</v>
      </c>
      <c r="H80" s="26"/>
      <c r="I80" s="36"/>
    </row>
    <row r="81" spans="2:7" ht="12.75" customHeight="1" x14ac:dyDescent="0.2"/>
    <row r="82" spans="2:7" ht="12.75" customHeight="1" x14ac:dyDescent="0.2">
      <c r="B82" s="17" t="s">
        <v>189</v>
      </c>
      <c r="C82" s="17"/>
    </row>
    <row r="83" spans="2:7" ht="12.75" customHeight="1" x14ac:dyDescent="0.2">
      <c r="B83" s="17" t="s">
        <v>192</v>
      </c>
      <c r="C83" s="17"/>
      <c r="F83" s="44"/>
      <c r="G83" s="44"/>
    </row>
    <row r="84" spans="2:7" ht="12.75" customHeight="1" x14ac:dyDescent="0.2">
      <c r="B84" s="17" t="s">
        <v>188</v>
      </c>
      <c r="C84" s="17"/>
    </row>
    <row r="85" spans="2:7" ht="12.75" customHeight="1" x14ac:dyDescent="0.2">
      <c r="B85" s="54" t="s">
        <v>308</v>
      </c>
    </row>
    <row r="86" spans="2:7" ht="12.75" customHeight="1" x14ac:dyDescent="0.2"/>
    <row r="87" spans="2:7" ht="12.75" customHeight="1" x14ac:dyDescent="0.2"/>
    <row r="88" spans="2:7" ht="12.75" customHeight="1" x14ac:dyDescent="0.2"/>
    <row r="89" spans="2:7" ht="12.75" customHeight="1" x14ac:dyDescent="0.2"/>
    <row r="90" spans="2:7" ht="12.75" customHeight="1" x14ac:dyDescent="0.2"/>
    <row r="91" spans="2:7" ht="12.75" customHeight="1" x14ac:dyDescent="0.2"/>
    <row r="92" spans="2:7" ht="12.75" customHeight="1" x14ac:dyDescent="0.2"/>
    <row r="93" spans="2:7" ht="12.75" customHeight="1" x14ac:dyDescent="0.2"/>
    <row r="94" spans="2:7" ht="12.75" customHeight="1" x14ac:dyDescent="0.2"/>
    <row r="95" spans="2:7" ht="12.75" customHeight="1" x14ac:dyDescent="0.2"/>
    <row r="96" spans="2:7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sheetProtection password="EDB3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3" ht="18.75" x14ac:dyDescent="0.2">
      <c r="A1" s="95" t="s">
        <v>380</v>
      </c>
      <c r="B1" s="126" t="s">
        <v>163</v>
      </c>
      <c r="C1" s="127"/>
      <c r="D1" s="127"/>
      <c r="E1" s="127"/>
      <c r="F1" s="127"/>
      <c r="G1" s="127"/>
      <c r="H1" s="128"/>
    </row>
    <row r="2" spans="1:13" x14ac:dyDescent="0.2">
      <c r="A2" s="97" t="s">
        <v>1</v>
      </c>
      <c r="B2" s="4" t="s">
        <v>698</v>
      </c>
      <c r="C2" s="4"/>
      <c r="D2" s="5"/>
      <c r="E2" s="28"/>
      <c r="F2" s="6"/>
      <c r="G2" s="7"/>
      <c r="H2" s="7"/>
    </row>
    <row r="3" spans="1:13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3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185</v>
      </c>
      <c r="F4" s="12" t="s">
        <v>5</v>
      </c>
      <c r="G4" s="13" t="s">
        <v>6</v>
      </c>
      <c r="H4" s="33" t="s">
        <v>7</v>
      </c>
      <c r="I4" s="35"/>
    </row>
    <row r="5" spans="1:13" ht="12.75" customHeight="1" x14ac:dyDescent="0.2">
      <c r="F5" s="14"/>
      <c r="G5" s="15"/>
      <c r="H5" s="16"/>
    </row>
    <row r="6" spans="1:13" ht="12.75" customHeight="1" x14ac:dyDescent="0.2">
      <c r="F6" s="14"/>
      <c r="G6" s="15"/>
      <c r="H6" s="16"/>
    </row>
    <row r="7" spans="1:13" ht="12.75" customHeight="1" x14ac:dyDescent="0.2">
      <c r="B7" s="32" t="s">
        <v>186</v>
      </c>
      <c r="F7" s="14"/>
      <c r="G7" s="15"/>
      <c r="H7" s="16"/>
    </row>
    <row r="8" spans="1:13" ht="12.75" customHeight="1" x14ac:dyDescent="0.2">
      <c r="B8" s="32" t="s">
        <v>187</v>
      </c>
      <c r="C8" s="17"/>
      <c r="F8" s="14"/>
      <c r="G8" s="15"/>
      <c r="H8" s="16"/>
      <c r="J8" s="18" t="s">
        <v>699</v>
      </c>
      <c r="K8" s="38" t="s">
        <v>13</v>
      </c>
    </row>
    <row r="9" spans="1:13" ht="12.75" customHeight="1" x14ac:dyDescent="0.2">
      <c r="A9">
        <f>+MAX($A$8:A8)+1</f>
        <v>1</v>
      </c>
      <c r="B9" t="s">
        <v>164</v>
      </c>
      <c r="C9" s="122" t="s">
        <v>667</v>
      </c>
      <c r="D9" t="s">
        <v>321</v>
      </c>
      <c r="E9" s="29">
        <v>39643.476999999999</v>
      </c>
      <c r="F9" s="14">
        <v>1751.9239012999999</v>
      </c>
      <c r="G9" s="15">
        <f>+ROUND(F9/VLOOKUP("Grand Total",$B$4:$F$288,5,0),4)</f>
        <v>0.98860000000000003</v>
      </c>
      <c r="H9" s="16" t="s">
        <v>372</v>
      </c>
      <c r="J9" s="15" t="s">
        <v>321</v>
      </c>
      <c r="K9" s="49">
        <f>SUMIFS($G$5:$G$321,$D$5:$D$321,J9)</f>
        <v>0.98860000000000003</v>
      </c>
    </row>
    <row r="10" spans="1:13" ht="12.75" customHeight="1" x14ac:dyDescent="0.2">
      <c r="B10" s="19" t="s">
        <v>85</v>
      </c>
      <c r="C10" s="19"/>
      <c r="D10" s="19"/>
      <c r="E10" s="30"/>
      <c r="F10" s="20">
        <f>SUM(F9)</f>
        <v>1751.9239012999999</v>
      </c>
      <c r="G10" s="21">
        <f>SUM(G9)</f>
        <v>0.98860000000000003</v>
      </c>
      <c r="H10" s="22"/>
      <c r="I10" s="36"/>
      <c r="J10" s="15" t="s">
        <v>64</v>
      </c>
      <c r="K10" s="49">
        <f>+SUMIFS($G$5:$G$996,$B$5:$B$996,"CBLO / Reverse Repo Investments")+SUMIFS($G$5:$G$996,$B$5:$B$996,"Net Receivable/Payable")</f>
        <v>1.14E-2</v>
      </c>
    </row>
    <row r="11" spans="1:13" ht="12.75" customHeight="1" x14ac:dyDescent="0.2">
      <c r="F11" s="14"/>
      <c r="G11" s="15"/>
      <c r="H11" s="16"/>
      <c r="J11" s="15"/>
    </row>
    <row r="12" spans="1:13" ht="12.75" customHeight="1" x14ac:dyDescent="0.2">
      <c r="A12" s="96" t="s">
        <v>371</v>
      </c>
      <c r="B12" s="17" t="s">
        <v>93</v>
      </c>
      <c r="C12" s="17"/>
      <c r="F12" s="14">
        <v>54.625979999999998</v>
      </c>
      <c r="G12" s="15">
        <f>+ROUND(F12/VLOOKUP("Grand Total",$B$4:$F$288,5,0),4)</f>
        <v>3.0800000000000001E-2</v>
      </c>
      <c r="H12" s="16">
        <v>43160</v>
      </c>
      <c r="J12" s="15"/>
      <c r="L12" s="55"/>
      <c r="M12" s="63"/>
    </row>
    <row r="13" spans="1:13" ht="12.75" customHeight="1" x14ac:dyDescent="0.2">
      <c r="B13" s="19" t="s">
        <v>85</v>
      </c>
      <c r="C13" s="19"/>
      <c r="D13" s="19"/>
      <c r="E13" s="30"/>
      <c r="F13" s="20">
        <f>SUM(F12)</f>
        <v>54.625979999999998</v>
      </c>
      <c r="G13" s="21">
        <f>SUM(G12)</f>
        <v>3.0800000000000001E-2</v>
      </c>
      <c r="H13" s="22"/>
      <c r="I13" s="36"/>
    </row>
    <row r="14" spans="1:13" ht="12.75" customHeight="1" x14ac:dyDescent="0.2">
      <c r="F14" s="14"/>
      <c r="G14" s="15"/>
      <c r="H14" s="16"/>
    </row>
    <row r="15" spans="1:13" ht="12.75" customHeight="1" x14ac:dyDescent="0.2">
      <c r="B15" s="17" t="s">
        <v>94</v>
      </c>
      <c r="C15" s="17"/>
      <c r="F15" s="14"/>
      <c r="G15" s="15"/>
      <c r="H15" s="16"/>
    </row>
    <row r="16" spans="1:13" ht="12.75" customHeight="1" x14ac:dyDescent="0.2">
      <c r="B16" s="17" t="s">
        <v>95</v>
      </c>
      <c r="C16" s="17"/>
      <c r="F16" s="44">
        <v>-34.40655519999973</v>
      </c>
      <c r="G16" s="123">
        <f>+ROUND(F16/VLOOKUP("Grand Total",$B$4:$F$288,5,0),4)</f>
        <v>-1.9400000000000001E-2</v>
      </c>
      <c r="H16" s="16"/>
    </row>
    <row r="17" spans="2:9" ht="12.75" customHeight="1" x14ac:dyDescent="0.2">
      <c r="B17" s="19" t="s">
        <v>85</v>
      </c>
      <c r="C17" s="19"/>
      <c r="D17" s="19"/>
      <c r="E17" s="30"/>
      <c r="F17" s="51">
        <f>SUM(F16)</f>
        <v>-34.40655519999973</v>
      </c>
      <c r="G17" s="124">
        <f>SUM(G16)</f>
        <v>-1.9400000000000001E-2</v>
      </c>
      <c r="H17" s="22"/>
      <c r="I17" s="36"/>
    </row>
    <row r="18" spans="2:9" ht="12.75" customHeight="1" x14ac:dyDescent="0.2">
      <c r="B18" s="23" t="s">
        <v>96</v>
      </c>
      <c r="C18" s="23"/>
      <c r="D18" s="23"/>
      <c r="E18" s="31"/>
      <c r="F18" s="24">
        <f>+SUMIF($B$5:B17,"Total",$F$5:F17)</f>
        <v>1772.1433261000002</v>
      </c>
      <c r="G18" s="25">
        <f>+SUMIF($B$5:B17,"Total",$G$5:G17)</f>
        <v>1</v>
      </c>
      <c r="H18" s="26"/>
      <c r="I18" s="36"/>
    </row>
    <row r="19" spans="2:9" ht="12.75" customHeight="1" x14ac:dyDescent="0.2"/>
    <row r="20" spans="2:9" ht="12.75" customHeight="1" x14ac:dyDescent="0.2">
      <c r="B20" s="17"/>
      <c r="C20" s="17"/>
      <c r="G20" s="89"/>
    </row>
    <row r="21" spans="2:9" ht="12.75" customHeight="1" x14ac:dyDescent="0.2">
      <c r="B21" s="17"/>
      <c r="C21" s="17"/>
    </row>
    <row r="22" spans="2:9" ht="12.75" customHeight="1" x14ac:dyDescent="0.2">
      <c r="B22" s="17"/>
      <c r="C22" s="17"/>
    </row>
    <row r="23" spans="2:9" ht="12.75" customHeight="1" x14ac:dyDescent="0.2">
      <c r="B23" s="17"/>
      <c r="C23" s="17"/>
    </row>
    <row r="24" spans="2:9" ht="12.75" customHeight="1" x14ac:dyDescent="0.2">
      <c r="B24" s="17"/>
      <c r="C24" s="17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FMP -SR B5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2018-03-09T06:03:08Z</dcterms:modified>
</cp:coreProperties>
</file>