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7-2018\Jan 2018\"/>
    </mc:Choice>
  </mc:AlternateContent>
  <bookViews>
    <workbookView xWindow="0" yWindow="435" windowWidth="15480" windowHeight="1122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DYNAMIC BOND" sheetId="14" r:id="rId12"/>
    <sheet name="SHORT TERM" sheetId="16" r:id="rId13"/>
    <sheet name="Equity Savings" sheetId="17" r:id="rId14"/>
    <sheet name="DEBT SAVINGS" sheetId="18" r:id="rId15"/>
    <sheet name="BALANCED" sheetId="19" r:id="rId16"/>
    <sheet name="CASH MANAGEMENT" sheetId="20" r:id="rId17"/>
    <sheet name="MONEY MANAGER" sheetId="21" r:id="rId18"/>
    <sheet name="ASSET ALLOCATION FOF-MP" sheetId="31" r:id="rId19"/>
    <sheet name="ASSET ALLOCATION FOF-CP" sheetId="34" r:id="rId20"/>
    <sheet name="ASSET ALLOCATION FOF-AP" sheetId="35" r:id="rId21"/>
    <sheet name="ARBITRAGE FUND" sheetId="36" r:id="rId22"/>
  </sheets>
  <definedNames>
    <definedName name="_xlnm._FilterDatabase" localSheetId="21" hidden="1">'ARBITRAGE FUND'!#REF!</definedName>
    <definedName name="_xlnm._FilterDatabase" localSheetId="13" hidden="1">'Equity Savings'!$A$38:$Q$91</definedName>
    <definedName name="_xlnm._FilterDatabase" localSheetId="0" hidden="1">GROWTH!$D$4:$D$147</definedName>
    <definedName name="_xlnm._FilterDatabase" localSheetId="6" hidden="1">'SMART EQUITY'!$A$46:$R$79</definedName>
  </definedNames>
  <calcPr calcId="152511"/>
</workbook>
</file>

<file path=xl/calcChain.xml><?xml version="1.0" encoding="utf-8"?>
<calcChain xmlns="http://schemas.openxmlformats.org/spreadsheetml/2006/main">
  <c r="H79" i="8" l="1"/>
  <c r="H91" i="17"/>
  <c r="H33" i="36"/>
  <c r="A11" i="36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10" i="36"/>
  <c r="A41" i="17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40" i="17"/>
  <c r="A49" i="8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48" i="8"/>
  <c r="L21" i="36" l="1"/>
  <c r="F33" i="36"/>
  <c r="H32" i="36"/>
  <c r="H30" i="36"/>
  <c r="H28" i="36"/>
  <c r="H26" i="36"/>
  <c r="H24" i="36"/>
  <c r="H22" i="36"/>
  <c r="H20" i="36"/>
  <c r="H18" i="36"/>
  <c r="H16" i="36"/>
  <c r="H14" i="36"/>
  <c r="H12" i="36"/>
  <c r="H10" i="36"/>
  <c r="L37" i="17"/>
  <c r="F91" i="17"/>
  <c r="F36" i="17"/>
  <c r="G49" i="17"/>
  <c r="G73" i="17"/>
  <c r="G39" i="17"/>
  <c r="G81" i="17"/>
  <c r="G63" i="17"/>
  <c r="G75" i="17"/>
  <c r="G47" i="17"/>
  <c r="G71" i="17"/>
  <c r="G89" i="17"/>
  <c r="G87" i="17"/>
  <c r="G85" i="17"/>
  <c r="G61" i="17"/>
  <c r="G53" i="17"/>
  <c r="L26" i="17" s="1"/>
  <c r="G79" i="17"/>
  <c r="G83" i="17"/>
  <c r="L35" i="17" s="1"/>
  <c r="G67" i="17"/>
  <c r="L33" i="17" s="1"/>
  <c r="G55" i="17"/>
  <c r="L28" i="17" s="1"/>
  <c r="G65" i="17"/>
  <c r="G69" i="17"/>
  <c r="G77" i="17"/>
  <c r="G51" i="17"/>
  <c r="G45" i="17"/>
  <c r="L18" i="17" s="1"/>
  <c r="G41" i="17"/>
  <c r="L16" i="17" s="1"/>
  <c r="G57" i="17"/>
  <c r="L29" i="17" s="1"/>
  <c r="G59" i="17"/>
  <c r="G43" i="17"/>
  <c r="L35" i="8"/>
  <c r="F44" i="8"/>
  <c r="F79" i="8"/>
  <c r="G53" i="8"/>
  <c r="G49" i="8"/>
  <c r="G51" i="8"/>
  <c r="G75" i="8"/>
  <c r="G69" i="8"/>
  <c r="G65" i="8"/>
  <c r="G71" i="8"/>
  <c r="G63" i="8"/>
  <c r="G77" i="8"/>
  <c r="L34" i="8" s="1"/>
  <c r="G67" i="8"/>
  <c r="G59" i="8"/>
  <c r="G47" i="8"/>
  <c r="G61" i="8"/>
  <c r="G55" i="8"/>
  <c r="G73" i="8"/>
  <c r="G57" i="8"/>
  <c r="H90" i="17"/>
  <c r="H88" i="17"/>
  <c r="H86" i="17"/>
  <c r="H84" i="17"/>
  <c r="H82" i="17"/>
  <c r="H80" i="17"/>
  <c r="H78" i="17"/>
  <c r="H76" i="17"/>
  <c r="H74" i="17"/>
  <c r="H72" i="17"/>
  <c r="H70" i="17"/>
  <c r="H68" i="17"/>
  <c r="H66" i="17"/>
  <c r="H64" i="17"/>
  <c r="H62" i="17"/>
  <c r="H60" i="17"/>
  <c r="H58" i="17"/>
  <c r="H56" i="17"/>
  <c r="H54" i="17"/>
  <c r="H52" i="17"/>
  <c r="H50" i="17"/>
  <c r="H48" i="17"/>
  <c r="H46" i="17"/>
  <c r="H44" i="17"/>
  <c r="H42" i="17"/>
  <c r="H40" i="17"/>
  <c r="H78" i="8"/>
  <c r="H76" i="8"/>
  <c r="H74" i="8"/>
  <c r="H72" i="8"/>
  <c r="H70" i="8"/>
  <c r="H68" i="8"/>
  <c r="H66" i="8"/>
  <c r="H64" i="8"/>
  <c r="H62" i="8"/>
  <c r="H60" i="8"/>
  <c r="H58" i="8"/>
  <c r="H56" i="8"/>
  <c r="H54" i="8"/>
  <c r="H52" i="8"/>
  <c r="H50" i="8"/>
  <c r="H48" i="8"/>
  <c r="L17" i="17" l="1"/>
  <c r="G91" i="17"/>
  <c r="G79" i="8"/>
  <c r="K50" i="19" l="1"/>
  <c r="K30" i="7"/>
  <c r="F131" i="19" l="1"/>
  <c r="F78" i="19"/>
  <c r="F18" i="18"/>
  <c r="F21" i="16"/>
  <c r="F23" i="14"/>
  <c r="F105" i="8"/>
  <c r="F86" i="8"/>
  <c r="F40" i="36" l="1"/>
  <c r="F135" i="19" l="1"/>
  <c r="F102" i="6"/>
  <c r="F66" i="4"/>
  <c r="F87" i="2"/>
  <c r="F110" i="17" l="1"/>
  <c r="K38" i="2" l="1"/>
  <c r="F73" i="9"/>
  <c r="F65" i="7"/>
  <c r="A9" i="36"/>
  <c r="F16" i="16"/>
  <c r="A9" i="14" l="1"/>
  <c r="F29" i="21"/>
  <c r="F10" i="21"/>
  <c r="F12" i="20"/>
  <c r="F87" i="19"/>
  <c r="F100" i="17"/>
  <c r="F10" i="14"/>
  <c r="F30" i="11"/>
  <c r="F69" i="4"/>
  <c r="F73" i="4"/>
  <c r="A13" i="14" l="1"/>
  <c r="A14" i="14" s="1"/>
  <c r="A15" i="14" l="1"/>
  <c r="A16" i="14" l="1"/>
  <c r="F43" i="20"/>
  <c r="A9" i="20"/>
  <c r="F115" i="19"/>
  <c r="F42" i="12"/>
  <c r="F20" i="12"/>
  <c r="F51" i="11"/>
  <c r="A10" i="20" l="1"/>
  <c r="A11" i="20" s="1"/>
  <c r="A17" i="14"/>
  <c r="A18" i="14" s="1"/>
  <c r="A22" i="14" s="1"/>
  <c r="F39" i="16"/>
  <c r="A27" i="14" l="1"/>
  <c r="A28" i="14" s="1"/>
  <c r="A29" i="14"/>
  <c r="A30" i="14" s="1"/>
  <c r="A31" i="14" l="1"/>
  <c r="A32" i="14" s="1"/>
  <c r="A33" i="14" s="1"/>
  <c r="A34" i="14" s="1"/>
  <c r="A35" i="14" s="1"/>
  <c r="A36" i="14" s="1"/>
  <c r="A37" i="14" s="1"/>
  <c r="A38" i="14" s="1"/>
  <c r="A39" i="14" s="1"/>
  <c r="F138" i="19" l="1"/>
  <c r="F126" i="19"/>
  <c r="F111" i="19"/>
  <c r="F73" i="19"/>
  <c r="F46" i="20"/>
  <c r="F38" i="20"/>
  <c r="F10" i="18" l="1"/>
  <c r="A9" i="18"/>
  <c r="F47" i="36" l="1"/>
  <c r="F44" i="36"/>
  <c r="F50" i="36" s="1"/>
  <c r="G50" i="36" s="1"/>
  <c r="F109" i="8" l="1"/>
  <c r="F73" i="2" l="1"/>
  <c r="F84" i="5" l="1"/>
  <c r="F81" i="5"/>
  <c r="F77" i="5"/>
  <c r="F69" i="5"/>
  <c r="F12" i="35" l="1"/>
  <c r="F11" i="34"/>
  <c r="F12" i="31"/>
  <c r="F32" i="21"/>
  <c r="F25" i="21"/>
  <c r="F33" i="18"/>
  <c r="F30" i="18"/>
  <c r="F14" i="18"/>
  <c r="F114" i="17"/>
  <c r="F42" i="16"/>
  <c r="F10" i="16"/>
  <c r="F43" i="14"/>
  <c r="F40" i="14"/>
  <c r="F19" i="14"/>
  <c r="F45" i="12"/>
  <c r="F38" i="12"/>
  <c r="F16" i="12"/>
  <c r="F54" i="11"/>
  <c r="F47" i="11"/>
  <c r="F25" i="11"/>
  <c r="F12" i="11"/>
  <c r="F13" i="10"/>
  <c r="F10" i="10"/>
  <c r="F76" i="9"/>
  <c r="F112" i="8"/>
  <c r="F94" i="8"/>
  <c r="F90" i="8"/>
  <c r="F115" i="8" s="1"/>
  <c r="G115" i="8" s="1"/>
  <c r="F73" i="7"/>
  <c r="F70" i="7"/>
  <c r="F110" i="6"/>
  <c r="F107" i="6"/>
  <c r="F97" i="6"/>
  <c r="F62" i="4"/>
  <c r="F74" i="4" s="1"/>
  <c r="G72" i="4" s="1"/>
  <c r="F62" i="3"/>
  <c r="F59" i="3"/>
  <c r="F90" i="2"/>
  <c r="F83" i="2"/>
  <c r="G73" i="4" l="1"/>
  <c r="G59" i="4"/>
  <c r="K31" i="4" s="1"/>
  <c r="G60" i="4"/>
  <c r="G61" i="4"/>
  <c r="G68" i="4"/>
  <c r="K32" i="4" s="1"/>
  <c r="G65" i="4"/>
  <c r="G66" i="4" l="1"/>
  <c r="G69" i="4"/>
  <c r="F14" i="34"/>
  <c r="F22" i="31"/>
  <c r="F18" i="31"/>
  <c r="F36" i="21"/>
  <c r="F142" i="19"/>
  <c r="F37" i="18"/>
  <c r="F117" i="17"/>
  <c r="F120" i="17" s="1"/>
  <c r="G120" i="17" s="1"/>
  <c r="F46" i="16"/>
  <c r="F47" i="14"/>
  <c r="F49" i="12"/>
  <c r="F58" i="11"/>
  <c r="F59" i="11" s="1"/>
  <c r="G57" i="11" s="1"/>
  <c r="F17" i="10"/>
  <c r="F80" i="9"/>
  <c r="F77" i="7"/>
  <c r="F114" i="6"/>
  <c r="F115" i="6" s="1"/>
  <c r="G113" i="6" s="1"/>
  <c r="F88" i="5"/>
  <c r="F89" i="5" s="1"/>
  <c r="F66" i="3"/>
  <c r="F94" i="2"/>
  <c r="G24" i="11" l="1"/>
  <c r="G23" i="11"/>
  <c r="G95" i="6"/>
  <c r="G96" i="6"/>
  <c r="G106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105" i="6"/>
  <c r="G94" i="6"/>
  <c r="G90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G114" i="6"/>
  <c r="G101" i="6"/>
  <c r="G93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109" i="6"/>
  <c r="K36" i="6" s="1"/>
  <c r="G100" i="6"/>
  <c r="G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7" i="5"/>
  <c r="G66" i="5"/>
  <c r="G64" i="5"/>
  <c r="G65" i="5"/>
  <c r="G67" i="5"/>
  <c r="G11" i="11"/>
  <c r="G10" i="11"/>
  <c r="G62" i="5"/>
  <c r="G63" i="5"/>
  <c r="G28" i="11"/>
  <c r="G29" i="11"/>
  <c r="G22" i="11"/>
  <c r="G60" i="5"/>
  <c r="G61" i="5"/>
  <c r="G50" i="11"/>
  <c r="G40" i="11"/>
  <c r="G57" i="5"/>
  <c r="G59" i="5"/>
  <c r="G58" i="5"/>
  <c r="G57" i="4"/>
  <c r="G56" i="4"/>
  <c r="G58" i="4"/>
  <c r="G55" i="4"/>
  <c r="G21" i="11"/>
  <c r="G20" i="11"/>
  <c r="G19" i="11"/>
  <c r="G54" i="4"/>
  <c r="G52" i="4"/>
  <c r="G53" i="4"/>
  <c r="F116" i="8"/>
  <c r="G102" i="6" l="1"/>
  <c r="G104" i="8"/>
  <c r="L31" i="8" s="1"/>
  <c r="G89" i="8"/>
  <c r="G42" i="8"/>
  <c r="G40" i="8"/>
  <c r="G101" i="8"/>
  <c r="L27" i="8" s="1"/>
  <c r="G39" i="8"/>
  <c r="L32" i="8" s="1"/>
  <c r="G36" i="8"/>
  <c r="G100" i="8"/>
  <c r="L25" i="8" s="1"/>
  <c r="G38" i="8"/>
  <c r="G99" i="8"/>
  <c r="L23" i="8" s="1"/>
  <c r="G43" i="8"/>
  <c r="L33" i="8" s="1"/>
  <c r="G41" i="8"/>
  <c r="G37" i="8"/>
  <c r="G85" i="8"/>
  <c r="G84" i="8"/>
  <c r="L26" i="8" s="1"/>
  <c r="G98" i="8"/>
  <c r="L20" i="8" s="1"/>
  <c r="G102" i="8"/>
  <c r="L24" i="8" s="1"/>
  <c r="G103" i="8"/>
  <c r="G33" i="8"/>
  <c r="L29" i="8" s="1"/>
  <c r="G29" i="8"/>
  <c r="G32" i="8"/>
  <c r="G35" i="8"/>
  <c r="L30" i="8" s="1"/>
  <c r="G34" i="8"/>
  <c r="G30" i="8"/>
  <c r="G28" i="8"/>
  <c r="G31" i="8"/>
  <c r="L11" i="8" s="1"/>
  <c r="K35" i="6"/>
  <c r="G51" i="11"/>
  <c r="K14" i="11"/>
  <c r="G25" i="8"/>
  <c r="G24" i="8"/>
  <c r="L9" i="8" s="1"/>
  <c r="G22" i="8"/>
  <c r="G23" i="8"/>
  <c r="G21" i="8"/>
  <c r="G20" i="8"/>
  <c r="G27" i="8"/>
  <c r="G26" i="8"/>
  <c r="G19" i="8"/>
  <c r="G15" i="8"/>
  <c r="L10" i="8" s="1"/>
  <c r="G12" i="8"/>
  <c r="G11" i="8"/>
  <c r="G18" i="8"/>
  <c r="G14" i="8"/>
  <c r="L15" i="8" s="1"/>
  <c r="G9" i="8"/>
  <c r="G17" i="8"/>
  <c r="G16" i="8"/>
  <c r="G13" i="8"/>
  <c r="G10" i="8"/>
  <c r="G111" i="8"/>
  <c r="L36" i="8" s="1"/>
  <c r="G93" i="8"/>
  <c r="G108" i="8"/>
  <c r="L22" i="8" s="1"/>
  <c r="G83" i="8"/>
  <c r="L18" i="8" s="1"/>
  <c r="G30" i="11"/>
  <c r="G107" i="6"/>
  <c r="K34" i="6"/>
  <c r="G110" i="6"/>
  <c r="L14" i="8" l="1"/>
  <c r="L16" i="8"/>
  <c r="L17" i="8"/>
  <c r="L19" i="8"/>
  <c r="G44" i="8"/>
  <c r="G105" i="8"/>
  <c r="G86" i="8"/>
  <c r="L13" i="8"/>
  <c r="L12" i="8"/>
  <c r="L21" i="8"/>
  <c r="L28" i="8"/>
  <c r="G109" i="8"/>
  <c r="G94" i="8"/>
  <c r="G90" i="8"/>
  <c r="G112" i="8"/>
  <c r="A9" i="17"/>
  <c r="A9" i="11"/>
  <c r="A10" i="17" l="1"/>
  <c r="A11" i="17"/>
  <c r="A13" i="17" s="1"/>
  <c r="A12" i="17"/>
  <c r="A10" i="11"/>
  <c r="A11" i="11" s="1"/>
  <c r="G58" i="11"/>
  <c r="G37" i="11"/>
  <c r="G15" i="11"/>
  <c r="G39" i="11"/>
  <c r="G34" i="11"/>
  <c r="G45" i="11"/>
  <c r="G16" i="11"/>
  <c r="G42" i="11"/>
  <c r="G36" i="11"/>
  <c r="G18" i="11"/>
  <c r="G46" i="11"/>
  <c r="G35" i="11"/>
  <c r="K13" i="11" s="1"/>
  <c r="G38" i="11"/>
  <c r="G43" i="11"/>
  <c r="G44" i="11"/>
  <c r="G9" i="11"/>
  <c r="G17" i="11"/>
  <c r="G41" i="11"/>
  <c r="G53" i="11"/>
  <c r="K26" i="11" s="1"/>
  <c r="A14" i="17" l="1"/>
  <c r="A15" i="17" s="1"/>
  <c r="K19" i="11"/>
  <c r="K21" i="11"/>
  <c r="K24" i="11"/>
  <c r="K23" i="11"/>
  <c r="K25" i="11"/>
  <c r="K15" i="11"/>
  <c r="K22" i="11"/>
  <c r="K17" i="11"/>
  <c r="K16" i="11"/>
  <c r="K20" i="11"/>
  <c r="K11" i="11"/>
  <c r="K10" i="11"/>
  <c r="K18" i="11"/>
  <c r="K9" i="11"/>
  <c r="K12" i="11"/>
  <c r="G54" i="11"/>
  <c r="G12" i="11"/>
  <c r="G47" i="11"/>
  <c r="G25" i="11"/>
  <c r="A16" i="17" l="1"/>
  <c r="A17" i="17" s="1"/>
  <c r="G59" i="11"/>
  <c r="A18" i="17" l="1"/>
  <c r="A15" i="11"/>
  <c r="A19" i="17" l="1"/>
  <c r="A20" i="17" s="1"/>
  <c r="A21" i="17" s="1"/>
  <c r="A22" i="17" s="1"/>
  <c r="A23" i="17" s="1"/>
  <c r="A16" i="11"/>
  <c r="A24" i="17" l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17" i="11"/>
  <c r="A18" i="11" l="1"/>
  <c r="I139" i="7"/>
  <c r="I135" i="7"/>
  <c r="I131" i="7"/>
  <c r="I130" i="7"/>
  <c r="I125" i="7"/>
  <c r="I124" i="7"/>
  <c r="I120" i="7"/>
  <c r="I116" i="7"/>
  <c r="I115" i="7"/>
  <c r="I114" i="7"/>
  <c r="I113" i="7"/>
  <c r="I112" i="7"/>
  <c r="I111" i="7"/>
  <c r="A39" i="17" l="1"/>
  <c r="A19" i="11"/>
  <c r="A20" i="11" s="1"/>
  <c r="A21" i="11" s="1"/>
  <c r="A22" i="11" l="1"/>
  <c r="A23" i="11" s="1"/>
  <c r="A24" i="11" s="1"/>
  <c r="F15" i="35" l="1"/>
  <c r="A28" i="11" l="1"/>
  <c r="A29" i="11" s="1"/>
  <c r="A13" i="18"/>
  <c r="A17" i="18" s="1"/>
  <c r="A34" i="11" l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F15" i="31"/>
  <c r="A8" i="35"/>
  <c r="A8" i="34"/>
  <c r="A8" i="31"/>
  <c r="A9" i="31" s="1"/>
  <c r="A10" i="31" s="1"/>
  <c r="A11" i="31" s="1"/>
  <c r="F19" i="35"/>
  <c r="F18" i="34"/>
  <c r="A9" i="19"/>
  <c r="A9" i="12"/>
  <c r="A9" i="10"/>
  <c r="A9" i="9"/>
  <c r="A9" i="7"/>
  <c r="A9" i="6"/>
  <c r="A9" i="5"/>
  <c r="A9" i="4"/>
  <c r="A9" i="3"/>
  <c r="A9" i="2"/>
  <c r="A9" i="21"/>
  <c r="F50" i="20"/>
  <c r="F51" i="20" s="1"/>
  <c r="G49" i="20" s="1"/>
  <c r="F81" i="9"/>
  <c r="G79" i="9" s="1"/>
  <c r="F67" i="3"/>
  <c r="G61" i="3" l="1"/>
  <c r="G55" i="3"/>
  <c r="G51" i="3"/>
  <c r="G47" i="3"/>
  <c r="G43" i="3"/>
  <c r="G39" i="3"/>
  <c r="G35" i="3"/>
  <c r="G31" i="3"/>
  <c r="G27" i="3"/>
  <c r="G23" i="3"/>
  <c r="G19" i="3"/>
  <c r="G15" i="3"/>
  <c r="G11" i="3"/>
  <c r="G57" i="3"/>
  <c r="G41" i="3"/>
  <c r="K23" i="3" s="1"/>
  <c r="G29" i="3"/>
  <c r="G17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49" i="3"/>
  <c r="G37" i="3"/>
  <c r="G25" i="3"/>
  <c r="G13" i="3"/>
  <c r="G56" i="3"/>
  <c r="G52" i="3"/>
  <c r="G48" i="3"/>
  <c r="G44" i="3"/>
  <c r="G40" i="3"/>
  <c r="G36" i="3"/>
  <c r="G32" i="3"/>
  <c r="G28" i="3"/>
  <c r="G24" i="3"/>
  <c r="G20" i="3"/>
  <c r="G16" i="3"/>
  <c r="G12" i="3"/>
  <c r="G65" i="3"/>
  <c r="G53" i="3"/>
  <c r="G45" i="3"/>
  <c r="G33" i="3"/>
  <c r="G21" i="3"/>
  <c r="G37" i="20"/>
  <c r="G36" i="20"/>
  <c r="G35" i="20"/>
  <c r="G34" i="20"/>
  <c r="G33" i="20"/>
  <c r="G11" i="20"/>
  <c r="G10" i="20"/>
  <c r="G31" i="20"/>
  <c r="G32" i="20"/>
  <c r="G80" i="9"/>
  <c r="G70" i="9"/>
  <c r="G28" i="20"/>
  <c r="G30" i="20"/>
  <c r="G29" i="20"/>
  <c r="G69" i="9"/>
  <c r="G42" i="20"/>
  <c r="G67" i="9"/>
  <c r="G68" i="9"/>
  <c r="G66" i="9"/>
  <c r="G65" i="9"/>
  <c r="G9" i="20"/>
  <c r="A10" i="12"/>
  <c r="G64" i="9"/>
  <c r="G63" i="9"/>
  <c r="G88" i="5"/>
  <c r="G55" i="5"/>
  <c r="G56" i="5"/>
  <c r="G66" i="3"/>
  <c r="A9" i="35"/>
  <c r="A9" i="34"/>
  <c r="A10" i="34" s="1"/>
  <c r="A10" i="6"/>
  <c r="A10" i="5"/>
  <c r="A10" i="19"/>
  <c r="A10" i="9"/>
  <c r="F47" i="16"/>
  <c r="G45" i="16" s="1"/>
  <c r="F95" i="2"/>
  <c r="G93" i="2" s="1"/>
  <c r="A10" i="3"/>
  <c r="A11" i="3" s="1"/>
  <c r="F20" i="35"/>
  <c r="G18" i="35" s="1"/>
  <c r="A10" i="4"/>
  <c r="A10" i="2"/>
  <c r="F50" i="12"/>
  <c r="G48" i="12" s="1"/>
  <c r="F48" i="14"/>
  <c r="F143" i="19"/>
  <c r="F19" i="34"/>
  <c r="G17" i="34" s="1"/>
  <c r="F37" i="21"/>
  <c r="A10" i="7"/>
  <c r="F38" i="18"/>
  <c r="G36" i="18" s="1"/>
  <c r="F23" i="31"/>
  <c r="G21" i="31" s="1"/>
  <c r="K21" i="3"/>
  <c r="F18" i="10"/>
  <c r="G16" i="10" s="1"/>
  <c r="K22" i="3"/>
  <c r="F78" i="7"/>
  <c r="G76" i="7" s="1"/>
  <c r="K28" i="3"/>
  <c r="K29" i="3"/>
  <c r="K30" i="3" l="1"/>
  <c r="G130" i="19"/>
  <c r="G123" i="19"/>
  <c r="G119" i="19"/>
  <c r="G109" i="19"/>
  <c r="G105" i="19"/>
  <c r="G101" i="19"/>
  <c r="K43" i="19" s="1"/>
  <c r="G97" i="19"/>
  <c r="G93" i="19"/>
  <c r="G85" i="19"/>
  <c r="G81" i="19"/>
  <c r="G69" i="19"/>
  <c r="G65" i="19"/>
  <c r="G61" i="19"/>
  <c r="G57" i="19"/>
  <c r="G53" i="19"/>
  <c r="G49" i="19"/>
  <c r="G45" i="19"/>
  <c r="G41" i="19"/>
  <c r="G37" i="19"/>
  <c r="G33" i="19"/>
  <c r="G29" i="19"/>
  <c r="G25" i="19"/>
  <c r="G21" i="19"/>
  <c r="G17" i="19"/>
  <c r="G13" i="19"/>
  <c r="G15" i="19"/>
  <c r="G30" i="19"/>
  <c r="G14" i="19"/>
  <c r="G129" i="19"/>
  <c r="G122" i="19"/>
  <c r="G118" i="19"/>
  <c r="G108" i="19"/>
  <c r="G104" i="19"/>
  <c r="G100" i="19"/>
  <c r="G96" i="19"/>
  <c r="G92" i="19"/>
  <c r="G84" i="19"/>
  <c r="G77" i="19"/>
  <c r="G78" i="19" s="1"/>
  <c r="G68" i="19"/>
  <c r="G64" i="19"/>
  <c r="G60" i="19"/>
  <c r="G56" i="19"/>
  <c r="G52" i="19"/>
  <c r="G48" i="19"/>
  <c r="G44" i="19"/>
  <c r="G40" i="19"/>
  <c r="G36" i="19"/>
  <c r="G32" i="19"/>
  <c r="G28" i="19"/>
  <c r="G24" i="19"/>
  <c r="G20" i="19"/>
  <c r="G16" i="19"/>
  <c r="G12" i="19"/>
  <c r="G38" i="19"/>
  <c r="G22" i="19"/>
  <c r="G141" i="19"/>
  <c r="G137" i="19"/>
  <c r="G125" i="19"/>
  <c r="G121" i="19"/>
  <c r="G114" i="19"/>
  <c r="G107" i="19"/>
  <c r="K25" i="19" s="1"/>
  <c r="G103" i="19"/>
  <c r="G99" i="19"/>
  <c r="G95" i="19"/>
  <c r="G91" i="19"/>
  <c r="G83" i="19"/>
  <c r="K40" i="19" s="1"/>
  <c r="G71" i="19"/>
  <c r="G67" i="19"/>
  <c r="G63" i="19"/>
  <c r="G59" i="19"/>
  <c r="G55" i="19"/>
  <c r="G51" i="19"/>
  <c r="G47" i="19"/>
  <c r="G43" i="19"/>
  <c r="G39" i="19"/>
  <c r="G35" i="19"/>
  <c r="G31" i="19"/>
  <c r="G27" i="19"/>
  <c r="G23" i="19"/>
  <c r="G19" i="19"/>
  <c r="G11" i="19"/>
  <c r="G26" i="19"/>
  <c r="G10" i="19"/>
  <c r="G134" i="19"/>
  <c r="G124" i="19"/>
  <c r="G120" i="19"/>
  <c r="G110" i="19"/>
  <c r="G106" i="19"/>
  <c r="K47" i="19" s="1"/>
  <c r="G102" i="19"/>
  <c r="G98" i="19"/>
  <c r="K37" i="19" s="1"/>
  <c r="G94" i="19"/>
  <c r="G86" i="19"/>
  <c r="G82" i="19"/>
  <c r="G70" i="19"/>
  <c r="G66" i="19"/>
  <c r="G62" i="19"/>
  <c r="K45" i="19" s="1"/>
  <c r="G58" i="19"/>
  <c r="G54" i="19"/>
  <c r="G50" i="19"/>
  <c r="G46" i="19"/>
  <c r="G42" i="19"/>
  <c r="G34" i="19"/>
  <c r="G18" i="19"/>
  <c r="G24" i="21"/>
  <c r="G23" i="21"/>
  <c r="G22" i="21"/>
  <c r="G17" i="18"/>
  <c r="G18" i="18" s="1"/>
  <c r="G46" i="16"/>
  <c r="G20" i="16"/>
  <c r="G46" i="14"/>
  <c r="G47" i="14" s="1"/>
  <c r="G22" i="14"/>
  <c r="G37" i="12"/>
  <c r="G36" i="12"/>
  <c r="G49" i="12"/>
  <c r="G15" i="12"/>
  <c r="G14" i="12"/>
  <c r="A9" i="8"/>
  <c r="K20" i="3"/>
  <c r="G34" i="12"/>
  <c r="G33" i="12"/>
  <c r="G35" i="12"/>
  <c r="G32" i="12"/>
  <c r="A50" i="11"/>
  <c r="K30" i="9"/>
  <c r="G35" i="21"/>
  <c r="G36" i="21" s="1"/>
  <c r="G15" i="16"/>
  <c r="G37" i="14"/>
  <c r="G38" i="14"/>
  <c r="G39" i="14"/>
  <c r="G18" i="14"/>
  <c r="G31" i="12"/>
  <c r="K37" i="2"/>
  <c r="G60" i="7"/>
  <c r="G63" i="7"/>
  <c r="G59" i="7"/>
  <c r="G62" i="7"/>
  <c r="G61" i="7"/>
  <c r="K49" i="19"/>
  <c r="K46" i="19"/>
  <c r="K48" i="19"/>
  <c r="G142" i="19"/>
  <c r="K31" i="19"/>
  <c r="G26" i="18"/>
  <c r="G24" i="18"/>
  <c r="G27" i="18"/>
  <c r="K16" i="18" s="1"/>
  <c r="G29" i="18"/>
  <c r="G25" i="18"/>
  <c r="G28" i="18"/>
  <c r="G23" i="18"/>
  <c r="G21" i="21"/>
  <c r="G13" i="16"/>
  <c r="G14" i="16"/>
  <c r="G71" i="2"/>
  <c r="G12" i="20"/>
  <c r="G9" i="14"/>
  <c r="G58" i="7"/>
  <c r="G68" i="2"/>
  <c r="G70" i="2"/>
  <c r="G66" i="2"/>
  <c r="G69" i="2"/>
  <c r="G67" i="2"/>
  <c r="G41" i="12"/>
  <c r="G42" i="12" s="1"/>
  <c r="A11" i="12"/>
  <c r="G19" i="12"/>
  <c r="K22" i="12" s="1"/>
  <c r="G57" i="7"/>
  <c r="K33" i="2"/>
  <c r="K35" i="2"/>
  <c r="K34" i="2"/>
  <c r="K32" i="2"/>
  <c r="G36" i="16"/>
  <c r="G72" i="7"/>
  <c r="K31" i="7" s="1"/>
  <c r="G53" i="7"/>
  <c r="G49" i="7"/>
  <c r="G45" i="7"/>
  <c r="G41" i="7"/>
  <c r="G37" i="7"/>
  <c r="G33" i="7"/>
  <c r="G29" i="7"/>
  <c r="G25" i="7"/>
  <c r="G21" i="7"/>
  <c r="G17" i="7"/>
  <c r="G13" i="7"/>
  <c r="G11" i="7"/>
  <c r="G56" i="7"/>
  <c r="G52" i="7"/>
  <c r="G48" i="7"/>
  <c r="G44" i="7"/>
  <c r="G40" i="7"/>
  <c r="G36" i="7"/>
  <c r="G32" i="7"/>
  <c r="G28" i="7"/>
  <c r="G24" i="7"/>
  <c r="G20" i="7"/>
  <c r="G16" i="7"/>
  <c r="G12" i="7"/>
  <c r="G55" i="7"/>
  <c r="G51" i="7"/>
  <c r="G47" i="7"/>
  <c r="G43" i="7"/>
  <c r="G39" i="7"/>
  <c r="G35" i="7"/>
  <c r="G31" i="7"/>
  <c r="G27" i="7"/>
  <c r="G23" i="7"/>
  <c r="G19" i="7"/>
  <c r="G15" i="7"/>
  <c r="G54" i="7"/>
  <c r="G50" i="7"/>
  <c r="K28" i="7" s="1"/>
  <c r="G46" i="7"/>
  <c r="G42" i="7"/>
  <c r="G38" i="7"/>
  <c r="G34" i="7"/>
  <c r="G30" i="7"/>
  <c r="G26" i="7"/>
  <c r="G22" i="7"/>
  <c r="G18" i="7"/>
  <c r="G14" i="7"/>
  <c r="G10" i="7"/>
  <c r="G94" i="2"/>
  <c r="G20" i="21"/>
  <c r="G19" i="21"/>
  <c r="G17" i="14"/>
  <c r="G30" i="12"/>
  <c r="G11" i="12"/>
  <c r="G12" i="12"/>
  <c r="G13" i="12"/>
  <c r="G9" i="34"/>
  <c r="G8" i="34"/>
  <c r="G10" i="34"/>
  <c r="G28" i="21"/>
  <c r="K14" i="21" s="1"/>
  <c r="G16" i="14"/>
  <c r="G18" i="21"/>
  <c r="G9" i="18"/>
  <c r="G86" i="2"/>
  <c r="G87" i="2" s="1"/>
  <c r="G89" i="2"/>
  <c r="K39" i="2" s="1"/>
  <c r="G29" i="12"/>
  <c r="G19" i="16"/>
  <c r="G36" i="14"/>
  <c r="G35" i="14"/>
  <c r="G34" i="14"/>
  <c r="G9" i="12"/>
  <c r="G10" i="12"/>
  <c r="G62" i="3"/>
  <c r="G33" i="14"/>
  <c r="G32" i="14"/>
  <c r="G22" i="31"/>
  <c r="K13" i="18"/>
  <c r="G14" i="14"/>
  <c r="G13" i="14"/>
  <c r="G15" i="14"/>
  <c r="G31" i="14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56" i="2"/>
  <c r="G44" i="2"/>
  <c r="G32" i="2"/>
  <c r="G20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0" i="2"/>
  <c r="G48" i="2"/>
  <c r="G36" i="2"/>
  <c r="G24" i="2"/>
  <c r="G12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64" i="2"/>
  <c r="G52" i="2"/>
  <c r="G40" i="2"/>
  <c r="G28" i="2"/>
  <c r="G16" i="2"/>
  <c r="G37" i="16"/>
  <c r="G35" i="16"/>
  <c r="G31" i="16"/>
  <c r="G27" i="16"/>
  <c r="G34" i="16"/>
  <c r="G30" i="16"/>
  <c r="G26" i="16"/>
  <c r="G28" i="16"/>
  <c r="G41" i="16"/>
  <c r="K20" i="16" s="1"/>
  <c r="G38" i="16"/>
  <c r="G33" i="16"/>
  <c r="G29" i="16"/>
  <c r="G25" i="16"/>
  <c r="G32" i="16"/>
  <c r="G9" i="16"/>
  <c r="G30" i="14"/>
  <c r="A10" i="35"/>
  <c r="A11" i="35" s="1"/>
  <c r="G10" i="35"/>
  <c r="G11" i="35"/>
  <c r="G18" i="34"/>
  <c r="G13" i="34"/>
  <c r="K10" i="34" s="1"/>
  <c r="G17" i="21"/>
  <c r="G13" i="18"/>
  <c r="A11" i="6"/>
  <c r="G24" i="20"/>
  <c r="G21" i="20"/>
  <c r="G17" i="20"/>
  <c r="G23" i="20"/>
  <c r="G27" i="20"/>
  <c r="G22" i="20"/>
  <c r="G18" i="20"/>
  <c r="G25" i="20"/>
  <c r="A11" i="9"/>
  <c r="A12" i="9" s="1"/>
  <c r="A11" i="7"/>
  <c r="G83" i="5"/>
  <c r="K33" i="5" s="1"/>
  <c r="A11" i="5"/>
  <c r="A11" i="2"/>
  <c r="G14" i="35"/>
  <c r="K10" i="35" s="1"/>
  <c r="G27" i="12"/>
  <c r="G25" i="12"/>
  <c r="G28" i="12"/>
  <c r="G26" i="12"/>
  <c r="G28" i="5"/>
  <c r="A11" i="4"/>
  <c r="A11" i="19"/>
  <c r="G61" i="9"/>
  <c r="G18" i="9"/>
  <c r="G53" i="5"/>
  <c r="G48" i="5"/>
  <c r="G80" i="5"/>
  <c r="K32" i="5" s="1"/>
  <c r="G31" i="5"/>
  <c r="G31" i="9"/>
  <c r="G38" i="9"/>
  <c r="G49" i="9"/>
  <c r="G42" i="9"/>
  <c r="G46" i="9"/>
  <c r="G9" i="35"/>
  <c r="G8" i="35"/>
  <c r="G16" i="20"/>
  <c r="G24" i="12"/>
  <c r="G39" i="9"/>
  <c r="G41" i="9"/>
  <c r="G50" i="9"/>
  <c r="G24" i="9"/>
  <c r="G53" i="9"/>
  <c r="G35" i="9"/>
  <c r="G26" i="9"/>
  <c r="G52" i="9"/>
  <c r="G23" i="9"/>
  <c r="G27" i="9"/>
  <c r="G30" i="9"/>
  <c r="G21" i="9"/>
  <c r="G44" i="5"/>
  <c r="G24" i="5"/>
  <c r="G27" i="5"/>
  <c r="G19" i="5"/>
  <c r="G21" i="5"/>
  <c r="G45" i="5"/>
  <c r="G46" i="5"/>
  <c r="G26" i="5"/>
  <c r="G38" i="5"/>
  <c r="G10" i="5"/>
  <c r="G16" i="5"/>
  <c r="G11" i="5"/>
  <c r="G41" i="5"/>
  <c r="G35" i="5"/>
  <c r="G43" i="5"/>
  <c r="G20" i="5"/>
  <c r="G18" i="5"/>
  <c r="G12" i="5"/>
  <c r="G36" i="5"/>
  <c r="G37" i="5"/>
  <c r="G34" i="5"/>
  <c r="G40" i="5"/>
  <c r="G17" i="5"/>
  <c r="G47" i="5"/>
  <c r="G32" i="5"/>
  <c r="G9" i="5"/>
  <c r="G49" i="5"/>
  <c r="G50" i="5"/>
  <c r="G30" i="5"/>
  <c r="G29" i="5"/>
  <c r="G39" i="5"/>
  <c r="G42" i="5"/>
  <c r="G25" i="5"/>
  <c r="G14" i="5"/>
  <c r="G23" i="5"/>
  <c r="G52" i="5"/>
  <c r="G22" i="5"/>
  <c r="G13" i="5"/>
  <c r="G15" i="5"/>
  <c r="G33" i="5"/>
  <c r="G51" i="5"/>
  <c r="G54" i="5"/>
  <c r="G59" i="9"/>
  <c r="G31" i="21"/>
  <c r="K15" i="21" s="1"/>
  <c r="G42" i="14"/>
  <c r="K18" i="14" s="1"/>
  <c r="G50" i="20"/>
  <c r="A12" i="3"/>
  <c r="A13" i="3" s="1"/>
  <c r="G14" i="31"/>
  <c r="K10" i="31" s="1"/>
  <c r="G17" i="31"/>
  <c r="G18" i="31" s="1"/>
  <c r="G10" i="31"/>
  <c r="G15" i="20"/>
  <c r="G20" i="20"/>
  <c r="G19" i="20"/>
  <c r="G37" i="18"/>
  <c r="G29" i="14"/>
  <c r="G44" i="12"/>
  <c r="K23" i="12" s="1"/>
  <c r="G56" i="9"/>
  <c r="G54" i="9"/>
  <c r="G28" i="9"/>
  <c r="K24" i="3"/>
  <c r="G9" i="3"/>
  <c r="K17" i="3"/>
  <c r="K18" i="3"/>
  <c r="K15" i="3"/>
  <c r="K16" i="3"/>
  <c r="K25" i="3"/>
  <c r="K26" i="3"/>
  <c r="K19" i="3"/>
  <c r="K27" i="3"/>
  <c r="G9" i="2"/>
  <c r="G27" i="14"/>
  <c r="G9" i="31"/>
  <c r="G19" i="35"/>
  <c r="A14" i="3"/>
  <c r="A15" i="3" s="1"/>
  <c r="A16" i="3" s="1"/>
  <c r="G17" i="9"/>
  <c r="G75" i="9"/>
  <c r="K31" i="9" s="1"/>
  <c r="G17" i="10"/>
  <c r="G12" i="10"/>
  <c r="K10" i="10" s="1"/>
  <c r="G8" i="31"/>
  <c r="G11" i="31"/>
  <c r="G14" i="21"/>
  <c r="G13" i="21"/>
  <c r="G16" i="21"/>
  <c r="G15" i="21"/>
  <c r="G9" i="21"/>
  <c r="G10" i="21" s="1"/>
  <c r="G45" i="20"/>
  <c r="K15" i="20" s="1"/>
  <c r="G9" i="19"/>
  <c r="G32" i="18"/>
  <c r="K17" i="18" s="1"/>
  <c r="G22" i="18"/>
  <c r="G28" i="14"/>
  <c r="G9" i="10"/>
  <c r="G10" i="10" s="1"/>
  <c r="G29" i="9"/>
  <c r="G37" i="9"/>
  <c r="G13" i="9"/>
  <c r="G40" i="9"/>
  <c r="G12" i="9"/>
  <c r="G33" i="9"/>
  <c r="G14" i="9"/>
  <c r="G25" i="9"/>
  <c r="G48" i="9"/>
  <c r="G16" i="9"/>
  <c r="G55" i="9"/>
  <c r="G22" i="9"/>
  <c r="G62" i="9"/>
  <c r="G15" i="9"/>
  <c r="G57" i="9"/>
  <c r="G11" i="9"/>
  <c r="G58" i="9"/>
  <c r="G47" i="9"/>
  <c r="G19" i="9"/>
  <c r="G9" i="9"/>
  <c r="G32" i="9"/>
  <c r="K29" i="9" s="1"/>
  <c r="G60" i="9"/>
  <c r="G44" i="9"/>
  <c r="G36" i="9"/>
  <c r="G20" i="9"/>
  <c r="G51" i="9"/>
  <c r="G43" i="9"/>
  <c r="G34" i="9"/>
  <c r="K12" i="3"/>
  <c r="K13" i="3"/>
  <c r="G41" i="20"/>
  <c r="G43" i="20" s="1"/>
  <c r="G26" i="20"/>
  <c r="K14" i="20" s="1"/>
  <c r="G9" i="7"/>
  <c r="G45" i="9"/>
  <c r="G10" i="9"/>
  <c r="A22" i="18"/>
  <c r="K12" i="21" l="1"/>
  <c r="K34" i="19"/>
  <c r="A10" i="8"/>
  <c r="A12" i="8" s="1"/>
  <c r="A11" i="8"/>
  <c r="K51" i="19"/>
  <c r="K19" i="12"/>
  <c r="G131" i="19"/>
  <c r="K38" i="19"/>
  <c r="K42" i="19"/>
  <c r="K28" i="19"/>
  <c r="K41" i="19"/>
  <c r="K44" i="19"/>
  <c r="K26" i="19"/>
  <c r="K21" i="19"/>
  <c r="K36" i="19"/>
  <c r="K30" i="19"/>
  <c r="K35" i="19"/>
  <c r="K32" i="19"/>
  <c r="K27" i="19"/>
  <c r="K33" i="19"/>
  <c r="K39" i="19"/>
  <c r="K24" i="19"/>
  <c r="K14" i="18"/>
  <c r="G21" i="16"/>
  <c r="K16" i="14"/>
  <c r="G23" i="14"/>
  <c r="K15" i="12"/>
  <c r="K14" i="12"/>
  <c r="A12" i="7"/>
  <c r="A13" i="7" s="1"/>
  <c r="K11" i="3"/>
  <c r="K10" i="3"/>
  <c r="K14" i="3"/>
  <c r="K9" i="3"/>
  <c r="K20" i="12"/>
  <c r="K21" i="12"/>
  <c r="K22" i="19"/>
  <c r="K29" i="19"/>
  <c r="K20" i="19"/>
  <c r="K23" i="19"/>
  <c r="K19" i="19"/>
  <c r="K12" i="16"/>
  <c r="K13" i="21"/>
  <c r="K11" i="21"/>
  <c r="K10" i="20"/>
  <c r="K11" i="20"/>
  <c r="G115" i="19"/>
  <c r="G135" i="19"/>
  <c r="K14" i="19"/>
  <c r="K9" i="16"/>
  <c r="A12" i="12"/>
  <c r="K31" i="2"/>
  <c r="K31" i="5"/>
  <c r="K15" i="19"/>
  <c r="K18" i="19"/>
  <c r="K17" i="19"/>
  <c r="K16" i="19"/>
  <c r="K18" i="16"/>
  <c r="K17" i="16"/>
  <c r="K19" i="16"/>
  <c r="K10" i="16"/>
  <c r="K14" i="16"/>
  <c r="K16" i="16"/>
  <c r="K15" i="16"/>
  <c r="K28" i="2"/>
  <c r="K30" i="2"/>
  <c r="G73" i="9"/>
  <c r="G65" i="7"/>
  <c r="G81" i="5"/>
  <c r="K30" i="5"/>
  <c r="K15" i="14"/>
  <c r="K13" i="16"/>
  <c r="K11" i="16"/>
  <c r="K13" i="20"/>
  <c r="G16" i="16"/>
  <c r="K14" i="14"/>
  <c r="K17" i="14"/>
  <c r="K13" i="14"/>
  <c r="K12" i="14"/>
  <c r="K22" i="2"/>
  <c r="K17" i="12"/>
  <c r="G29" i="21"/>
  <c r="K8" i="16"/>
  <c r="K11" i="14"/>
  <c r="K20" i="2"/>
  <c r="K29" i="2"/>
  <c r="K26" i="2"/>
  <c r="K11" i="18"/>
  <c r="K12" i="20"/>
  <c r="G87" i="19"/>
  <c r="K12" i="18"/>
  <c r="K15" i="18"/>
  <c r="G10" i="14"/>
  <c r="K18" i="12"/>
  <c r="K17" i="2"/>
  <c r="K21" i="2"/>
  <c r="K27" i="2"/>
  <c r="K24" i="2"/>
  <c r="K23" i="2"/>
  <c r="K13" i="2"/>
  <c r="K10" i="2"/>
  <c r="K25" i="2"/>
  <c r="K14" i="2"/>
  <c r="K19" i="2"/>
  <c r="K16" i="2"/>
  <c r="K11" i="2"/>
  <c r="K15" i="2"/>
  <c r="K36" i="2"/>
  <c r="K12" i="2"/>
  <c r="K18" i="2"/>
  <c r="A13" i="12"/>
  <c r="G20" i="12"/>
  <c r="K9" i="20"/>
  <c r="G77" i="7"/>
  <c r="K10" i="18"/>
  <c r="K10" i="14"/>
  <c r="K12" i="12"/>
  <c r="K11" i="12"/>
  <c r="K13" i="12"/>
  <c r="G46" i="20"/>
  <c r="G73" i="19"/>
  <c r="G111" i="19"/>
  <c r="G138" i="19"/>
  <c r="G126" i="19"/>
  <c r="K29" i="7"/>
  <c r="G38" i="20"/>
  <c r="G10" i="18"/>
  <c r="K9" i="18"/>
  <c r="K16" i="12"/>
  <c r="K27" i="7"/>
  <c r="K28" i="9"/>
  <c r="K26" i="7"/>
  <c r="K25" i="7"/>
  <c r="K9" i="35"/>
  <c r="K9" i="34"/>
  <c r="G14" i="34"/>
  <c r="K10" i="12"/>
  <c r="K24" i="7"/>
  <c r="G73" i="2"/>
  <c r="A12" i="2"/>
  <c r="G73" i="7"/>
  <c r="G13" i="10"/>
  <c r="K9" i="5"/>
  <c r="G69" i="5"/>
  <c r="G84" i="5"/>
  <c r="G32" i="21"/>
  <c r="G33" i="18"/>
  <c r="G42" i="16"/>
  <c r="G43" i="14"/>
  <c r="G45" i="12"/>
  <c r="K26" i="9"/>
  <c r="A12" i="4"/>
  <c r="A13" i="4" s="1"/>
  <c r="K17" i="7"/>
  <c r="G76" i="9"/>
  <c r="G90" i="2"/>
  <c r="G12" i="35"/>
  <c r="G11" i="34"/>
  <c r="G12" i="31"/>
  <c r="G30" i="18"/>
  <c r="G25" i="21"/>
  <c r="G14" i="18"/>
  <c r="G10" i="16"/>
  <c r="G39" i="16"/>
  <c r="G40" i="14"/>
  <c r="G19" i="14"/>
  <c r="G38" i="12"/>
  <c r="G16" i="12"/>
  <c r="G59" i="3"/>
  <c r="K9" i="19"/>
  <c r="K23" i="9"/>
  <c r="K22" i="7"/>
  <c r="K16" i="7"/>
  <c r="A12" i="5"/>
  <c r="K16" i="5"/>
  <c r="K25" i="5"/>
  <c r="K29" i="5"/>
  <c r="K21" i="9"/>
  <c r="K26" i="5"/>
  <c r="G15" i="35"/>
  <c r="L13" i="35"/>
  <c r="K9" i="31"/>
  <c r="G15" i="31"/>
  <c r="K9" i="21"/>
  <c r="K10" i="21"/>
  <c r="K10" i="19"/>
  <c r="K9" i="12"/>
  <c r="K9" i="10"/>
  <c r="K13" i="9"/>
  <c r="K27" i="9"/>
  <c r="K25" i="9"/>
  <c r="K18" i="9"/>
  <c r="K13" i="7"/>
  <c r="K21" i="7"/>
  <c r="K20" i="7"/>
  <c r="K18" i="7"/>
  <c r="A12" i="6"/>
  <c r="K27" i="5"/>
  <c r="K24" i="5"/>
  <c r="K17" i="5"/>
  <c r="K19" i="5"/>
  <c r="K28" i="5"/>
  <c r="K9" i="2"/>
  <c r="K14" i="9"/>
  <c r="K24" i="9"/>
  <c r="K13" i="19"/>
  <c r="K11" i="19"/>
  <c r="K12" i="19"/>
  <c r="K20" i="9"/>
  <c r="K13" i="5"/>
  <c r="K12" i="9"/>
  <c r="K19" i="9"/>
  <c r="K10" i="9"/>
  <c r="K15" i="9"/>
  <c r="K17" i="9"/>
  <c r="K9" i="9"/>
  <c r="K16" i="9"/>
  <c r="K11" i="9"/>
  <c r="K22" i="9"/>
  <c r="K9" i="7"/>
  <c r="K11" i="7"/>
  <c r="K19" i="7"/>
  <c r="K10" i="7"/>
  <c r="K15" i="7"/>
  <c r="K23" i="7"/>
  <c r="K12" i="7"/>
  <c r="K14" i="7"/>
  <c r="K14" i="5"/>
  <c r="K20" i="5"/>
  <c r="K23" i="5"/>
  <c r="K18" i="5"/>
  <c r="K10" i="5"/>
  <c r="K15" i="5"/>
  <c r="K22" i="5"/>
  <c r="K12" i="5"/>
  <c r="K11" i="5"/>
  <c r="K21" i="5"/>
  <c r="G116" i="8"/>
  <c r="A23" i="18"/>
  <c r="A24" i="18" s="1"/>
  <c r="A12" i="19"/>
  <c r="A13" i="9"/>
  <c r="A17" i="3"/>
  <c r="A18" i="3" s="1"/>
  <c r="A14" i="12" l="1"/>
  <c r="A15" i="12" s="1"/>
  <c r="A14" i="8"/>
  <c r="A14" i="7"/>
  <c r="A13" i="8"/>
  <c r="L20" i="16"/>
  <c r="A13" i="5"/>
  <c r="A19" i="12"/>
  <c r="G19" i="34"/>
  <c r="L19" i="16"/>
  <c r="A13" i="2"/>
  <c r="A25" i="18"/>
  <c r="A26" i="18" s="1"/>
  <c r="G23" i="31"/>
  <c r="L20" i="18"/>
  <c r="L12" i="34"/>
  <c r="L12" i="31"/>
  <c r="L25" i="21"/>
  <c r="L32" i="19"/>
  <c r="G47" i="16"/>
  <c r="G18" i="10"/>
  <c r="G81" i="9"/>
  <c r="A13" i="6"/>
  <c r="L32" i="3"/>
  <c r="G143" i="19"/>
  <c r="L29" i="9"/>
  <c r="L26" i="7"/>
  <c r="G89" i="5"/>
  <c r="A14" i="9"/>
  <c r="G95" i="2"/>
  <c r="A13" i="19"/>
  <c r="A15" i="7"/>
  <c r="A14" i="4"/>
  <c r="G20" i="35"/>
  <c r="G37" i="21"/>
  <c r="G50" i="12"/>
  <c r="G48" i="14"/>
  <c r="G51" i="20"/>
  <c r="A13" i="21"/>
  <c r="G67" i="3"/>
  <c r="G38" i="18"/>
  <c r="G78" i="7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15" i="8" l="1"/>
  <c r="A14" i="5"/>
  <c r="A27" i="18"/>
  <c r="A28" i="18" s="1"/>
  <c r="A29" i="18" s="1"/>
  <c r="G117" i="8"/>
  <c r="A14" i="2"/>
  <c r="A15" i="9"/>
  <c r="A16" i="9" s="1"/>
  <c r="A17" i="9" s="1"/>
  <c r="A18" i="9" s="1"/>
  <c r="A14" i="6"/>
  <c r="A14" i="21"/>
  <c r="A14" i="19"/>
  <c r="A16" i="7"/>
  <c r="A15" i="4"/>
  <c r="A9" i="16"/>
  <c r="A17" i="8" l="1"/>
  <c r="A16" i="8"/>
  <c r="A15" i="5"/>
  <c r="A24" i="12"/>
  <c r="A15" i="6"/>
  <c r="A16" i="6" s="1"/>
  <c r="A17" i="6" s="1"/>
  <c r="A15" i="2"/>
  <c r="A16" i="2" s="1"/>
  <c r="A15" i="21"/>
  <c r="A15" i="19"/>
  <c r="A19" i="9"/>
  <c r="A17" i="7"/>
  <c r="A16" i="4"/>
  <c r="A18" i="8" l="1"/>
  <c r="A19" i="8" s="1"/>
  <c r="A20" i="8" s="1"/>
  <c r="A21" i="8" s="1"/>
  <c r="A22" i="8" s="1"/>
  <c r="A23" i="8" s="1"/>
  <c r="A24" i="8" s="1"/>
  <c r="A25" i="8" s="1"/>
  <c r="A26" i="8" s="1"/>
  <c r="A16" i="5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13" i="16"/>
  <c r="A25" i="12"/>
  <c r="A26" i="12" s="1"/>
  <c r="A27" i="12" s="1"/>
  <c r="A28" i="12" s="1"/>
  <c r="A29" i="12" s="1"/>
  <c r="A30" i="12" s="1"/>
  <c r="A18" i="6"/>
  <c r="A19" i="6" s="1"/>
  <c r="A16" i="21"/>
  <c r="A16" i="19"/>
  <c r="A17" i="19" s="1"/>
  <c r="A20" i="9"/>
  <c r="A18" i="7"/>
  <c r="A17" i="4"/>
  <c r="A18" i="4" s="1"/>
  <c r="A17" i="2"/>
  <c r="A18" i="2" s="1"/>
  <c r="A27" i="8" l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14" i="16"/>
  <c r="A15" i="16" s="1"/>
  <c r="A31" i="12"/>
  <c r="A17" i="21"/>
  <c r="A56" i="5"/>
  <c r="A57" i="5" s="1"/>
  <c r="A20" i="6"/>
  <c r="A21" i="6" s="1"/>
  <c r="A18" i="19"/>
  <c r="A19" i="19" s="1"/>
  <c r="A21" i="9"/>
  <c r="A19" i="7"/>
  <c r="A19" i="4"/>
  <c r="A19" i="2"/>
  <c r="A47" i="8" l="1"/>
  <c r="A32" i="12"/>
  <c r="A18" i="21"/>
  <c r="A19" i="21" s="1"/>
  <c r="A20" i="21" s="1"/>
  <c r="A21" i="21" s="1"/>
  <c r="A22" i="21" s="1"/>
  <c r="A23" i="21" s="1"/>
  <c r="A24" i="21" s="1"/>
  <c r="A19" i="16"/>
  <c r="A20" i="16" s="1"/>
  <c r="A58" i="5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22" i="6"/>
  <c r="A23" i="6" s="1"/>
  <c r="A20" i="19"/>
  <c r="A22" i="9"/>
  <c r="A20" i="7"/>
  <c r="A20" i="4"/>
  <c r="A20" i="2"/>
  <c r="A33" i="12" l="1"/>
  <c r="A28" i="21"/>
  <c r="A25" i="16"/>
  <c r="A26" i="16" s="1"/>
  <c r="A27" i="16" s="1"/>
  <c r="A28" i="16" s="1"/>
  <c r="A29" i="16" s="1"/>
  <c r="A30" i="16" s="1"/>
  <c r="A24" i="6"/>
  <c r="A25" i="6" s="1"/>
  <c r="A21" i="19"/>
  <c r="A23" i="9"/>
  <c r="A21" i="7"/>
  <c r="A21" i="4"/>
  <c r="A21" i="2"/>
  <c r="A34" i="12" l="1"/>
  <c r="A35" i="12" s="1"/>
  <c r="A36" i="12" s="1"/>
  <c r="A37" i="12" s="1"/>
  <c r="A31" i="16"/>
  <c r="A32" i="16" s="1"/>
  <c r="A33" i="16" s="1"/>
  <c r="A34" i="16" s="1"/>
  <c r="A35" i="16" s="1"/>
  <c r="A36" i="16" s="1"/>
  <c r="A37" i="16" s="1"/>
  <c r="A38" i="16" s="1"/>
  <c r="A15" i="20"/>
  <c r="A22" i="19"/>
  <c r="A24" i="9"/>
  <c r="A22" i="7"/>
  <c r="A26" i="6"/>
  <c r="A22" i="4"/>
  <c r="A22" i="2"/>
  <c r="A41" i="12" l="1"/>
  <c r="A16" i="20"/>
  <c r="A17" i="20" s="1"/>
  <c r="A18" i="20" s="1"/>
  <c r="A19" i="20" s="1"/>
  <c r="A23" i="19"/>
  <c r="A25" i="9"/>
  <c r="A23" i="7"/>
  <c r="A27" i="6"/>
  <c r="A23" i="4"/>
  <c r="A23" i="2"/>
  <c r="A20" i="20" l="1"/>
  <c r="A24" i="19"/>
  <c r="A26" i="9"/>
  <c r="A24" i="7"/>
  <c r="A28" i="6"/>
  <c r="A24" i="4"/>
  <c r="A24" i="2"/>
  <c r="A21" i="20" l="1"/>
  <c r="A25" i="19"/>
  <c r="A27" i="9"/>
  <c r="A25" i="7"/>
  <c r="A29" i="6"/>
  <c r="A25" i="4"/>
  <c r="A25" i="2"/>
  <c r="A22" i="20" l="1"/>
  <c r="A23" i="20" s="1"/>
  <c r="A24" i="20" s="1"/>
  <c r="A25" i="20" s="1"/>
  <c r="A26" i="20" s="1"/>
  <c r="A26" i="19"/>
  <c r="A28" i="9"/>
  <c r="A26" i="7"/>
  <c r="A30" i="6"/>
  <c r="A26" i="4"/>
  <c r="A26" i="2"/>
  <c r="A27" i="20" l="1"/>
  <c r="A28" i="20" s="1"/>
  <c r="A27" i="19"/>
  <c r="A29" i="9"/>
  <c r="A27" i="7"/>
  <c r="A31" i="6"/>
  <c r="A27" i="4"/>
  <c r="A27" i="2"/>
  <c r="A29" i="20" l="1"/>
  <c r="A30" i="20" s="1"/>
  <c r="A31" i="20" s="1"/>
  <c r="A32" i="20" s="1"/>
  <c r="A33" i="20" s="1"/>
  <c r="A34" i="20" s="1"/>
  <c r="A35" i="20" s="1"/>
  <c r="A36" i="20" s="1"/>
  <c r="A37" i="20" s="1"/>
  <c r="A28" i="19"/>
  <c r="A30" i="9"/>
  <c r="A28" i="7"/>
  <c r="A32" i="6"/>
  <c r="A28" i="4"/>
  <c r="A28" i="2"/>
  <c r="A41" i="20" l="1"/>
  <c r="A42" i="20" s="1"/>
  <c r="A29" i="19"/>
  <c r="A31" i="9"/>
  <c r="A29" i="7"/>
  <c r="A33" i="6"/>
  <c r="A29" i="4"/>
  <c r="A29" i="2"/>
  <c r="G51" i="4" l="1"/>
  <c r="K30" i="4" s="1"/>
  <c r="G50" i="4"/>
  <c r="A30" i="19"/>
  <c r="A32" i="9"/>
  <c r="A30" i="7"/>
  <c r="A34" i="6"/>
  <c r="A30" i="4"/>
  <c r="A30" i="2"/>
  <c r="G49" i="4"/>
  <c r="G46" i="4"/>
  <c r="G12" i="4"/>
  <c r="G33" i="4"/>
  <c r="G21" i="4"/>
  <c r="G36" i="4"/>
  <c r="G14" i="4"/>
  <c r="G41" i="4"/>
  <c r="G38" i="4"/>
  <c r="G35" i="4"/>
  <c r="G40" i="4"/>
  <c r="G26" i="4"/>
  <c r="G18" i="4"/>
  <c r="G42" i="4"/>
  <c r="G25" i="4"/>
  <c r="G28" i="4"/>
  <c r="G9" i="4"/>
  <c r="G44" i="4"/>
  <c r="G19" i="4"/>
  <c r="G47" i="4"/>
  <c r="G16" i="4"/>
  <c r="G24" i="4"/>
  <c r="G39" i="4"/>
  <c r="G30" i="4"/>
  <c r="G34" i="4"/>
  <c r="G29" i="4"/>
  <c r="G43" i="4"/>
  <c r="G45" i="4"/>
  <c r="G13" i="4"/>
  <c r="G20" i="4"/>
  <c r="G17" i="4"/>
  <c r="G48" i="4"/>
  <c r="G32" i="4"/>
  <c r="G31" i="4"/>
  <c r="G37" i="4"/>
  <c r="G10" i="4"/>
  <c r="G15" i="4"/>
  <c r="G22" i="4"/>
  <c r="G27" i="4"/>
  <c r="G23" i="4"/>
  <c r="G11" i="4"/>
  <c r="K29" i="4" l="1"/>
  <c r="K27" i="4"/>
  <c r="K28" i="4"/>
  <c r="K25" i="4"/>
  <c r="K26" i="4"/>
  <c r="K24" i="4"/>
  <c r="G62" i="4"/>
  <c r="G74" i="4" s="1"/>
  <c r="K20" i="4"/>
  <c r="K18" i="4"/>
  <c r="K17" i="4"/>
  <c r="K16" i="4"/>
  <c r="K23" i="4"/>
  <c r="K13" i="4"/>
  <c r="K21" i="4"/>
  <c r="K15" i="4"/>
  <c r="K10" i="4"/>
  <c r="K14" i="4"/>
  <c r="K9" i="4"/>
  <c r="K19" i="4"/>
  <c r="K12" i="4"/>
  <c r="K11" i="4"/>
  <c r="K22" i="4"/>
  <c r="A31" i="19"/>
  <c r="A33" i="9"/>
  <c r="A31" i="7"/>
  <c r="A35" i="6"/>
  <c r="A31" i="4"/>
  <c r="A31" i="2"/>
  <c r="A32" i="19" l="1"/>
  <c r="A34" i="9"/>
  <c r="A32" i="7"/>
  <c r="A36" i="6"/>
  <c r="A32" i="4"/>
  <c r="A32" i="2"/>
  <c r="A33" i="19" l="1"/>
  <c r="A35" i="9"/>
  <c r="A33" i="7"/>
  <c r="A37" i="6"/>
  <c r="A33" i="4"/>
  <c r="A33" i="2"/>
  <c r="A34" i="19" l="1"/>
  <c r="A36" i="9"/>
  <c r="A34" i="7"/>
  <c r="A38" i="6"/>
  <c r="A34" i="4"/>
  <c r="A34" i="2"/>
  <c r="A35" i="19" l="1"/>
  <c r="A37" i="9"/>
  <c r="A35" i="7"/>
  <c r="A39" i="6"/>
  <c r="A35" i="4"/>
  <c r="A35" i="2"/>
  <c r="A36" i="19" l="1"/>
  <c r="A38" i="9"/>
  <c r="A36" i="7"/>
  <c r="A40" i="6"/>
  <c r="A36" i="4"/>
  <c r="A36" i="2"/>
  <c r="A37" i="19" l="1"/>
  <c r="A39" i="9"/>
  <c r="A37" i="7"/>
  <c r="A41" i="6"/>
  <c r="A37" i="4"/>
  <c r="A37" i="2"/>
  <c r="A38" i="19" l="1"/>
  <c r="A40" i="9"/>
  <c r="A38" i="7"/>
  <c r="A42" i="6"/>
  <c r="A38" i="4"/>
  <c r="A38" i="2"/>
  <c r="A39" i="19" l="1"/>
  <c r="A41" i="9"/>
  <c r="A39" i="7"/>
  <c r="A43" i="6"/>
  <c r="A39" i="4"/>
  <c r="A39" i="2"/>
  <c r="A40" i="19" l="1"/>
  <c r="A42" i="9"/>
  <c r="A40" i="7"/>
  <c r="A44" i="6"/>
  <c r="A40" i="4"/>
  <c r="A40" i="2"/>
  <c r="A41" i="19" l="1"/>
  <c r="A43" i="9"/>
  <c r="A41" i="7"/>
  <c r="A45" i="6"/>
  <c r="A41" i="4"/>
  <c r="A41" i="2"/>
  <c r="A42" i="19" l="1"/>
  <c r="A44" i="9"/>
  <c r="A42" i="7"/>
  <c r="A46" i="6"/>
  <c r="A42" i="4"/>
  <c r="A42" i="2"/>
  <c r="G9" i="6"/>
  <c r="G97" i="6" s="1"/>
  <c r="K33" i="6" l="1"/>
  <c r="K31" i="6"/>
  <c r="K20" i="6"/>
  <c r="K19" i="6"/>
  <c r="K29" i="6"/>
  <c r="K30" i="6"/>
  <c r="K32" i="6"/>
  <c r="K23" i="6"/>
  <c r="K28" i="6"/>
  <c r="K16" i="6"/>
  <c r="K24" i="6"/>
  <c r="K27" i="6"/>
  <c r="K12" i="6"/>
  <c r="K18" i="6"/>
  <c r="K17" i="6"/>
  <c r="K25" i="6"/>
  <c r="K26" i="6"/>
  <c r="K11" i="6"/>
  <c r="K13" i="6"/>
  <c r="K21" i="6"/>
  <c r="K22" i="6"/>
  <c r="K10" i="6"/>
  <c r="K15" i="6"/>
  <c r="K14" i="6"/>
  <c r="K9" i="6"/>
  <c r="A43" i="19"/>
  <c r="A45" i="9"/>
  <c r="A43" i="7"/>
  <c r="A47" i="6"/>
  <c r="A43" i="4"/>
  <c r="A43" i="2"/>
  <c r="L36" i="6" l="1"/>
  <c r="A44" i="19"/>
  <c r="A46" i="9"/>
  <c r="A44" i="7"/>
  <c r="G115" i="6"/>
  <c r="A48" i="6"/>
  <c r="A44" i="4"/>
  <c r="A44" i="2"/>
  <c r="A45" i="19" l="1"/>
  <c r="A47" i="9"/>
  <c r="A45" i="7"/>
  <c r="A49" i="6"/>
  <c r="A45" i="4"/>
  <c r="A45" i="2"/>
  <c r="A46" i="19" l="1"/>
  <c r="A48" i="9"/>
  <c r="A46" i="7"/>
  <c r="A50" i="6"/>
  <c r="A46" i="4"/>
  <c r="A46" i="2"/>
  <c r="A47" i="19" l="1"/>
  <c r="A49" i="9"/>
  <c r="A47" i="7"/>
  <c r="A51" i="6"/>
  <c r="A47" i="4"/>
  <c r="A47" i="2"/>
  <c r="A48" i="19" l="1"/>
  <c r="A50" i="9"/>
  <c r="A48" i="7"/>
  <c r="A52" i="6"/>
  <c r="A48" i="4"/>
  <c r="A48" i="2"/>
  <c r="A49" i="19" l="1"/>
  <c r="A51" i="9"/>
  <c r="A49" i="7"/>
  <c r="A50" i="7" s="1"/>
  <c r="A51" i="7" s="1"/>
  <c r="A52" i="7" s="1"/>
  <c r="A53" i="6"/>
  <c r="A49" i="4"/>
  <c r="A50" i="4" s="1"/>
  <c r="A51" i="4" s="1"/>
  <c r="A52" i="4" s="1"/>
  <c r="A49" i="2"/>
  <c r="A53" i="7" l="1"/>
  <c r="A54" i="7" s="1"/>
  <c r="A55" i="7" s="1"/>
  <c r="A56" i="7" s="1"/>
  <c r="A57" i="7" s="1"/>
  <c r="A58" i="7" s="1"/>
  <c r="A53" i="4"/>
  <c r="A54" i="4" s="1"/>
  <c r="A55" i="4" s="1"/>
  <c r="A56" i="4" s="1"/>
  <c r="A57" i="4" s="1"/>
  <c r="A58" i="4" s="1"/>
  <c r="A59" i="4" s="1"/>
  <c r="A60" i="4" s="1"/>
  <c r="A61" i="4" s="1"/>
  <c r="A50" i="19"/>
  <c r="A52" i="9"/>
  <c r="A54" i="6"/>
  <c r="A50" i="2"/>
  <c r="A59" i="7" l="1"/>
  <c r="A60" i="7" s="1"/>
  <c r="A61" i="7" s="1"/>
  <c r="A62" i="7" s="1"/>
  <c r="A63" i="7" s="1"/>
  <c r="A64" i="7" s="1"/>
  <c r="A51" i="19"/>
  <c r="A53" i="9"/>
  <c r="A55" i="6"/>
  <c r="A51" i="2"/>
  <c r="A65" i="4" l="1"/>
  <c r="A52" i="19"/>
  <c r="A54" i="9"/>
  <c r="A56" i="6"/>
  <c r="A52" i="2"/>
  <c r="A68" i="7" l="1"/>
  <c r="A53" i="19"/>
  <c r="A55" i="9"/>
  <c r="A57" i="6"/>
  <c r="A53" i="2"/>
  <c r="A69" i="7" l="1"/>
  <c r="A54" i="19"/>
  <c r="A56" i="9"/>
  <c r="A58" i="6"/>
  <c r="A54" i="2"/>
  <c r="A55" i="19" l="1"/>
  <c r="A57" i="9"/>
  <c r="A59" i="6"/>
  <c r="A55" i="2"/>
  <c r="A56" i="19" l="1"/>
  <c r="A58" i="9"/>
  <c r="A60" i="6"/>
  <c r="A56" i="2"/>
  <c r="A57" i="19" l="1"/>
  <c r="A59" i="9"/>
  <c r="A61" i="6"/>
  <c r="A57" i="2"/>
  <c r="A58" i="19" l="1"/>
  <c r="A60" i="9"/>
  <c r="A62" i="6"/>
  <c r="A58" i="2"/>
  <c r="A59" i="19" l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61" i="9"/>
  <c r="A63" i="6"/>
  <c r="A59" i="2"/>
  <c r="A70" i="19" l="1"/>
  <c r="A71" i="19" s="1"/>
  <c r="A62" i="9"/>
  <c r="A64" i="6"/>
  <c r="A60" i="2"/>
  <c r="A72" i="19" l="1"/>
  <c r="A77" i="19" s="1"/>
  <c r="A63" i="9"/>
  <c r="A65" i="6"/>
  <c r="A61" i="2"/>
  <c r="A64" i="9" l="1"/>
  <c r="A65" i="9" s="1"/>
  <c r="A66" i="9" s="1"/>
  <c r="A67" i="9" s="1"/>
  <c r="A68" i="9" s="1"/>
  <c r="A69" i="9" s="1"/>
  <c r="A70" i="9" s="1"/>
  <c r="A71" i="9" s="1"/>
  <c r="A72" i="9" s="1"/>
  <c r="A66" i="6"/>
  <c r="A62" i="2"/>
  <c r="A81" i="19" l="1"/>
  <c r="A82" i="19" s="1"/>
  <c r="A83" i="19" s="1"/>
  <c r="A67" i="6"/>
  <c r="A63" i="2"/>
  <c r="A84" i="19" l="1"/>
  <c r="A85" i="19" s="1"/>
  <c r="A86" i="19" s="1"/>
  <c r="A68" i="6"/>
  <c r="A64" i="2"/>
  <c r="A91" i="19" l="1"/>
  <c r="A92" i="19" s="1"/>
  <c r="A93" i="19" s="1"/>
  <c r="A69" i="6"/>
  <c r="A65" i="2"/>
  <c r="A66" i="2" s="1"/>
  <c r="A67" i="2" s="1"/>
  <c r="A68" i="2" s="1"/>
  <c r="A69" i="2" s="1"/>
  <c r="A70" i="2" s="1"/>
  <c r="A71" i="2" s="1"/>
  <c r="A94" i="19" l="1"/>
  <c r="A95" i="19" s="1"/>
  <c r="A96" i="19" s="1"/>
  <c r="A72" i="2"/>
  <c r="A70" i="6"/>
  <c r="A97" i="19" l="1"/>
  <c r="A71" i="6"/>
  <c r="A98" i="19" l="1"/>
  <c r="A72" i="6"/>
  <c r="A99" i="19" l="1"/>
  <c r="A100" i="19" s="1"/>
  <c r="A101" i="19" s="1"/>
  <c r="A73" i="6"/>
  <c r="A102" i="19" l="1"/>
  <c r="A103" i="19" s="1"/>
  <c r="A104" i="19" s="1"/>
  <c r="A105" i="19" s="1"/>
  <c r="A106" i="19" s="1"/>
  <c r="A107" i="19" s="1"/>
  <c r="A108" i="19" s="1"/>
  <c r="A109" i="19" s="1"/>
  <c r="A110" i="19" s="1"/>
  <c r="A74" i="6"/>
  <c r="A114" i="19" l="1"/>
  <c r="A118" i="19" s="1"/>
  <c r="A119" i="19" s="1"/>
  <c r="A120" i="19" s="1"/>
  <c r="A121" i="19" s="1"/>
  <c r="A122" i="19" s="1"/>
  <c r="A75" i="6"/>
  <c r="A123" i="19" l="1"/>
  <c r="A124" i="19" s="1"/>
  <c r="A125" i="19" s="1"/>
  <c r="A76" i="6"/>
  <c r="A77" i="6" s="1"/>
  <c r="A78" i="6" s="1"/>
  <c r="A79" i="6" s="1"/>
  <c r="A80" i="6" s="1"/>
  <c r="A129" i="19" l="1"/>
  <c r="A130" i="19" s="1"/>
  <c r="A81" i="6"/>
  <c r="A82" i="6" s="1"/>
  <c r="A83" i="6" s="1"/>
  <c r="A84" i="6" s="1"/>
  <c r="A85" i="6" s="1"/>
  <c r="A86" i="6" l="1"/>
  <c r="A87" i="6" s="1"/>
  <c r="A88" i="6" s="1"/>
  <c r="A89" i="6" s="1"/>
  <c r="A72" i="5"/>
  <c r="A73" i="5" s="1"/>
  <c r="A74" i="5" s="1"/>
  <c r="A75" i="5" s="1"/>
  <c r="A76" i="5" s="1"/>
  <c r="A134" i="19" l="1"/>
  <c r="A90" i="6"/>
  <c r="A91" i="6" l="1"/>
  <c r="A92" i="6" s="1"/>
  <c r="A93" i="6" s="1"/>
  <c r="A94" i="6" s="1"/>
  <c r="A95" i="6" s="1"/>
  <c r="A96" i="6" s="1"/>
  <c r="A80" i="5"/>
  <c r="A100" i="6" l="1"/>
  <c r="A76" i="2"/>
  <c r="A77" i="2" s="1"/>
  <c r="A78" i="2" s="1"/>
  <c r="A79" i="2" s="1"/>
  <c r="A80" i="2" s="1"/>
  <c r="A101" i="6" l="1"/>
  <c r="A105" i="6" s="1"/>
  <c r="A106" i="6" s="1"/>
  <c r="A81" i="2"/>
  <c r="A82" i="2" s="1"/>
  <c r="A86" i="2" s="1"/>
  <c r="F121" i="17" l="1"/>
  <c r="G35" i="17" l="1"/>
  <c r="L23" i="17" s="1"/>
  <c r="G30" i="17"/>
  <c r="G27" i="17"/>
  <c r="G24" i="17"/>
  <c r="G29" i="17"/>
  <c r="G26" i="17"/>
  <c r="G23" i="17"/>
  <c r="L34" i="17" s="1"/>
  <c r="G97" i="17"/>
  <c r="G32" i="17"/>
  <c r="G28" i="17"/>
  <c r="G22" i="17"/>
  <c r="L20" i="17" s="1"/>
  <c r="G33" i="17"/>
  <c r="G31" i="17"/>
  <c r="G25" i="17"/>
  <c r="G21" i="17"/>
  <c r="G34" i="17"/>
  <c r="G98" i="17"/>
  <c r="L19" i="17" s="1"/>
  <c r="G99" i="17"/>
  <c r="G18" i="17"/>
  <c r="G15" i="17"/>
  <c r="L27" i="17" s="1"/>
  <c r="G14" i="17"/>
  <c r="G109" i="17"/>
  <c r="L36" i="17" s="1"/>
  <c r="G17" i="17"/>
  <c r="G108" i="17"/>
  <c r="G19" i="17"/>
  <c r="G107" i="17"/>
  <c r="L32" i="17" s="1"/>
  <c r="G20" i="17"/>
  <c r="G16" i="17"/>
  <c r="G105" i="17"/>
  <c r="L30" i="17" s="1"/>
  <c r="G12" i="17"/>
  <c r="G11" i="17"/>
  <c r="G13" i="17"/>
  <c r="G106" i="17"/>
  <c r="G10" i="17"/>
  <c r="G121" i="17"/>
  <c r="G96" i="17"/>
  <c r="L15" i="17" s="1"/>
  <c r="G95" i="17"/>
  <c r="L11" i="17" s="1"/>
  <c r="G116" i="17"/>
  <c r="L38" i="17" s="1"/>
  <c r="G104" i="17"/>
  <c r="L21" i="17" s="1"/>
  <c r="G113" i="17"/>
  <c r="L22" i="17" s="1"/>
  <c r="G9" i="17"/>
  <c r="L12" i="17" l="1"/>
  <c r="L9" i="17"/>
  <c r="L24" i="17"/>
  <c r="L13" i="17"/>
  <c r="G36" i="17"/>
  <c r="L14" i="17"/>
  <c r="L10" i="17"/>
  <c r="L31" i="17"/>
  <c r="G110" i="17"/>
  <c r="L25" i="17"/>
  <c r="G100" i="17"/>
  <c r="G114" i="17"/>
  <c r="G117" i="17"/>
  <c r="G122" i="17" l="1"/>
  <c r="A95" i="17" l="1"/>
  <c r="A96" i="17" l="1"/>
  <c r="A97" i="17" s="1"/>
  <c r="A98" i="17" l="1"/>
  <c r="A99" i="17" s="1"/>
  <c r="A104" i="17" l="1"/>
  <c r="A105" i="17" s="1"/>
  <c r="A106" i="17" l="1"/>
  <c r="A107" i="17" s="1"/>
  <c r="A108" i="17" s="1"/>
  <c r="A109" i="17" s="1"/>
  <c r="A113" i="17" l="1"/>
  <c r="A83" i="8"/>
  <c r="A84" i="8" s="1"/>
  <c r="A85" i="8" s="1"/>
  <c r="A89" i="8" l="1"/>
  <c r="A93" i="8" l="1"/>
  <c r="A98" i="8" l="1"/>
  <c r="A99" i="8" s="1"/>
  <c r="A100" i="8" s="1"/>
  <c r="A101" i="8" s="1"/>
  <c r="A102" i="8" s="1"/>
  <c r="A103" i="8" l="1"/>
  <c r="A104" i="8" s="1"/>
  <c r="A37" i="36"/>
  <c r="A108" i="8" l="1"/>
  <c r="A38" i="36"/>
  <c r="A39" i="36" s="1"/>
  <c r="A43" i="36" l="1"/>
  <c r="F51" i="36" l="1"/>
  <c r="G31" i="36" l="1"/>
  <c r="G39" i="36"/>
  <c r="L20" i="36" s="1"/>
  <c r="G15" i="36"/>
  <c r="L12" i="36" s="1"/>
  <c r="G25" i="36"/>
  <c r="L17" i="36" s="1"/>
  <c r="G46" i="36"/>
  <c r="L22" i="36" s="1"/>
  <c r="G27" i="36"/>
  <c r="L18" i="36" s="1"/>
  <c r="G21" i="36"/>
  <c r="L14" i="36" s="1"/>
  <c r="G43" i="36"/>
  <c r="L9" i="36" s="1"/>
  <c r="G19" i="36"/>
  <c r="L13" i="36" s="1"/>
  <c r="G23" i="36"/>
  <c r="G38" i="36"/>
  <c r="L16" i="36" s="1"/>
  <c r="G37" i="36"/>
  <c r="L15" i="36" s="1"/>
  <c r="G9" i="36"/>
  <c r="G17" i="36"/>
  <c r="G29" i="36"/>
  <c r="L19" i="36" s="1"/>
  <c r="G13" i="36"/>
  <c r="G11" i="36"/>
  <c r="G51" i="36"/>
  <c r="L10" i="36" l="1"/>
  <c r="L8" i="36"/>
  <c r="G33" i="36"/>
  <c r="G47" i="36"/>
  <c r="G40" i="36"/>
  <c r="G44" i="36"/>
  <c r="L11" i="36"/>
  <c r="G52" i="36" l="1"/>
</calcChain>
</file>

<file path=xl/sharedStrings.xml><?xml version="1.0" encoding="utf-8"?>
<sst xmlns="http://schemas.openxmlformats.org/spreadsheetml/2006/main" count="4143" uniqueCount="774">
  <si>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</si>
  <si>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</si>
  <si>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</si>
  <si>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</si>
  <si>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</si>
  <si>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</si>
  <si>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</si>
  <si>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</si>
  <si>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</si>
  <si>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</si>
  <si>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</si>
  <si>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</si>
  <si>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</si>
  <si>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</si>
  <si>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</si>
  <si>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</si>
  <si>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</si>
  <si>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</si>
  <si>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</si>
  <si>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</si>
  <si>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</si>
  <si>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</si>
  <si>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</si>
  <si>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</si>
  <si>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</si>
  <si>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</si>
  <si>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</si>
  <si>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</si>
  <si>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</si>
  <si>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</si>
  <si>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</si>
  <si>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</si>
  <si>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</si>
  <si>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</si>
  <si>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</si>
  <si>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</si>
  <si>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</si>
  <si>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</si>
  <si>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</si>
  <si>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</si>
  <si>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</si>
  <si>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</si>
  <si>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</si>
  <si>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</si>
  <si>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</si>
  <si>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</si>
  <si>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</si>
  <si>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</si>
  <si>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</si>
  <si>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</si>
  <si>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</si>
  <si>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</si>
  <si>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</si>
  <si>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</si>
  <si>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</si>
  <si>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</si>
  <si>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</si>
  <si>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</si>
  <si>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</si>
  <si>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</si>
  <si>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</si>
  <si>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</si>
  <si>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</si>
  <si>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</si>
  <si>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</si>
  <si>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</si>
  <si>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INE389H01022</t>
  </si>
  <si>
    <t>INE383A01012</t>
  </si>
  <si>
    <t>INE044A01036</t>
  </si>
  <si>
    <t>INE059A01026</t>
  </si>
  <si>
    <t>INE171A01029</t>
  </si>
  <si>
    <t>INE018A01030</t>
  </si>
  <si>
    <t>INE549A01026</t>
  </si>
  <si>
    <t>INE821I01014</t>
  </si>
  <si>
    <t>INE053A01029</t>
  </si>
  <si>
    <t>INE399K01017</t>
  </si>
  <si>
    <t>INE439A01020</t>
  </si>
  <si>
    <t>INE775A01035</t>
  </si>
  <si>
    <t>INE854D01016</t>
  </si>
  <si>
    <t>INE522F01014</t>
  </si>
  <si>
    <t>INE094A01015</t>
  </si>
  <si>
    <t>INE267A01025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</si>
  <si>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</si>
  <si>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</si>
  <si>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</si>
  <si>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</si>
  <si>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</si>
  <si>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</si>
  <si>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</si>
  <si>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</si>
  <si>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</si>
  <si>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</si>
  <si>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</si>
  <si>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</si>
  <si>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</si>
  <si>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</si>
  <si>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</si>
  <si>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</si>
  <si>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</si>
  <si>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</si>
  <si>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</si>
  <si>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</si>
  <si>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</si>
  <si>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</si>
  <si>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</si>
  <si>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</si>
  <si>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</si>
  <si>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</si>
  <si>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</si>
  <si>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</si>
  <si>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</si>
  <si>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</si>
  <si>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</si>
  <si>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</si>
  <si>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</si>
  <si>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</si>
  <si>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INE742F01042</t>
  </si>
  <si>
    <t>INE029A01011</t>
  </si>
  <si>
    <t>INE256A01028</t>
  </si>
  <si>
    <t>INE129A01019</t>
  </si>
  <si>
    <t>INE323A01026</t>
  </si>
  <si>
    <t>INE079A01024</t>
  </si>
  <si>
    <t>INE081A01012</t>
  </si>
  <si>
    <t>INE012A01025</t>
  </si>
  <si>
    <t>INE038A01020</t>
  </si>
  <si>
    <t>BONDS &amp; NCDs</t>
  </si>
  <si>
    <t>Principal Large Cap Fund</t>
  </si>
  <si>
    <t>INE361B01024</t>
  </si>
  <si>
    <t>INE070A01015</t>
  </si>
  <si>
    <t>INE259A01022</t>
  </si>
  <si>
    <t>IN9155A01020</t>
  </si>
  <si>
    <t>Principal Dividend Yield Fund</t>
  </si>
  <si>
    <t>INE118A01012</t>
  </si>
  <si>
    <t>Pesticides</t>
  </si>
  <si>
    <t>Chemicals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</si>
  <si>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</si>
  <si>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</si>
  <si>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</si>
  <si>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</si>
  <si>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</si>
  <si>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</si>
  <si>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</si>
  <si>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</si>
  <si>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</si>
  <si>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Consumer Durables</t>
  </si>
  <si>
    <t>INE685A01028</t>
  </si>
  <si>
    <t>INE883A01011</t>
  </si>
  <si>
    <t>INE399G01015</t>
  </si>
  <si>
    <t>Textiles - Cotton</t>
  </si>
  <si>
    <t>INE235A01022</t>
  </si>
  <si>
    <t>INE226A01021</t>
  </si>
  <si>
    <t>INE100A01010</t>
  </si>
  <si>
    <t>INE524A01029</t>
  </si>
  <si>
    <t>INE825A01012</t>
  </si>
  <si>
    <t>INE176A01028</t>
  </si>
  <si>
    <t>INE180K01011</t>
  </si>
  <si>
    <t>INE212H01026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</si>
  <si>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</si>
  <si>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</si>
  <si>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</si>
  <si>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</si>
  <si>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</si>
  <si>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</si>
  <si>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Principal Tax Savings Fund</t>
  </si>
  <si>
    <t>Principal Global Opportunities Fund</t>
  </si>
  <si>
    <t>Principal Global Investors Fund - Emerging Markets Equity Fund</t>
  </si>
  <si>
    <t>Canara Bank</t>
  </si>
  <si>
    <t>CARE AAA</t>
  </si>
  <si>
    <t>Treasury Bill</t>
  </si>
  <si>
    <t>CENTRAL GOVERNMENT SECURITIES</t>
  </si>
  <si>
    <t>CRISIL A+</t>
  </si>
  <si>
    <t>INE658R07042</t>
  </si>
  <si>
    <t>Principal Balanced Fund</t>
  </si>
  <si>
    <t>Principal Cash Management Fund</t>
  </si>
  <si>
    <t>CARE AA+</t>
  </si>
  <si>
    <t>INE242A01010</t>
  </si>
  <si>
    <t>Healthcare Services</t>
  </si>
  <si>
    <t>INE347G01014</t>
  </si>
  <si>
    <t>INE302A01020</t>
  </si>
  <si>
    <t>INE036A01016</t>
  </si>
  <si>
    <t>INE424H01027</t>
  </si>
  <si>
    <t>INE476A01014</t>
  </si>
  <si>
    <t>INE614G01033</t>
  </si>
  <si>
    <t>Quantity</t>
  </si>
  <si>
    <t>Overseas ETF</t>
  </si>
  <si>
    <t>Units of Mutual Fund / Units Trust</t>
  </si>
  <si>
    <t>**Thinly traded/Non traded securities and illiquid securities as defined in SEBI Regulations and Guidelines.</t>
  </si>
  <si>
    <t>*** Value below 0.01% of NAV</t>
  </si>
  <si>
    <t>$$ lliquid securities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</si>
  <si>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</si>
  <si>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</si>
  <si>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</si>
  <si>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</si>
  <si>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</si>
  <si>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</si>
  <si>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</si>
  <si>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</si>
  <si>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Housing Development Finance Corporation Ltd.</t>
  </si>
  <si>
    <t>Bajaj Auto Ltd.</t>
  </si>
  <si>
    <t>Mahindra Holidays &amp; Resorts India Ltd.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</si>
  <si>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</si>
  <si>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</si>
  <si>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</si>
  <si>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</si>
  <si>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</si>
  <si>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Abbott India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</si>
  <si>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</si>
  <si>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</si>
  <si>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</si>
  <si>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</si>
  <si>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</si>
  <si>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</si>
  <si>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</si>
  <si>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</si>
  <si>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</si>
  <si>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</si>
  <si>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</si>
  <si>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</si>
  <si>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</si>
  <si>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</si>
  <si>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</si>
  <si>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</si>
  <si>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</si>
  <si>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</si>
  <si>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</si>
  <si>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</si>
  <si>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</si>
  <si>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</si>
  <si>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</si>
  <si>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</si>
  <si>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</si>
  <si>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</si>
  <si>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</si>
  <si>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</si>
  <si>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</si>
  <si>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</si>
  <si>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</si>
  <si>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</si>
  <si>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</si>
  <si>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</si>
  <si>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</si>
  <si>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</si>
  <si>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</si>
  <si>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</si>
  <si>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</si>
  <si>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</si>
  <si>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</si>
  <si>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</si>
  <si>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</si>
  <si>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</si>
  <si>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</si>
  <si>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</si>
  <si>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</si>
  <si>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</si>
  <si>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Adani Ports and Special Economic Zone Ltd.</t>
  </si>
  <si>
    <t>GAIL (India) Ltd.</t>
  </si>
  <si>
    <t>Tata Steel Ltd.</t>
  </si>
  <si>
    <t>Bosch Ltd.</t>
  </si>
  <si>
    <t>Ambuja Cements Ltd.</t>
  </si>
  <si>
    <t>ACC Ltd.</t>
  </si>
  <si>
    <t>Hindalco Industries Ltd.</t>
  </si>
  <si>
    <t>Divi's Laboratories Ltd.</t>
  </si>
  <si>
    <t>Colgate Palmolive (India) Ltd.</t>
  </si>
  <si>
    <t>Bharat Electronics Ltd.</t>
  </si>
  <si>
    <t>Dalmia Bharat Ltd.</t>
  </si>
  <si>
    <t>VST Industries Ltd.</t>
  </si>
  <si>
    <t>Gujarat State Petronet Ltd.</t>
  </si>
  <si>
    <t>PI Industries Ltd.</t>
  </si>
  <si>
    <t>Tata Chemicals Ltd.</t>
  </si>
  <si>
    <t>Cyient Ltd.</t>
  </si>
  <si>
    <t>Eicher Motors Ltd.</t>
  </si>
  <si>
    <t>Torrent Pharmaceuticals Ltd.</t>
  </si>
  <si>
    <t>Bajaj Finance Ltd.</t>
  </si>
  <si>
    <t>MRF Ltd.</t>
  </si>
  <si>
    <t>Mold-Tek Packaging Ltd.</t>
  </si>
  <si>
    <t>Voltas Ltd.</t>
  </si>
  <si>
    <t>Vardhman Textiles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</si>
  <si>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</si>
  <si>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</si>
  <si>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</si>
  <si>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</si>
  <si>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</si>
  <si>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</si>
  <si>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Finolex Industries Ltd.</t>
  </si>
  <si>
    <t>INE183A01016</t>
  </si>
  <si>
    <t>Petronet LNG Ltd.</t>
  </si>
  <si>
    <t>INE513A01014</t>
  </si>
  <si>
    <t>Indian Oil Corporation Ltd.</t>
  </si>
  <si>
    <t>Finolex Cables Ltd.</t>
  </si>
  <si>
    <t>Punjab Wireless Systems Ltd.</t>
  </si>
  <si>
    <t>[ICRA]A1+</t>
  </si>
  <si>
    <t>Cox &amp; Kings Ltd.</t>
  </si>
  <si>
    <t>[ICRA]AA</t>
  </si>
  <si>
    <t>[ICRA]AA-</t>
  </si>
  <si>
    <t>IN0020120054</t>
  </si>
  <si>
    <t>Reliance Infrastructure Ltd.</t>
  </si>
  <si>
    <t>Exide Industries Ltd.</t>
  </si>
  <si>
    <t>Sun TV Network Ltd.</t>
  </si>
  <si>
    <t>Reliance Power Ltd.</t>
  </si>
  <si>
    <t>INF173K01GP0</t>
  </si>
  <si>
    <t>INF173K01EK6</t>
  </si>
  <si>
    <t>INF173K01FS6</t>
  </si>
  <si>
    <t>INF173K01EG4</t>
  </si>
  <si>
    <t>Principal Emerging Bluechip Fund - Direct Plan - Growth Option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</si>
  <si>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</si>
  <si>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</si>
  <si>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</si>
  <si>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</si>
  <si>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</si>
  <si>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</si>
  <si>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</si>
  <si>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Bajaj Holdings &amp; Investment Ltd.</t>
  </si>
  <si>
    <t>Navin Fluorine International Ltd.</t>
  </si>
  <si>
    <t>INE893J01029</t>
  </si>
  <si>
    <t>8.12% Government of India Security</t>
  </si>
  <si>
    <t>10.85% Aspire Home Finance Corporation Ltd.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</si>
  <si>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</si>
  <si>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</si>
  <si>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</si>
  <si>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</si>
  <si>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</si>
  <si>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</si>
  <si>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</si>
  <si>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RBL Bank Ltd.</t>
  </si>
  <si>
    <t>Bharti Infratel Ltd.</t>
  </si>
  <si>
    <t>INE121J01017</t>
  </si>
  <si>
    <t>IND A1+</t>
  </si>
  <si>
    <t>CEAT Ltd.</t>
  </si>
  <si>
    <t>INE482A01020</t>
  </si>
  <si>
    <t>PRINCIPAL ARBITRAGE FUND</t>
  </si>
  <si>
    <t>Principal Low Duration Fund</t>
  </si>
  <si>
    <t>Principal Credit Opportunities Fund</t>
  </si>
  <si>
    <t>Principal Short Term Income Fund</t>
  </si>
  <si>
    <t>INE658R07141</t>
  </si>
  <si>
    <t>INE001A07NU8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</si>
  <si>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</si>
  <si>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</si>
  <si>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</si>
  <si>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</si>
  <si>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</si>
  <si>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</si>
  <si>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INE095N01023</t>
  </si>
  <si>
    <t>Principal Equity Savings Fund</t>
  </si>
  <si>
    <t>Ashok Leyland Ltd.</t>
  </si>
  <si>
    <t>INE208A01029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</si>
  <si>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</si>
  <si>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</si>
  <si>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</si>
  <si>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</si>
  <si>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</si>
  <si>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10.30% Manappuram Finance Ltd.</t>
  </si>
  <si>
    <t>INE522D07941</t>
  </si>
  <si>
    <t>INE155A08290</t>
  </si>
  <si>
    <t>INF173K01DA9</t>
  </si>
  <si>
    <t>INE976G01028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</si>
  <si>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</si>
  <si>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</si>
  <si>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</si>
  <si>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</si>
  <si>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</si>
  <si>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</si>
  <si>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</si>
  <si>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</si>
  <si>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INE296A01024</t>
  </si>
  <si>
    <t>INE586V01016</t>
  </si>
  <si>
    <t>INE522D07479</t>
  </si>
  <si>
    <t>BWR AA-</t>
  </si>
  <si>
    <t>Rico Auto Industries Ltd.</t>
  </si>
  <si>
    <t>INE209B01025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</si>
  <si>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</si>
  <si>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</si>
  <si>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</si>
  <si>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</si>
  <si>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</si>
  <si>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</si>
  <si>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</si>
  <si>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</si>
  <si>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</si>
  <si>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</si>
  <si>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</si>
  <si>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</si>
  <si>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</si>
  <si>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YW14</t>
  </si>
  <si>
    <t>YW16</t>
  </si>
  <si>
    <t>YW18</t>
  </si>
  <si>
    <t>YW19</t>
  </si>
  <si>
    <t>YW20</t>
  </si>
  <si>
    <t>YW21</t>
  </si>
  <si>
    <t>YW22</t>
  </si>
  <si>
    <t>YW46</t>
  </si>
  <si>
    <t>YW47</t>
  </si>
  <si>
    <t>YW48</t>
  </si>
  <si>
    <t>YW49</t>
  </si>
  <si>
    <t>INE016A01026</t>
  </si>
  <si>
    <t>Dabur India Ltd.</t>
  </si>
  <si>
    <t>INE148I07FX0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</si>
  <si>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</si>
  <si>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</si>
  <si>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</si>
  <si>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</si>
  <si>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</si>
  <si>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</si>
  <si>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</si>
  <si>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</si>
  <si>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INE001A07PU3</t>
  </si>
  <si>
    <t>INE036D01028</t>
  </si>
  <si>
    <t>Listed / awaiting listing on the stock exchanges</t>
  </si>
  <si>
    <t>INE115A07IE0</t>
  </si>
  <si>
    <t>INE733E07KB4</t>
  </si>
  <si>
    <t>Chambal Fertilisers and Chemicals Ltd.</t>
  </si>
  <si>
    <t>INE085A01013</t>
  </si>
  <si>
    <t>Fertilisers</t>
  </si>
  <si>
    <t>INE602A01015</t>
  </si>
  <si>
    <t>Tirrihannah Company Ltd.</t>
  </si>
  <si>
    <t>Crystal Cable Industries Ltd.</t>
  </si>
  <si>
    <t>Western Paques (India) Ltd.</t>
  </si>
  <si>
    <t>Minerava Holdings Ltd.</t>
  </si>
  <si>
    <t>Sandur Laminates Ltd.</t>
  </si>
  <si>
    <t>Asian Granito India Ltd.</t>
  </si>
  <si>
    <t>INE022I01019</t>
  </si>
  <si>
    <t>8.80% Indiabulls Housing Finance Ltd.</t>
  </si>
  <si>
    <t>INE148I07FQ4</t>
  </si>
  <si>
    <t>INE202B07IJ3</t>
  </si>
  <si>
    <t>Spicejet Ltd.</t>
  </si>
  <si>
    <t>INE285B01017</t>
  </si>
  <si>
    <t>Coromandel International Ltd.</t>
  </si>
  <si>
    <t>INE169A01031</t>
  </si>
  <si>
    <t>Sheela Foam Ltd.</t>
  </si>
  <si>
    <t>INE916U01025</t>
  </si>
  <si>
    <t>IT Consulting &amp; Services</t>
  </si>
  <si>
    <t>Sun Pharmaceutical Industries Ltd.</t>
  </si>
  <si>
    <t>CL Educate Ltd.</t>
  </si>
  <si>
    <t>INE201M01011</t>
  </si>
  <si>
    <t>Diversified Consumer Services</t>
  </si>
  <si>
    <t>JSW Steel Ltd.</t>
  </si>
  <si>
    <t>INE019A01038</t>
  </si>
  <si>
    <t>INE556F08IV6</t>
  </si>
  <si>
    <t>INE202B07HQ0</t>
  </si>
  <si>
    <t>STATE GOVERNMENT SECURITIES</t>
  </si>
  <si>
    <t>INE514E08BS9</t>
  </si>
  <si>
    <t>Vedanta Ltd.</t>
  </si>
  <si>
    <t>INE205A01025</t>
  </si>
  <si>
    <t>INE263A01024</t>
  </si>
  <si>
    <t>ICICI Prudential Life Insurance Company Ltd.</t>
  </si>
  <si>
    <t>INE726G01019</t>
  </si>
  <si>
    <t>Himadri Speciality Chemical Ltd.</t>
  </si>
  <si>
    <t>INE019C01026</t>
  </si>
  <si>
    <t>Principal Cash Management Fund - Growth Option</t>
  </si>
  <si>
    <t>INE155A08308</t>
  </si>
  <si>
    <t>INE261F08550</t>
  </si>
  <si>
    <t>CRISIL AA</t>
  </si>
  <si>
    <t>9.05% Dewan Housing Finance Corporation Ltd.</t>
  </si>
  <si>
    <t>Magma Fincorp Ltd.</t>
  </si>
  <si>
    <t>INE511C01022</t>
  </si>
  <si>
    <t>INE115A07LN5</t>
  </si>
  <si>
    <t>INE001A07QE5</t>
  </si>
  <si>
    <t>Principal Short Term Income Fund - Direct Plan - Growth Option</t>
  </si>
  <si>
    <t>Principal Large Cap Fund - Direct Plan - Growth Option</t>
  </si>
  <si>
    <t>Milestone Global Ltd. **</t>
  </si>
  <si>
    <t>Apollo Tyres Ltd. #</t>
  </si>
  <si>
    <t>Principal Debt Savings Fund</t>
  </si>
  <si>
    <t>Manpasand Beverages Ltd.</t>
  </si>
  <si>
    <t>INE122R01018</t>
  </si>
  <si>
    <t>Housing and Urban Development Corporation Ltd.</t>
  </si>
  <si>
    <t>INE031A01017</t>
  </si>
  <si>
    <t>Muthoot Finance Ltd.</t>
  </si>
  <si>
    <t>INE414G01012</t>
  </si>
  <si>
    <t>PSP Projects Ltd.</t>
  </si>
  <si>
    <t>INE488V01015</t>
  </si>
  <si>
    <t>INE087P07071</t>
  </si>
  <si>
    <t>6.84% Government of India Security</t>
  </si>
  <si>
    <t>IN0020160050</t>
  </si>
  <si>
    <t>INE040A08377</t>
  </si>
  <si>
    <t>CRISIL AA+</t>
  </si>
  <si>
    <t>Principal Money Manager Fund</t>
  </si>
  <si>
    <t>INE385W01011</t>
  </si>
  <si>
    <t>BEML Ltd.</t>
  </si>
  <si>
    <t>INE258A01016</t>
  </si>
  <si>
    <t>Uflex Ltd.</t>
  </si>
  <si>
    <t>INE516A01017</t>
  </si>
  <si>
    <t>Ganesha Ecosphere Ltd.</t>
  </si>
  <si>
    <t>INE845D01014</t>
  </si>
  <si>
    <t>Textiles - Synthetic</t>
  </si>
  <si>
    <t>Fortis Healthcare Ltd.</t>
  </si>
  <si>
    <t>INE061F01013</t>
  </si>
  <si>
    <t>Escorts Ltd.</t>
  </si>
  <si>
    <t>INE042A01014</t>
  </si>
  <si>
    <t>7.68% Government of India Security</t>
  </si>
  <si>
    <t>IN0020150010</t>
  </si>
  <si>
    <t>8.15% Piramal Enterprises Ltd.</t>
  </si>
  <si>
    <t>INE140A07344</t>
  </si>
  <si>
    <t>IND AAA</t>
  </si>
  <si>
    <t>Principal Asset Allocation Fund of Funds - Moderate Plan</t>
  </si>
  <si>
    <t>Principal Asset Allocation Fund of Funds - Conservative Plan</t>
  </si>
  <si>
    <t>Principal Aseet Allocation Fund of Funds - Aggressive Plan</t>
  </si>
  <si>
    <t>Hotels, Resorts and Other Recreational Activities</t>
  </si>
  <si>
    <t>Raymond Ltd.</t>
  </si>
  <si>
    <t>INE301A01014</t>
  </si>
  <si>
    <t>Shriram Transport Finance Company Ltd.</t>
  </si>
  <si>
    <t>INE721A01013</t>
  </si>
  <si>
    <t>L&amp;T Technology Services Ltd.</t>
  </si>
  <si>
    <t>INE010V01017</t>
  </si>
  <si>
    <t>Grasim Industries Ltd.</t>
  </si>
  <si>
    <t>INE047A01021</t>
  </si>
  <si>
    <t>INE048G01026</t>
  </si>
  <si>
    <t>Apollo Tyres Ltd.</t>
  </si>
  <si>
    <t>INE438A01022</t>
  </si>
  <si>
    <t>Tamil Nadu Newsprint &amp; Papers Ltd.</t>
  </si>
  <si>
    <t>INE107A01015</t>
  </si>
  <si>
    <t>Paper</t>
  </si>
  <si>
    <t>Mahindra &amp; Mahindra Financial Services Ltd.</t>
  </si>
  <si>
    <t>INE774D01024</t>
  </si>
  <si>
    <t>SREI Equipment Finance Ltd.</t>
  </si>
  <si>
    <t>8.85% Power Grid Corporation of India Ltd.</t>
  </si>
  <si>
    <t>INE752E07KE8</t>
  </si>
  <si>
    <t>INE523H07841</t>
  </si>
  <si>
    <t>7.50% Power Finance Corporation Ltd.</t>
  </si>
  <si>
    <t>INE134E08IW3</t>
  </si>
  <si>
    <t>INE572E09460</t>
  </si>
  <si>
    <t>ITD Cementation India Ltd.</t>
  </si>
  <si>
    <t>INE686A01026</t>
  </si>
  <si>
    <t>Bajaj Finserv Ltd.</t>
  </si>
  <si>
    <t>INE918I01018</t>
  </si>
  <si>
    <t>Oil India Ltd.</t>
  </si>
  <si>
    <t>INE274J01014</t>
  </si>
  <si>
    <t>HEG Ltd.</t>
  </si>
  <si>
    <t>INE545A01016</t>
  </si>
  <si>
    <t>Schaeffler India Ltd.</t>
  </si>
  <si>
    <t>Security and Intelligence Services (I) Ltd.</t>
  </si>
  <si>
    <t>INE285J01010</t>
  </si>
  <si>
    <t>Commercial Services</t>
  </si>
  <si>
    <t>Container Corporation of India Ltd.</t>
  </si>
  <si>
    <t>Balrampur Chini Mills Ltd.</t>
  </si>
  <si>
    <t>INE119A01028</t>
  </si>
  <si>
    <t>8.70% JM Financial Products Ltd.</t>
  </si>
  <si>
    <t>CARE AA</t>
  </si>
  <si>
    <t>INE202B07IK1</t>
  </si>
  <si>
    <t>INE202B14KF3</t>
  </si>
  <si>
    <t>INE148I14SU5</t>
  </si>
  <si>
    <t>7.63% PNB Housing Finance Ltd.</t>
  </si>
  <si>
    <t>BWR AA</t>
  </si>
  <si>
    <t>Sprit Textiles Private Ltd. (ZCB)</t>
  </si>
  <si>
    <t>INE069R07117</t>
  </si>
  <si>
    <t>7.16% Government of India Security</t>
  </si>
  <si>
    <t>IN0020130012</t>
  </si>
  <si>
    <t>INE155A08365</t>
  </si>
  <si>
    <t>***</t>
  </si>
  <si>
    <t>Unlisted **</t>
  </si>
  <si>
    <t>INE528G01027</t>
  </si>
  <si>
    <t>Dishman Carbogen Amcis Ltd.</t>
  </si>
  <si>
    <t>Rain Industries Ltd.</t>
  </si>
  <si>
    <t>INE855B01025</t>
  </si>
  <si>
    <t>National Aluminium Company Ltd.</t>
  </si>
  <si>
    <t>INE139A01034</t>
  </si>
  <si>
    <t>Vijaya Bank</t>
  </si>
  <si>
    <t>INE705A01016</t>
  </si>
  <si>
    <t>INE111A01017</t>
  </si>
  <si>
    <t>Graphite India Ltd.</t>
  </si>
  <si>
    <t>INE371A01025</t>
  </si>
  <si>
    <t>Dixon Technologies (India) Ltd.</t>
  </si>
  <si>
    <t>INE935N01012</t>
  </si>
  <si>
    <t>Chennai Petroleum Corporation Ltd.</t>
  </si>
  <si>
    <t>INE178A01016</t>
  </si>
  <si>
    <t>INE008I14JK1</t>
  </si>
  <si>
    <t>INE001A14RH2</t>
  </si>
  <si>
    <t>National Bank for Agriculture and Rural Development</t>
  </si>
  <si>
    <t>HCL Infosystems Ltd.</t>
  </si>
  <si>
    <t>[ICRA]A1</t>
  </si>
  <si>
    <t>6.68% Government of India Security</t>
  </si>
  <si>
    <t>IN0020170042</t>
  </si>
  <si>
    <t>INE261F08907</t>
  </si>
  <si>
    <t>INE002A08476</t>
  </si>
  <si>
    <t>INE261F08527</t>
  </si>
  <si>
    <t>Gujarat Narmada Valley Fertilizers &amp; Chemicals Ltd.</t>
  </si>
  <si>
    <t>INE113A01013</t>
  </si>
  <si>
    <t>Chennai Super Kings Ltd. @**</t>
  </si>
  <si>
    <t>Jindal Steel &amp; Power Ltd.</t>
  </si>
  <si>
    <t>INE749A01030</t>
  </si>
  <si>
    <t>BWR A1+</t>
  </si>
  <si>
    <t>Kribhco Fertilizers Ltd.</t>
  </si>
  <si>
    <t>INE486H14888</t>
  </si>
  <si>
    <t>TBILL 91 DAYS 2018</t>
  </si>
  <si>
    <t>INE001A07PT5</t>
  </si>
  <si>
    <t>8.13% Tata Motors Ltd.</t>
  </si>
  <si>
    <t>8.10% NTPC Ltd.</t>
  </si>
  <si>
    <t>Tata Power Company Ltd.</t>
  </si>
  <si>
    <t>INE245A01021</t>
  </si>
  <si>
    <t>GlaxoSmithKline Consumer Healthcare Ltd.</t>
  </si>
  <si>
    <t>INE264A01014</t>
  </si>
  <si>
    <t>Steel Authority of India Ltd.</t>
  </si>
  <si>
    <t>INE114A01011</t>
  </si>
  <si>
    <t>INE203G01027</t>
  </si>
  <si>
    <t>Shankara Building Products Ltd.</t>
  </si>
  <si>
    <t>INE274V01019</t>
  </si>
  <si>
    <t>Parag Milk Foods Ltd.</t>
  </si>
  <si>
    <t>INE883N01014</t>
  </si>
  <si>
    <t>INE008I14KF9</t>
  </si>
  <si>
    <t>TBILL 323 DAYS 2018</t>
  </si>
  <si>
    <t>IN002017X056</t>
  </si>
  <si>
    <t>8.00% Tata Motors Ltd.</t>
  </si>
  <si>
    <t>6.79% Government of India Security</t>
  </si>
  <si>
    <t>IN0020170026</t>
  </si>
  <si>
    <t>INE261F14CB6</t>
  </si>
  <si>
    <t>INE008I14KL7</t>
  </si>
  <si>
    <t>IN002017X379</t>
  </si>
  <si>
    <t>INE008I14KK9</t>
  </si>
  <si>
    <t>INE020B08591</t>
  </si>
  <si>
    <t>7.59% Government of India Security</t>
  </si>
  <si>
    <t>IN0020150069</t>
  </si>
  <si>
    <t>INE936D07067</t>
  </si>
  <si>
    <t>7.72% Government of India Security</t>
  </si>
  <si>
    <t>IN0020150036</t>
  </si>
  <si>
    <t>6.98% National Bank for Agriculture and Rural Development</t>
  </si>
  <si>
    <t>9.25% Power Grid Corporation of India Ltd.</t>
  </si>
  <si>
    <t>INE752E07BB3</t>
  </si>
  <si>
    <t>Karur Vysya Bank Ltd.</t>
  </si>
  <si>
    <t>Syndicate Bank</t>
  </si>
  <si>
    <t>INE667A01018</t>
  </si>
  <si>
    <t>Kirloskar Ferrous Industries Ltd.</t>
  </si>
  <si>
    <t>INE884B01025</t>
  </si>
  <si>
    <t>Sasken Technologies Ltd.</t>
  </si>
  <si>
    <t>INE231F01020</t>
  </si>
  <si>
    <t>NCC Ltd.</t>
  </si>
  <si>
    <t>INE868B01028</t>
  </si>
  <si>
    <t>Amara Raja Batteries Ltd.</t>
  </si>
  <si>
    <t>INE885A01032</t>
  </si>
  <si>
    <t>PC Jeweller Ltd.</t>
  </si>
  <si>
    <t>INE785M01013</t>
  </si>
  <si>
    <t>Kridhan Infra Ltd.</t>
  </si>
  <si>
    <t>INE524L01026</t>
  </si>
  <si>
    <t>Punjab National Bank</t>
  </si>
  <si>
    <t>INE238A16W19</t>
  </si>
  <si>
    <t>INE556F16291</t>
  </si>
  <si>
    <t>INE236A14HG7</t>
  </si>
  <si>
    <t>8.55% Indiabulls Housing Finance Ltd.</t>
  </si>
  <si>
    <t>7.90% National Bank For Agriculture and Rural Development</t>
  </si>
  <si>
    <t>9.20% Avanse Financial Services Ltd.</t>
  </si>
  <si>
    <t>7.48% Housing Development Finance Corporation Ltd.</t>
  </si>
  <si>
    <t>10.70% Aspire Home Finance Corporation Ltd.</t>
  </si>
  <si>
    <t>INE205A14KU7</t>
  </si>
  <si>
    <t>8.10% Reliance Jio Infocomm Ltd.</t>
  </si>
  <si>
    <t>INE110L07054</t>
  </si>
  <si>
    <t>INE053F09FU0</t>
  </si>
  <si>
    <t>6.57% Government of India Security</t>
  </si>
  <si>
    <t>IN0020160100</t>
  </si>
  <si>
    <t>DLF Ltd.</t>
  </si>
  <si>
    <t>INE271C01023</t>
  </si>
  <si>
    <t>Reliance Capital Ltd.</t>
  </si>
  <si>
    <t>INE013A01015</t>
  </si>
  <si>
    <t>INE881J14MW8</t>
  </si>
  <si>
    <t>INE160A01022</t>
  </si>
  <si>
    <t>INE001A07QV9</t>
  </si>
  <si>
    <t>Principal Credit Opportunities Fund - Direct Plan - Growth Option</t>
  </si>
  <si>
    <t>INF173K01FX6</t>
  </si>
  <si>
    <t>INE237A16X27</t>
  </si>
  <si>
    <t>INE503A16EQ1</t>
  </si>
  <si>
    <t>INE121H14IJ8</t>
  </si>
  <si>
    <t>INE389H14CP1</t>
  </si>
  <si>
    <t>INE261F14CD2</t>
  </si>
  <si>
    <t>INE881J14MY4</t>
  </si>
  <si>
    <t>INE896L14BL8</t>
  </si>
  <si>
    <t>INE514E14LY4</t>
  </si>
  <si>
    <t>INE148I14QJ2</t>
  </si>
  <si>
    <t>INE087P14283</t>
  </si>
  <si>
    <t>INE896L14BF0</t>
  </si>
  <si>
    <t>INE511C14RC7</t>
  </si>
  <si>
    <t>IN002017X429</t>
  </si>
  <si>
    <t>IN002017X411</t>
  </si>
  <si>
    <t>Commercial Paper</t>
  </si>
  <si>
    <t>IND A (SO)</t>
  </si>
  <si>
    <t>CARE AA+ (SO)</t>
  </si>
  <si>
    <t>All corporate ratings are assigned by rating agencies like CRISIL; CARE; ICRA; IND; BRW.</t>
  </si>
  <si>
    <t>Portfolio as on Jan 31, 2018</t>
  </si>
  <si>
    <t>Shree Cement Ltd.</t>
  </si>
  <si>
    <t>Rama Steel Tubes Ltd.</t>
  </si>
  <si>
    <t>INE230R01027</t>
  </si>
  <si>
    <t>Orient Electric Ltd. @**</t>
  </si>
  <si>
    <t>INE142Z01019</t>
  </si>
  <si>
    <t>Texmaco Rail &amp; Engineering Ltd.</t>
  </si>
  <si>
    <t>INE621L01012</t>
  </si>
  <si>
    <t>Galaxy Surfactants Ltd. @**</t>
  </si>
  <si>
    <t>INE600K01018</t>
  </si>
  <si>
    <t>The Ramco Cements Ltd.</t>
  </si>
  <si>
    <t>INE331A01037</t>
  </si>
  <si>
    <t>INE486H14904</t>
  </si>
  <si>
    <t>INE095A16WK3</t>
  </si>
  <si>
    <t>Small Industries Development Bank of India</t>
  </si>
  <si>
    <t>INE236A14HH5</t>
  </si>
  <si>
    <t>10.35% Ess Kay Fincorp Ltd.</t>
  </si>
  <si>
    <t>INE124N07085</t>
  </si>
  <si>
    <t>Sudarshan Chemical Industries Ltd.</t>
  </si>
  <si>
    <t>INE659A14273</t>
  </si>
  <si>
    <t>12.55% Manappuram Finance Ltd. !!</t>
  </si>
  <si>
    <t>8.13% Piramal Enterprises Ltd.</t>
  </si>
  <si>
    <t>INE140A07369</t>
  </si>
  <si>
    <t>9.48% Rural Electrification Corporation Ltd.</t>
  </si>
  <si>
    <t>8.55% Indian Railway Finance Corporation Ltd.</t>
  </si>
  <si>
    <t>IN0020150093</t>
  </si>
  <si>
    <t>7.00% Reliance Industries Ltd.</t>
  </si>
  <si>
    <t>7.33% Maharashtra State Government Security</t>
  </si>
  <si>
    <t>IN2220170103</t>
  </si>
  <si>
    <t>8.11% Chhattisgarh State Government Security</t>
  </si>
  <si>
    <t>IN3520170041</t>
  </si>
  <si>
    <t>7.80% Housing Development Finance Corporation Ltd.</t>
  </si>
  <si>
    <t>7.25% Small Industries Development Bank of India</t>
  </si>
  <si>
    <t>CESC Ltd.</t>
  </si>
  <si>
    <t>INE486A01013</t>
  </si>
  <si>
    <t>Dish TV India Ltd.</t>
  </si>
  <si>
    <t>INE836F01026</t>
  </si>
  <si>
    <t>INE090A160O6</t>
  </si>
  <si>
    <t>8.37% National Bank for Agriculture and Rural Development</t>
  </si>
  <si>
    <t>7.17% Government of India Security</t>
  </si>
  <si>
    <t>IN0020170174</t>
  </si>
  <si>
    <t>DCB Bank Ltd.</t>
  </si>
  <si>
    <t>INE238A16W50</t>
  </si>
  <si>
    <t>INE202B14LH7</t>
  </si>
  <si>
    <t>INE881J14NG9</t>
  </si>
  <si>
    <t>India Infoline Housing Finance Ltd.</t>
  </si>
  <si>
    <t>INE477L14CG5</t>
  </si>
  <si>
    <t>INE148I14UG0</t>
  </si>
  <si>
    <t>APL Apollo Tubes Ltd.</t>
  </si>
  <si>
    <t>INE702C14798</t>
  </si>
  <si>
    <t>INE477L14CL5</t>
  </si>
  <si>
    <t>INE205A14LC3</t>
  </si>
  <si>
    <t>-</t>
  </si>
  <si>
    <t>Derivatives   % to Net Assets</t>
  </si>
  <si>
    <t>Certificate of Deposit **</t>
  </si>
  <si>
    <t>8.88% Export-Import Bank of India **</t>
  </si>
  <si>
    <t>8.95% Reliance Utilities &amp; Power Private Ltd. **</t>
  </si>
  <si>
    <t>8.49% Housing Development Finance Corporation Ltd. **</t>
  </si>
  <si>
    <t>9.10% Dewan Housing Finance Corporation Ltd. **</t>
  </si>
  <si>
    <t>8.35% LIC Housing Finance Ltd. **</t>
  </si>
  <si>
    <t>8.85% HDFC Bank Ltd. **</t>
  </si>
  <si>
    <t>7.48% Housing Development Finance Corporation Ltd. **</t>
  </si>
  <si>
    <t>7.40% Tata Motors Ltd. **</t>
  </si>
  <si>
    <t>8.10% NTPC Ltd. **</t>
  </si>
  <si>
    <t>8.80% Indiabulls Housing Finance Ltd. **</t>
  </si>
  <si>
    <t>9.20% Avanse Financial Services Ltd. **</t>
  </si>
  <si>
    <t>10.85% Aspire Home Finance Corporation Ltd. **</t>
  </si>
  <si>
    <t>6.98% National Bank for Agriculture and Rural Development **</t>
  </si>
  <si>
    <t>7.50% Power Finance Corporation Ltd. **</t>
  </si>
  <si>
    <t>10.35% Ess Kay Fincorp Ltd. **</t>
  </si>
  <si>
    <t>8.13% Piramal Enterprises Ltd. **</t>
  </si>
  <si>
    <t>7.65% Housing Development Finance Corporation Ltd. **</t>
  </si>
  <si>
    <t>7.21% Housing Development Finance Corporation Ltd. **</t>
  </si>
  <si>
    <t>7.78% LIC Housing Finance Ltd. **</t>
  </si>
  <si>
    <t>7.63% PNB Housing Finance Ltd. **</t>
  </si>
  <si>
    <t>8.00% Tata Motors Ltd. **</t>
  </si>
  <si>
    <t>10.70% Aspire Home Finance Corporation Ltd. **</t>
  </si>
  <si>
    <t>IL&amp;FS Financial Services Ltd. **</t>
  </si>
  <si>
    <t>Kribhco Fertilizers Ltd. **</t>
  </si>
  <si>
    <t>National Bank for Agriculture and Rural Development **</t>
  </si>
  <si>
    <t>KEC International Ltd. **</t>
  </si>
  <si>
    <t>SREI Equipment Finance Ltd. **</t>
  </si>
  <si>
    <t>Dewan Housing Finance Corporation Ltd. **</t>
  </si>
  <si>
    <t>Indostar Capital Finance Ltd. **</t>
  </si>
  <si>
    <t>Export-Import Bank of India **</t>
  </si>
  <si>
    <t>India Infoline Housing Finance Ltd. **</t>
  </si>
  <si>
    <t>Indiabulls Housing Finance Ltd. **</t>
  </si>
  <si>
    <t>APL Apollo Tubes Ltd. **</t>
  </si>
  <si>
    <t>Sudarshan Chemical Industries Ltd. **</t>
  </si>
  <si>
    <t>Cox &amp; Kings Ltd. **</t>
  </si>
  <si>
    <t>Avanse Financial Services Ltd. **</t>
  </si>
  <si>
    <t>HCL Infosystems Ltd. **</t>
  </si>
  <si>
    <t>Vedanta Ltd. **</t>
  </si>
  <si>
    <t>Magma Fincorp Ltd. **</t>
  </si>
  <si>
    <t>Aggregate investments by other schemes of Principal Mutual Fund at the end of the period is Rs.797.98 Lakhs</t>
  </si>
  <si>
    <t>Aggregate investments by other schemes of Principal Mutual Fund at the end of the period is Rs.1510.57 Lakhs</t>
  </si>
  <si>
    <t>Aggregate investments by other schemes of Principal Mutual Fund at the end of the period is Rs.51.35 Lakhs</t>
  </si>
  <si>
    <t>Aggregate investments by other schemes of Principal Mutual Fund at the end of the period is Rs.177.51 Lakhs</t>
  </si>
  <si>
    <t>Aggregate investments by other schemes of Principal Mutual Fund at the end of the period is Rs.99.25 Lakhs</t>
  </si>
  <si>
    <t>Aggregate investments by other schemes of Principal Mutual Fund at the end of the period is Rs.1385.29 Lakhs</t>
  </si>
  <si>
    <t>!! Suspended on Stock Exchange</t>
  </si>
  <si>
    <t>Cash Future Arbitrage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</si>
</sst>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 * #,##0.00_ ;_ * \-#,##0.00_ ;_ * &quot;-&quot;??_ ;_ @_ 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69" formatCode="0.0000%"/>
    <numFmt numFmtId="170" formatCode="0.000%"/>
    <numFmt numFmtId="171" formatCode="0.000"/>
    <numFmt numFmtId="172" formatCode="0.000000%"/>
    <numFmt numFmtId="173" formatCode="#,##0.000"/>
    <numFmt numFmtId="174" formatCode="#,##0.000000000000_ ;\-#,##0.000000000000\ "/>
    <numFmt numFmtId="175" formatCode="##0.00_);\(##0.00\)%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4" fillId="0" borderId="0" xfId="0" applyFont="1"/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4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166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7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7" fontId="13" fillId="2" borderId="0" xfId="0" applyNumberFormat="1" applyFont="1" applyFill="1"/>
    <xf numFmtId="168" fontId="5" fillId="2" borderId="1" xfId="1" applyNumberFormat="1" applyFont="1" applyFill="1" applyBorder="1" applyAlignment="1">
      <alignment horizontal="center" vertical="top" wrapText="1"/>
    </xf>
    <xf numFmtId="168" fontId="7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2" fillId="3" borderId="0" xfId="1" applyNumberFormat="1" applyFont="1" applyFill="1"/>
    <xf numFmtId="168" fontId="13" fillId="2" borderId="0" xfId="1" applyNumberFormat="1" applyFont="1" applyFill="1"/>
    <xf numFmtId="0" fontId="11" fillId="0" borderId="0" xfId="0" applyFont="1" applyFill="1"/>
    <xf numFmtId="167" fontId="5" fillId="2" borderId="2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8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/>
    <xf numFmtId="10" fontId="0" fillId="0" borderId="0" xfId="4" applyNumberFormat="1" applyFont="1"/>
    <xf numFmtId="10" fontId="12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4" fontId="11" fillId="0" borderId="0" xfId="0" applyNumberFormat="1" applyFont="1" applyFill="1" applyBorder="1"/>
    <xf numFmtId="3" fontId="0" fillId="0" borderId="0" xfId="0" applyNumberFormat="1"/>
    <xf numFmtId="164" fontId="4" fillId="0" borderId="0" xfId="0" applyNumberFormat="1" applyFont="1" applyFill="1" applyBorder="1"/>
    <xf numFmtId="4" fontId="0" fillId="0" borderId="0" xfId="0" applyNumberFormat="1"/>
    <xf numFmtId="43" fontId="0" fillId="0" borderId="0" xfId="1" applyFont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10" fontId="0" fillId="0" borderId="0" xfId="4" applyNumberFormat="1" applyFont="1" applyFill="1"/>
    <xf numFmtId="10" fontId="11" fillId="0" borderId="0" xfId="0" applyNumberFormat="1" applyFont="1" applyFill="1" applyBorder="1"/>
    <xf numFmtId="43" fontId="12" fillId="3" borderId="0" xfId="1" applyFont="1" applyFill="1"/>
    <xf numFmtId="10" fontId="12" fillId="3" borderId="0" xfId="0" applyNumberFormat="1" applyFont="1" applyFill="1" applyAlignment="1">
      <alignment horizontal="right"/>
    </xf>
    <xf numFmtId="168" fontId="0" fillId="0" borderId="0" xfId="0" applyNumberFormat="1"/>
    <xf numFmtId="0" fontId="11" fillId="0" borderId="0" xfId="0" quotePrefix="1" applyFont="1"/>
    <xf numFmtId="10" fontId="14" fillId="0" borderId="0" xfId="0" applyNumberFormat="1" applyFont="1"/>
    <xf numFmtId="169" fontId="11" fillId="0" borderId="0" xfId="0" applyNumberFormat="1" applyFont="1" applyFill="1" applyBorder="1"/>
    <xf numFmtId="169" fontId="4" fillId="0" borderId="0" xfId="0" applyNumberFormat="1" applyFont="1" applyFill="1" applyBorder="1"/>
    <xf numFmtId="168" fontId="4" fillId="0" borderId="0" xfId="1" applyNumberFormat="1" applyFont="1"/>
    <xf numFmtId="39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0" fontId="4" fillId="0" borderId="0" xfId="4" applyNumberFormat="1" applyFont="1"/>
    <xf numFmtId="2" fontId="0" fillId="0" borderId="0" xfId="0" applyNumberFormat="1"/>
    <xf numFmtId="0" fontId="11" fillId="4" borderId="0" xfId="0" applyFont="1" applyFill="1" applyBorder="1"/>
    <xf numFmtId="15" fontId="4" fillId="0" borderId="0" xfId="0" applyNumberFormat="1" applyFont="1" applyFill="1" applyBorder="1"/>
    <xf numFmtId="0" fontId="1" fillId="0" borderId="0" xfId="0" applyFont="1"/>
    <xf numFmtId="0" fontId="6" fillId="2" borderId="0" xfId="0" applyFont="1" applyFill="1" applyBorder="1" applyAlignment="1">
      <alignment horizontal="left" vertical="center" wrapText="1"/>
    </xf>
    <xf numFmtId="0" fontId="12" fillId="0" borderId="0" xfId="0" applyFont="1" applyFill="1"/>
    <xf numFmtId="168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0" applyNumberFormat="1" applyFont="1" applyFill="1"/>
    <xf numFmtId="167" fontId="12" fillId="0" borderId="0" xfId="0" applyNumberFormat="1" applyFont="1" applyFill="1"/>
    <xf numFmtId="170" fontId="4" fillId="0" borderId="0" xfId="0" applyNumberFormat="1" applyFont="1" applyFill="1" applyBorder="1"/>
    <xf numFmtId="0" fontId="1" fillId="0" borderId="0" xfId="0" applyFont="1" applyFill="1" applyBorder="1"/>
    <xf numFmtId="168" fontId="1" fillId="0" borderId="0" xfId="1" applyNumberFormat="1" applyFont="1" applyFill="1"/>
    <xf numFmtId="39" fontId="1" fillId="0" borderId="0" xfId="0" applyNumberFormat="1" applyFont="1" applyFill="1"/>
    <xf numFmtId="10" fontId="1" fillId="0" borderId="0" xfId="0" applyNumberFormat="1" applyFont="1" applyFill="1"/>
    <xf numFmtId="0" fontId="1" fillId="0" borderId="0" xfId="0" applyFont="1" applyFill="1"/>
    <xf numFmtId="10" fontId="14" fillId="0" borderId="0" xfId="4" applyNumberFormat="1" applyFont="1" applyFill="1"/>
    <xf numFmtId="10" fontId="12" fillId="3" borderId="0" xfId="4" applyNumberFormat="1" applyFont="1" applyFill="1"/>
    <xf numFmtId="43" fontId="1" fillId="0" borderId="0" xfId="1" applyFont="1" applyFill="1"/>
    <xf numFmtId="0" fontId="3" fillId="0" borderId="0" xfId="0" applyFont="1" applyBorder="1" applyAlignment="1">
      <alignment horizontal="left" vertical="top"/>
    </xf>
    <xf numFmtId="15" fontId="11" fillId="0" borderId="0" xfId="0" applyNumberFormat="1" applyFont="1" applyFill="1" applyBorder="1"/>
    <xf numFmtId="15" fontId="8" fillId="0" borderId="0" xfId="1" applyNumberFormat="1" applyFont="1" applyFill="1" applyBorder="1" applyAlignment="1">
      <alignment horizontal="center" vertical="top" wrapText="1"/>
    </xf>
    <xf numFmtId="10" fontId="1" fillId="0" borderId="0" xfId="4" applyNumberFormat="1" applyFont="1"/>
    <xf numFmtId="168" fontId="1" fillId="0" borderId="0" xfId="1" applyNumberFormat="1" applyFont="1"/>
    <xf numFmtId="39" fontId="1" fillId="0" borderId="0" xfId="0" applyNumberFormat="1" applyFont="1"/>
    <xf numFmtId="171" fontId="0" fillId="0" borderId="0" xfId="0" applyNumberFormat="1"/>
    <xf numFmtId="172" fontId="0" fillId="0" borderId="0" xfId="4" applyNumberFormat="1" applyFont="1"/>
    <xf numFmtId="167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73" fontId="0" fillId="0" borderId="0" xfId="0" applyNumberFormat="1"/>
    <xf numFmtId="0" fontId="1" fillId="0" borderId="0" xfId="0" applyFont="1" applyAlignment="1">
      <alignment horizontal="left"/>
    </xf>
    <xf numFmtId="0" fontId="8" fillId="2" borderId="1" xfId="2" applyFont="1" applyFill="1" applyBorder="1" applyAlignment="1" applyProtection="1">
      <alignment horizontal="center" vertical="center" wrapText="1"/>
    </xf>
    <xf numFmtId="0" fontId="14" fillId="0" borderId="0" xfId="0" applyFont="1"/>
    <xf numFmtId="14" fontId="11" fillId="0" borderId="1" xfId="0" applyNumberFormat="1" applyFont="1" applyFill="1" applyBorder="1" applyAlignment="1">
      <alignment horizontal="center"/>
    </xf>
    <xf numFmtId="168" fontId="0" fillId="0" borderId="0" xfId="0" applyNumberFormat="1" applyFill="1"/>
    <xf numFmtId="14" fontId="1" fillId="0" borderId="0" xfId="0" applyNumberFormat="1" applyFont="1" applyFill="1" applyBorder="1"/>
    <xf numFmtId="15" fontId="1" fillId="0" borderId="0" xfId="0" applyNumberFormat="1" applyFont="1" applyFill="1" applyBorder="1"/>
    <xf numFmtId="174" fontId="0" fillId="0" borderId="0" xfId="0" applyNumberFormat="1"/>
    <xf numFmtId="164" fontId="1" fillId="0" borderId="0" xfId="0" applyNumberFormat="1" applyFont="1" applyFill="1" applyBorder="1"/>
    <xf numFmtId="10" fontId="11" fillId="0" borderId="0" xfId="4" applyNumberFormat="1" applyFont="1" applyBorder="1" applyAlignment="1">
      <alignment horizontal="left" vertical="top"/>
    </xf>
    <xf numFmtId="10" fontId="1" fillId="0" borderId="0" xfId="4" applyNumberFormat="1" applyFont="1" applyFill="1"/>
    <xf numFmtId="167" fontId="1" fillId="0" borderId="0" xfId="0" applyNumberFormat="1" applyFont="1" applyFill="1"/>
    <xf numFmtId="10" fontId="1" fillId="0" borderId="0" xfId="0" applyNumberFormat="1" applyFont="1" applyFill="1" applyBorder="1"/>
    <xf numFmtId="0" fontId="3" fillId="0" borderId="0" xfId="0" applyFont="1" applyFill="1" applyBorder="1" applyAlignment="1">
      <alignment horizontal="left" vertical="top"/>
    </xf>
    <xf numFmtId="10" fontId="4" fillId="0" borderId="0" xfId="0" applyNumberFormat="1" applyFont="1" applyFill="1" applyBorder="1"/>
    <xf numFmtId="10" fontId="11" fillId="0" borderId="0" xfId="0" applyNumberFormat="1" applyFont="1" applyAlignment="1">
      <alignment horizontal="right"/>
    </xf>
    <xf numFmtId="0" fontId="11" fillId="2" borderId="1" xfId="2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>
      <alignment horizontal="left"/>
    </xf>
    <xf numFmtId="165" fontId="15" fillId="0" borderId="1" xfId="0" applyNumberFormat="1" applyFont="1" applyFill="1" applyBorder="1" applyAlignment="1">
      <alignment horizontal="center"/>
    </xf>
    <xf numFmtId="168" fontId="15" fillId="0" borderId="1" xfId="1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10" fontId="1" fillId="0" borderId="1" xfId="4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/>
    <xf numFmtId="14" fontId="15" fillId="0" borderId="1" xfId="0" applyNumberFormat="1" applyFont="1" applyFill="1" applyBorder="1" applyAlignment="1">
      <alignment horizontal="center"/>
    </xf>
    <xf numFmtId="15" fontId="11" fillId="0" borderId="0" xfId="1" applyNumberFormat="1" applyFont="1" applyFill="1" applyBorder="1" applyAlignment="1">
      <alignment horizontal="center" vertical="top" wrapText="1"/>
    </xf>
    <xf numFmtId="0" fontId="1" fillId="0" borderId="0" xfId="0" applyNumberFormat="1" applyFont="1"/>
    <xf numFmtId="0" fontId="17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 applyFill="1"/>
    <xf numFmtId="0" fontId="11" fillId="0" borderId="0" xfId="0" applyFont="1" applyAlignment="1">
      <alignment horizontal="center"/>
    </xf>
    <xf numFmtId="10" fontId="5" fillId="2" borderId="2" xfId="4" applyNumberFormat="1" applyFont="1" applyFill="1" applyBorder="1" applyAlignment="1">
      <alignment horizontal="center" vertical="top" wrapText="1"/>
    </xf>
    <xf numFmtId="175" fontId="0" fillId="0" borderId="0" xfId="0" applyNumberFormat="1"/>
    <xf numFmtId="175" fontId="11" fillId="4" borderId="0" xfId="0" applyNumberFormat="1" applyFont="1" applyFill="1"/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175" fontId="0" fillId="0" borderId="0" xfId="0" applyNumberFormat="1" applyFill="1"/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47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  <col min="13" max="13" width="17.7109375" bestFit="1" customWidth="1"/>
  </cols>
  <sheetData>
    <row r="1" spans="1:15" ht="18.75" x14ac:dyDescent="0.2">
      <c r="A1" s="94" t="s">
        <v>369</v>
      </c>
      <c r="B1" s="127" t="s">
        <v>0</v>
      </c>
      <c r="C1" s="128"/>
      <c r="D1" s="128"/>
      <c r="E1" s="128"/>
      <c r="F1" s="128"/>
      <c r="G1" s="128"/>
      <c r="H1" s="129"/>
    </row>
    <row r="2" spans="1:15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5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5" ht="12.75" customHeight="1" x14ac:dyDescent="0.2">
      <c r="F5" s="13"/>
      <c r="G5" s="14"/>
      <c r="H5" s="15"/>
    </row>
    <row r="6" spans="1:15" ht="12.75" customHeight="1" x14ac:dyDescent="0.2">
      <c r="F6" s="13"/>
      <c r="G6" s="14"/>
      <c r="H6" s="15"/>
    </row>
    <row r="7" spans="1:15" ht="12.75" customHeight="1" x14ac:dyDescent="0.2">
      <c r="B7" s="16" t="s">
        <v>9</v>
      </c>
      <c r="C7" s="16"/>
      <c r="F7" s="13"/>
      <c r="G7" s="14"/>
      <c r="H7" s="15"/>
    </row>
    <row r="8" spans="1:15" ht="12.75" customHeight="1" x14ac:dyDescent="0.2">
      <c r="B8" s="16" t="s">
        <v>406</v>
      </c>
      <c r="C8" s="16"/>
      <c r="F8" s="13"/>
      <c r="G8" s="14"/>
      <c r="H8" s="15"/>
      <c r="J8" s="17" t="s">
        <v>4</v>
      </c>
      <c r="K8" s="37" t="s">
        <v>12</v>
      </c>
    </row>
    <row r="9" spans="1:15" ht="12.75" customHeight="1" x14ac:dyDescent="0.2">
      <c r="A9">
        <f>+MAX($A$8:A8)+1</f>
        <v>1</v>
      </c>
      <c r="B9" t="s">
        <v>191</v>
      </c>
      <c r="C9" t="s">
        <v>13</v>
      </c>
      <c r="D9" t="s">
        <v>10</v>
      </c>
      <c r="E9" s="28">
        <v>142365</v>
      </c>
      <c r="F9" s="13">
        <v>2855.4148049999999</v>
      </c>
      <c r="G9" s="14">
        <f t="shared" ref="G9:G40" si="0">+ROUND(F9/VLOOKUP("Grand Total",$B$4:$F$284,5,0),4)</f>
        <v>4.6699999999999998E-2</v>
      </c>
      <c r="H9" s="15"/>
      <c r="I9" s="15"/>
      <c r="J9" s="14" t="s">
        <v>10</v>
      </c>
      <c r="K9" s="48">
        <f t="shared" ref="K9:K38" si="1">SUMIFS($G$5:$G$322,$D$5:$D$322,J9)</f>
        <v>0.21759999999999999</v>
      </c>
    </row>
    <row r="10" spans="1:15" ht="12.75" customHeight="1" x14ac:dyDescent="0.2">
      <c r="A10">
        <f>+MAX($A$8:A9)+1</f>
        <v>2</v>
      </c>
      <c r="B10" t="s">
        <v>194</v>
      </c>
      <c r="C10" t="s">
        <v>11</v>
      </c>
      <c r="D10" t="s">
        <v>10</v>
      </c>
      <c r="E10" s="28">
        <v>778587</v>
      </c>
      <c r="F10" s="13">
        <v>2748.0228164999999</v>
      </c>
      <c r="G10" s="14">
        <f t="shared" si="0"/>
        <v>4.4999999999999998E-2</v>
      </c>
      <c r="H10" s="15"/>
      <c r="J10" s="14" t="s">
        <v>26</v>
      </c>
      <c r="K10" s="48">
        <f t="shared" si="1"/>
        <v>0.1009</v>
      </c>
    </row>
    <row r="11" spans="1:15" ht="12.75" customHeight="1" x14ac:dyDescent="0.2">
      <c r="A11">
        <f>+MAX($A$8:A10)+1</f>
        <v>3</v>
      </c>
      <c r="B11" t="s">
        <v>193</v>
      </c>
      <c r="C11" t="s">
        <v>31</v>
      </c>
      <c r="D11" t="s">
        <v>30</v>
      </c>
      <c r="E11" s="28">
        <v>207332</v>
      </c>
      <c r="F11" s="13">
        <v>1993.0825159999999</v>
      </c>
      <c r="G11" s="14">
        <f t="shared" si="0"/>
        <v>3.2599999999999997E-2</v>
      </c>
      <c r="H11" s="15"/>
      <c r="J11" s="14" t="s">
        <v>28</v>
      </c>
      <c r="K11" s="48">
        <f t="shared" si="1"/>
        <v>5.8400000000000001E-2</v>
      </c>
      <c r="L11" s="36"/>
      <c r="M11" s="92"/>
      <c r="N11" s="36"/>
      <c r="O11" s="14"/>
    </row>
    <row r="12" spans="1:15" ht="12.75" customHeight="1" x14ac:dyDescent="0.2">
      <c r="A12">
        <f>+MAX($A$8:A11)+1</f>
        <v>4</v>
      </c>
      <c r="B12" t="s">
        <v>225</v>
      </c>
      <c r="C12" t="s">
        <v>71</v>
      </c>
      <c r="D12" t="s">
        <v>28</v>
      </c>
      <c r="E12" s="28">
        <v>137696</v>
      </c>
      <c r="F12" s="13">
        <v>1950.4638399999999</v>
      </c>
      <c r="G12" s="14">
        <f t="shared" si="0"/>
        <v>3.1899999999999998E-2</v>
      </c>
      <c r="H12" s="15"/>
      <c r="J12" s="14" t="s">
        <v>14</v>
      </c>
      <c r="K12" s="48">
        <f t="shared" si="1"/>
        <v>5.62E-2</v>
      </c>
      <c r="L12" s="36"/>
      <c r="M12" s="92"/>
      <c r="N12" s="36"/>
      <c r="O12" s="14"/>
    </row>
    <row r="13" spans="1:15" ht="12.75" customHeight="1" x14ac:dyDescent="0.2">
      <c r="A13">
        <f>+MAX($A$8:A12)+1</f>
        <v>5</v>
      </c>
      <c r="B13" t="s">
        <v>197</v>
      </c>
      <c r="C13" t="s">
        <v>27</v>
      </c>
      <c r="D13" t="s">
        <v>24</v>
      </c>
      <c r="E13" s="28">
        <v>93303</v>
      </c>
      <c r="F13" s="13">
        <v>1825.286589</v>
      </c>
      <c r="G13" s="14">
        <f t="shared" si="0"/>
        <v>2.9899999999999999E-2</v>
      </c>
      <c r="H13" s="15"/>
      <c r="J13" s="14" t="s">
        <v>24</v>
      </c>
      <c r="K13" s="48">
        <f t="shared" si="1"/>
        <v>5.5099999999999996E-2</v>
      </c>
      <c r="L13" s="36"/>
      <c r="M13" s="92"/>
      <c r="N13" s="36"/>
      <c r="O13" s="14"/>
    </row>
    <row r="14" spans="1:15" ht="12.75" customHeight="1" x14ac:dyDescent="0.2">
      <c r="A14">
        <f>+MAX($A$8:A13)+1</f>
        <v>6</v>
      </c>
      <c r="B14" t="s">
        <v>16</v>
      </c>
      <c r="C14" t="s">
        <v>17</v>
      </c>
      <c r="D14" t="s">
        <v>10</v>
      </c>
      <c r="E14" s="28">
        <v>543759</v>
      </c>
      <c r="F14" s="13">
        <v>1703.3250674999999</v>
      </c>
      <c r="G14" s="14">
        <f t="shared" si="0"/>
        <v>2.7900000000000001E-2</v>
      </c>
      <c r="H14" s="15"/>
      <c r="J14" s="14" t="s">
        <v>36</v>
      </c>
      <c r="K14" s="48">
        <f t="shared" si="1"/>
        <v>5.16E-2</v>
      </c>
      <c r="L14" s="36"/>
      <c r="M14" s="92"/>
      <c r="N14" s="36"/>
      <c r="O14" s="14"/>
    </row>
    <row r="15" spans="1:15" ht="12.75" customHeight="1" x14ac:dyDescent="0.2">
      <c r="A15">
        <f>+MAX($A$8:A14)+1</f>
        <v>7</v>
      </c>
      <c r="B15" t="s">
        <v>192</v>
      </c>
      <c r="C15" t="s">
        <v>15</v>
      </c>
      <c r="D15" t="s">
        <v>14</v>
      </c>
      <c r="E15" s="28">
        <v>145142</v>
      </c>
      <c r="F15" s="13">
        <v>1669.4958549999999</v>
      </c>
      <c r="G15" s="14">
        <f t="shared" si="0"/>
        <v>2.7300000000000001E-2</v>
      </c>
      <c r="H15" s="15"/>
      <c r="J15" s="14" t="s">
        <v>20</v>
      </c>
      <c r="K15" s="48">
        <f t="shared" si="1"/>
        <v>5.0499999999999996E-2</v>
      </c>
      <c r="L15" s="36"/>
      <c r="M15" s="92"/>
      <c r="N15" s="36"/>
      <c r="O15" s="14"/>
    </row>
    <row r="16" spans="1:15" ht="12.75" customHeight="1" x14ac:dyDescent="0.2">
      <c r="A16">
        <f>+MAX($A$8:A15)+1</f>
        <v>8</v>
      </c>
      <c r="B16" t="s">
        <v>346</v>
      </c>
      <c r="C16" t="s">
        <v>412</v>
      </c>
      <c r="D16" t="s">
        <v>134</v>
      </c>
      <c r="E16" s="28">
        <v>113619</v>
      </c>
      <c r="F16" s="13">
        <v>1371.154092</v>
      </c>
      <c r="G16" s="14">
        <f t="shared" si="0"/>
        <v>2.24E-2</v>
      </c>
      <c r="H16" s="15"/>
      <c r="J16" s="14" t="s">
        <v>134</v>
      </c>
      <c r="K16" s="48">
        <f t="shared" si="1"/>
        <v>4.9599999999999998E-2</v>
      </c>
      <c r="L16" s="36"/>
      <c r="M16" s="92"/>
      <c r="N16" s="36"/>
      <c r="O16" s="14"/>
    </row>
    <row r="17" spans="1:15" ht="12.75" customHeight="1" x14ac:dyDescent="0.2">
      <c r="A17">
        <f>+MAX($A$8:A16)+1</f>
        <v>9</v>
      </c>
      <c r="B17" t="s">
        <v>231</v>
      </c>
      <c r="C17" t="s">
        <v>78</v>
      </c>
      <c r="D17" t="s">
        <v>26</v>
      </c>
      <c r="E17" s="28">
        <v>41692</v>
      </c>
      <c r="F17" s="13">
        <v>1369.8323519999999</v>
      </c>
      <c r="G17" s="14">
        <f t="shared" si="0"/>
        <v>2.24E-2</v>
      </c>
      <c r="H17" s="15"/>
      <c r="J17" s="14" t="s">
        <v>22</v>
      </c>
      <c r="K17" s="48">
        <f t="shared" si="1"/>
        <v>4.9500000000000002E-2</v>
      </c>
      <c r="L17" s="36"/>
      <c r="M17" s="92"/>
      <c r="N17" s="36"/>
      <c r="O17" s="14"/>
    </row>
    <row r="18" spans="1:15" ht="12.75" customHeight="1" x14ac:dyDescent="0.2">
      <c r="A18">
        <f>+MAX($A$8:A17)+1</f>
        <v>10</v>
      </c>
      <c r="B18" t="s">
        <v>206</v>
      </c>
      <c r="C18" t="s">
        <v>52</v>
      </c>
      <c r="D18" t="s">
        <v>41</v>
      </c>
      <c r="E18" s="28">
        <v>944272</v>
      </c>
      <c r="F18" s="13">
        <v>1321.508664</v>
      </c>
      <c r="G18" s="14">
        <f t="shared" si="0"/>
        <v>2.1600000000000001E-2</v>
      </c>
      <c r="H18" s="15"/>
      <c r="J18" s="14" t="s">
        <v>18</v>
      </c>
      <c r="K18" s="48">
        <f t="shared" si="1"/>
        <v>4.9099999999999998E-2</v>
      </c>
      <c r="L18" s="36"/>
      <c r="M18" s="92"/>
      <c r="N18" s="36"/>
      <c r="O18" s="14"/>
    </row>
    <row r="19" spans="1:15" ht="12.75" customHeight="1" x14ac:dyDescent="0.2">
      <c r="A19">
        <f>+MAX($A$8:A18)+1</f>
        <v>11</v>
      </c>
      <c r="B19" t="s">
        <v>316</v>
      </c>
      <c r="C19" t="s">
        <v>317</v>
      </c>
      <c r="D19" t="s">
        <v>144</v>
      </c>
      <c r="E19" s="28">
        <v>262209</v>
      </c>
      <c r="F19" s="13">
        <v>1279.8421290000001</v>
      </c>
      <c r="G19" s="14">
        <f t="shared" si="0"/>
        <v>2.0899999999999998E-2</v>
      </c>
      <c r="H19" s="15"/>
      <c r="J19" s="14" t="s">
        <v>30</v>
      </c>
      <c r="K19" s="48">
        <f t="shared" si="1"/>
        <v>3.2599999999999997E-2</v>
      </c>
      <c r="L19" s="36"/>
      <c r="M19" s="92"/>
      <c r="N19" s="36"/>
      <c r="O19" s="14"/>
    </row>
    <row r="20" spans="1:15" ht="12.75" customHeight="1" x14ac:dyDescent="0.2">
      <c r="A20">
        <f>+MAX($A$8:A19)+1</f>
        <v>12</v>
      </c>
      <c r="B20" t="s">
        <v>585</v>
      </c>
      <c r="C20" t="s">
        <v>586</v>
      </c>
      <c r="D20" t="s">
        <v>36</v>
      </c>
      <c r="E20" s="28">
        <v>1320000</v>
      </c>
      <c r="F20" s="13">
        <v>1174.8</v>
      </c>
      <c r="G20" s="14">
        <f t="shared" si="0"/>
        <v>1.9199999999999998E-2</v>
      </c>
      <c r="H20" s="15"/>
      <c r="J20" s="90" t="s">
        <v>38</v>
      </c>
      <c r="K20" s="48">
        <f t="shared" si="1"/>
        <v>3.1899999999999998E-2</v>
      </c>
      <c r="L20" s="36"/>
      <c r="M20" s="92"/>
      <c r="N20" s="36"/>
      <c r="O20" s="14"/>
    </row>
    <row r="21" spans="1:15" ht="12.75" customHeight="1" x14ac:dyDescent="0.2">
      <c r="A21">
        <f>+MAX($A$8:A20)+1</f>
        <v>13</v>
      </c>
      <c r="B21" t="s">
        <v>394</v>
      </c>
      <c r="C21" t="s">
        <v>393</v>
      </c>
      <c r="D21" t="s">
        <v>26</v>
      </c>
      <c r="E21" s="28">
        <v>329351</v>
      </c>
      <c r="F21" s="13">
        <v>1171.1721559999999</v>
      </c>
      <c r="G21" s="14">
        <f t="shared" si="0"/>
        <v>1.9199999999999998E-2</v>
      </c>
      <c r="H21" s="15"/>
      <c r="J21" s="14" t="s">
        <v>41</v>
      </c>
      <c r="K21" s="48">
        <f t="shared" si="1"/>
        <v>3.1199999999999999E-2</v>
      </c>
      <c r="L21" s="36"/>
      <c r="M21" s="92"/>
      <c r="N21" s="36"/>
      <c r="O21" s="14"/>
    </row>
    <row r="22" spans="1:15" ht="12.75" customHeight="1" x14ac:dyDescent="0.2">
      <c r="A22">
        <f>+MAX($A$8:A21)+1</f>
        <v>14</v>
      </c>
      <c r="B22" t="s">
        <v>209</v>
      </c>
      <c r="C22" t="s">
        <v>49</v>
      </c>
      <c r="D22" t="s">
        <v>20</v>
      </c>
      <c r="E22" s="28">
        <v>12016</v>
      </c>
      <c r="F22" s="13">
        <v>1142.6855520000001</v>
      </c>
      <c r="G22" s="14">
        <f t="shared" si="0"/>
        <v>1.8700000000000001E-2</v>
      </c>
      <c r="H22" s="15"/>
      <c r="J22" s="14" t="s">
        <v>144</v>
      </c>
      <c r="K22" s="48">
        <f t="shared" si="1"/>
        <v>2.0899999999999998E-2</v>
      </c>
      <c r="L22" s="36"/>
      <c r="M22" s="92"/>
      <c r="N22" s="36"/>
      <c r="O22" s="14"/>
    </row>
    <row r="23" spans="1:15" ht="12.75" customHeight="1" x14ac:dyDescent="0.2">
      <c r="A23">
        <f>+MAX($A$8:A22)+1</f>
        <v>15</v>
      </c>
      <c r="B23" t="s">
        <v>309</v>
      </c>
      <c r="C23" t="s">
        <v>76</v>
      </c>
      <c r="D23" t="s">
        <v>38</v>
      </c>
      <c r="E23" s="28">
        <v>323315</v>
      </c>
      <c r="F23" s="13">
        <v>1113.6585175</v>
      </c>
      <c r="G23" s="14">
        <f t="shared" si="0"/>
        <v>1.8200000000000001E-2</v>
      </c>
      <c r="H23" s="15"/>
      <c r="J23" s="14" t="s">
        <v>495</v>
      </c>
      <c r="K23" s="48">
        <f t="shared" si="1"/>
        <v>0.02</v>
      </c>
      <c r="L23" s="36"/>
      <c r="M23" s="92"/>
      <c r="N23" s="36"/>
      <c r="O23" s="14"/>
    </row>
    <row r="24" spans="1:15" ht="12.75" customHeight="1" x14ac:dyDescent="0.2">
      <c r="A24">
        <f>+MAX($A$8:A23)+1</f>
        <v>16</v>
      </c>
      <c r="B24" t="s">
        <v>224</v>
      </c>
      <c r="C24" t="s">
        <v>66</v>
      </c>
      <c r="D24" t="s">
        <v>28</v>
      </c>
      <c r="E24" s="28">
        <v>307552</v>
      </c>
      <c r="F24" s="13">
        <v>1081.1990559999999</v>
      </c>
      <c r="G24" s="14">
        <f t="shared" si="0"/>
        <v>1.77E-2</v>
      </c>
      <c r="H24" s="15"/>
      <c r="J24" s="14" t="s">
        <v>45</v>
      </c>
      <c r="K24" s="48">
        <f t="shared" si="1"/>
        <v>1.83E-2</v>
      </c>
      <c r="L24" s="36"/>
      <c r="M24" s="92"/>
      <c r="N24" s="36"/>
      <c r="O24" s="14"/>
    </row>
    <row r="25" spans="1:15" ht="12.75" customHeight="1" x14ac:dyDescent="0.2">
      <c r="A25">
        <f>+MAX($A$8:A24)+1</f>
        <v>17</v>
      </c>
      <c r="B25" t="s">
        <v>409</v>
      </c>
      <c r="C25" t="s">
        <v>410</v>
      </c>
      <c r="D25" t="s">
        <v>411</v>
      </c>
      <c r="E25" s="28">
        <v>663035</v>
      </c>
      <c r="F25" s="13">
        <v>1063.1766224999999</v>
      </c>
      <c r="G25" s="14">
        <f t="shared" si="0"/>
        <v>1.7399999999999999E-2</v>
      </c>
      <c r="H25" s="15"/>
      <c r="J25" s="14" t="s">
        <v>411</v>
      </c>
      <c r="K25" s="48">
        <f t="shared" si="1"/>
        <v>1.7399999999999999E-2</v>
      </c>
      <c r="L25" s="36"/>
      <c r="M25" s="92"/>
      <c r="N25" s="36"/>
      <c r="O25" s="14"/>
    </row>
    <row r="26" spans="1:15" ht="12.75" customHeight="1" x14ac:dyDescent="0.2">
      <c r="A26">
        <f>+MAX($A$8:A25)+1</f>
        <v>18</v>
      </c>
      <c r="B26" t="s">
        <v>203</v>
      </c>
      <c r="C26" t="s">
        <v>48</v>
      </c>
      <c r="D26" t="s">
        <v>26</v>
      </c>
      <c r="E26" s="28">
        <v>21639</v>
      </c>
      <c r="F26" s="13">
        <v>1013.6032184999999</v>
      </c>
      <c r="G26" s="14">
        <f t="shared" si="0"/>
        <v>1.66E-2</v>
      </c>
      <c r="H26" s="15"/>
      <c r="J26" t="s">
        <v>51</v>
      </c>
      <c r="K26" s="48">
        <f t="shared" si="1"/>
        <v>1.3599999999999999E-2</v>
      </c>
      <c r="L26" s="36"/>
      <c r="M26" s="92"/>
      <c r="N26" s="36"/>
      <c r="O26" s="14"/>
    </row>
    <row r="27" spans="1:15" ht="12.75" customHeight="1" x14ac:dyDescent="0.2">
      <c r="A27">
        <f>+MAX($A$8:A26)+1</f>
        <v>19</v>
      </c>
      <c r="B27" t="s">
        <v>195</v>
      </c>
      <c r="C27" t="s">
        <v>21</v>
      </c>
      <c r="D27" t="s">
        <v>20</v>
      </c>
      <c r="E27" s="28">
        <v>253596</v>
      </c>
      <c r="F27" s="13">
        <v>1013.11602</v>
      </c>
      <c r="G27" s="14">
        <f t="shared" si="0"/>
        <v>1.66E-2</v>
      </c>
      <c r="H27" s="15"/>
      <c r="J27" t="s">
        <v>43</v>
      </c>
      <c r="K27" s="48">
        <f t="shared" si="1"/>
        <v>1.0999999999999999E-2</v>
      </c>
      <c r="L27" s="36"/>
      <c r="M27" s="92"/>
      <c r="N27" s="36"/>
      <c r="O27" s="14"/>
    </row>
    <row r="28" spans="1:15" ht="12.75" customHeight="1" x14ac:dyDescent="0.2">
      <c r="A28">
        <f>+MAX($A$8:A27)+1</f>
        <v>20</v>
      </c>
      <c r="B28" t="s">
        <v>308</v>
      </c>
      <c r="C28" t="s">
        <v>57</v>
      </c>
      <c r="D28" t="s">
        <v>26</v>
      </c>
      <c r="E28" s="28">
        <v>71970</v>
      </c>
      <c r="F28" s="13">
        <v>1007.5440149999999</v>
      </c>
      <c r="G28" s="14">
        <f t="shared" si="0"/>
        <v>1.6500000000000001E-2</v>
      </c>
      <c r="H28" s="15"/>
      <c r="J28" t="s">
        <v>319</v>
      </c>
      <c r="K28" s="48">
        <f t="shared" si="1"/>
        <v>1.03E-2</v>
      </c>
      <c r="L28" s="36"/>
      <c r="M28" s="92"/>
      <c r="N28" s="36"/>
      <c r="O28" s="14"/>
    </row>
    <row r="29" spans="1:15" ht="12.75" customHeight="1" x14ac:dyDescent="0.2">
      <c r="A29">
        <f>+MAX($A$8:A28)+1</f>
        <v>21</v>
      </c>
      <c r="B29" t="s">
        <v>250</v>
      </c>
      <c r="C29" t="s">
        <v>115</v>
      </c>
      <c r="D29" t="s">
        <v>36</v>
      </c>
      <c r="E29" s="28">
        <v>567700</v>
      </c>
      <c r="F29" s="13">
        <v>966.50924999999995</v>
      </c>
      <c r="G29" s="14">
        <f t="shared" si="0"/>
        <v>1.5800000000000002E-2</v>
      </c>
      <c r="H29" s="15"/>
      <c r="J29" t="s">
        <v>34</v>
      </c>
      <c r="K29" s="48">
        <f t="shared" si="1"/>
        <v>8.8000000000000005E-3</v>
      </c>
      <c r="M29" s="92"/>
      <c r="N29" s="36"/>
      <c r="O29" s="14"/>
    </row>
    <row r="30" spans="1:15" ht="12.75" customHeight="1" x14ac:dyDescent="0.2">
      <c r="A30">
        <f>+MAX($A$8:A29)+1</f>
        <v>22</v>
      </c>
      <c r="B30" t="s">
        <v>216</v>
      </c>
      <c r="C30" t="s">
        <v>19</v>
      </c>
      <c r="D30" t="s">
        <v>14</v>
      </c>
      <c r="E30" s="28">
        <v>30730</v>
      </c>
      <c r="F30" s="13">
        <v>956.42515500000002</v>
      </c>
      <c r="G30" s="14">
        <f t="shared" si="0"/>
        <v>1.5599999999999999E-2</v>
      </c>
      <c r="H30" s="15"/>
      <c r="J30" t="s">
        <v>433</v>
      </c>
      <c r="K30" s="48">
        <f t="shared" si="1"/>
        <v>3.5000000000000001E-3</v>
      </c>
      <c r="M30" s="14"/>
      <c r="N30" s="36"/>
      <c r="O30" s="14"/>
    </row>
    <row r="31" spans="1:15" ht="12.75" customHeight="1" x14ac:dyDescent="0.2">
      <c r="A31">
        <f>+MAX($A$8:A30)+1</f>
        <v>23</v>
      </c>
      <c r="B31" t="s">
        <v>201</v>
      </c>
      <c r="C31" t="s">
        <v>46</v>
      </c>
      <c r="D31" t="s">
        <v>26</v>
      </c>
      <c r="E31" s="28">
        <v>346201</v>
      </c>
      <c r="F31" s="13">
        <v>939.58951400000001</v>
      </c>
      <c r="G31" s="14">
        <f t="shared" si="0"/>
        <v>1.54E-2</v>
      </c>
      <c r="H31" s="15"/>
      <c r="J31" s="65" t="s">
        <v>32</v>
      </c>
      <c r="K31" s="48">
        <f t="shared" si="1"/>
        <v>1E-4</v>
      </c>
      <c r="N31" s="36"/>
      <c r="O31" s="14"/>
    </row>
    <row r="32" spans="1:15" ht="12.75" customHeight="1" x14ac:dyDescent="0.2">
      <c r="A32">
        <f>+MAX($A$8:A31)+1</f>
        <v>24</v>
      </c>
      <c r="B32" t="s">
        <v>248</v>
      </c>
      <c r="C32" t="s">
        <v>112</v>
      </c>
      <c r="D32" t="s">
        <v>20</v>
      </c>
      <c r="E32" s="28">
        <v>25122</v>
      </c>
      <c r="F32" s="13">
        <v>927.36606900000004</v>
      </c>
      <c r="G32" s="14">
        <f t="shared" si="0"/>
        <v>1.52E-2</v>
      </c>
      <c r="H32" s="15"/>
      <c r="J32" t="s">
        <v>54</v>
      </c>
      <c r="K32" s="48">
        <f t="shared" si="1"/>
        <v>0</v>
      </c>
      <c r="N32" s="36"/>
      <c r="O32" s="14"/>
    </row>
    <row r="33" spans="1:15" ht="12.75" customHeight="1" x14ac:dyDescent="0.2">
      <c r="A33">
        <f>+MAX($A$8:A32)+1</f>
        <v>25</v>
      </c>
      <c r="B33" t="s">
        <v>212</v>
      </c>
      <c r="C33" t="s">
        <v>98</v>
      </c>
      <c r="D33" t="s">
        <v>10</v>
      </c>
      <c r="E33" s="28">
        <v>82252</v>
      </c>
      <c r="F33" s="13">
        <v>912.133554</v>
      </c>
      <c r="G33" s="14">
        <f t="shared" si="0"/>
        <v>1.49E-2</v>
      </c>
      <c r="H33" s="15"/>
      <c r="J33" t="s">
        <v>429</v>
      </c>
      <c r="K33" s="48">
        <f t="shared" si="1"/>
        <v>0</v>
      </c>
      <c r="N33" s="36"/>
      <c r="O33" s="14"/>
    </row>
    <row r="34" spans="1:15" ht="12.75" customHeight="1" x14ac:dyDescent="0.2">
      <c r="A34">
        <f>+MAX($A$8:A33)+1</f>
        <v>26</v>
      </c>
      <c r="B34" t="s">
        <v>550</v>
      </c>
      <c r="C34" t="s">
        <v>551</v>
      </c>
      <c r="D34" t="s">
        <v>134</v>
      </c>
      <c r="E34" s="28">
        <v>238963</v>
      </c>
      <c r="F34" s="13">
        <v>909.37369650000005</v>
      </c>
      <c r="G34" s="14">
        <f t="shared" si="0"/>
        <v>1.49E-2</v>
      </c>
      <c r="H34" s="15"/>
      <c r="J34" t="s">
        <v>58</v>
      </c>
      <c r="K34" s="48">
        <f t="shared" si="1"/>
        <v>0</v>
      </c>
      <c r="L34" s="87"/>
      <c r="N34" s="36"/>
      <c r="O34" s="14"/>
    </row>
    <row r="35" spans="1:15" ht="12.75" customHeight="1" x14ac:dyDescent="0.2">
      <c r="A35">
        <f>+MAX($A$8:A34)+1</f>
        <v>27</v>
      </c>
      <c r="B35" t="s">
        <v>202</v>
      </c>
      <c r="C35" t="s">
        <v>44</v>
      </c>
      <c r="D35" t="s">
        <v>24</v>
      </c>
      <c r="E35" s="28">
        <v>150743</v>
      </c>
      <c r="F35" s="13">
        <v>877.62574599999994</v>
      </c>
      <c r="G35" s="14">
        <f t="shared" si="0"/>
        <v>1.44E-2</v>
      </c>
      <c r="H35" s="15"/>
      <c r="J35" t="s">
        <v>56</v>
      </c>
      <c r="K35" s="48">
        <f t="shared" si="1"/>
        <v>0</v>
      </c>
    </row>
    <row r="36" spans="1:15" ht="12.75" customHeight="1" x14ac:dyDescent="0.2">
      <c r="A36">
        <f>+MAX($A$8:A35)+1</f>
        <v>28</v>
      </c>
      <c r="B36" t="s">
        <v>215</v>
      </c>
      <c r="C36" t="s">
        <v>61</v>
      </c>
      <c r="D36" t="s">
        <v>22</v>
      </c>
      <c r="E36" s="28">
        <v>137828</v>
      </c>
      <c r="F36" s="13">
        <v>867.69617400000004</v>
      </c>
      <c r="G36" s="14">
        <f t="shared" si="0"/>
        <v>1.4200000000000001E-2</v>
      </c>
      <c r="H36" s="15"/>
      <c r="J36" t="s">
        <v>102</v>
      </c>
      <c r="K36" s="48">
        <f t="shared" si="1"/>
        <v>0</v>
      </c>
      <c r="M36" s="14"/>
    </row>
    <row r="37" spans="1:15" ht="12.75" customHeight="1" x14ac:dyDescent="0.2">
      <c r="A37">
        <f>+MAX($A$8:A36)+1</f>
        <v>29</v>
      </c>
      <c r="B37" t="s">
        <v>367</v>
      </c>
      <c r="C37" t="s">
        <v>368</v>
      </c>
      <c r="D37" t="s">
        <v>38</v>
      </c>
      <c r="E37" s="28">
        <v>969860</v>
      </c>
      <c r="F37" s="13">
        <v>838.9289</v>
      </c>
      <c r="G37" s="14">
        <f t="shared" si="0"/>
        <v>1.37E-2</v>
      </c>
      <c r="H37" s="15"/>
      <c r="J37" s="14" t="s">
        <v>62</v>
      </c>
      <c r="K37" s="48">
        <f t="shared" si="1"/>
        <v>0</v>
      </c>
      <c r="M37" s="14"/>
    </row>
    <row r="38" spans="1:15" ht="12.75" customHeight="1" x14ac:dyDescent="0.2">
      <c r="A38">
        <f>+MAX($A$8:A37)+1</f>
        <v>30</v>
      </c>
      <c r="B38" t="s">
        <v>228</v>
      </c>
      <c r="C38" t="s">
        <v>79</v>
      </c>
      <c r="D38" t="s">
        <v>51</v>
      </c>
      <c r="E38" s="28">
        <v>276857</v>
      </c>
      <c r="F38" s="13">
        <v>829.32514349999997</v>
      </c>
      <c r="G38" s="14">
        <f t="shared" si="0"/>
        <v>1.3599999999999999E-2</v>
      </c>
      <c r="H38" s="15"/>
      <c r="J38" s="14" t="s">
        <v>60</v>
      </c>
      <c r="K38" s="48">
        <f t="shared" si="1"/>
        <v>0</v>
      </c>
      <c r="M38" s="14"/>
    </row>
    <row r="39" spans="1:15" ht="12.75" customHeight="1" x14ac:dyDescent="0.2">
      <c r="A39">
        <f>+MAX($A$8:A38)+1</f>
        <v>31</v>
      </c>
      <c r="B39" t="s">
        <v>196</v>
      </c>
      <c r="C39" t="s">
        <v>25</v>
      </c>
      <c r="D39" t="s">
        <v>14</v>
      </c>
      <c r="E39" s="28">
        <v>82486</v>
      </c>
      <c r="F39" s="13">
        <v>813.76563299999998</v>
      </c>
      <c r="G39" s="14">
        <f t="shared" si="0"/>
        <v>1.3299999999999999E-2</v>
      </c>
      <c r="H39" s="15"/>
      <c r="J39" s="14" t="s">
        <v>64</v>
      </c>
      <c r="K39" s="48">
        <f>+SUMIFS($G$5:$G$997,$B$5:$B$997,"CBLO / Reverse Repo Investments")+SUMIFS($G$5:$G$997,$B$5:$B$997,"Net Receivable/Payable")</f>
        <v>4.19E-2</v>
      </c>
      <c r="M39" s="14"/>
    </row>
    <row r="40" spans="1:15" ht="12.75" customHeight="1" x14ac:dyDescent="0.2">
      <c r="A40">
        <f>+MAX($A$8:A39)+1</f>
        <v>32</v>
      </c>
      <c r="B40" t="s">
        <v>430</v>
      </c>
      <c r="C40" t="s">
        <v>68</v>
      </c>
      <c r="D40" t="s">
        <v>22</v>
      </c>
      <c r="E40" s="28">
        <v>136679</v>
      </c>
      <c r="F40" s="13">
        <v>792.60152099999993</v>
      </c>
      <c r="G40" s="14">
        <f t="shared" si="0"/>
        <v>1.2999999999999999E-2</v>
      </c>
      <c r="H40" s="15"/>
      <c r="L40" s="54"/>
    </row>
    <row r="41" spans="1:15" ht="12.75" customHeight="1" x14ac:dyDescent="0.2">
      <c r="A41">
        <f>+MAX($A$8:A40)+1</f>
        <v>33</v>
      </c>
      <c r="B41" t="s">
        <v>549</v>
      </c>
      <c r="C41" t="s">
        <v>475</v>
      </c>
      <c r="D41" t="s">
        <v>22</v>
      </c>
      <c r="E41" s="28">
        <v>204217</v>
      </c>
      <c r="F41" s="13">
        <v>767.44748599999991</v>
      </c>
      <c r="G41" s="14">
        <f t="shared" ref="G41:G71" si="2">+ROUND(F41/VLOOKUP("Grand Total",$B$4:$F$284,5,0),4)</f>
        <v>1.26E-2</v>
      </c>
      <c r="H41" s="15"/>
    </row>
    <row r="42" spans="1:15" ht="12.75" customHeight="1" x14ac:dyDescent="0.2">
      <c r="A42">
        <f>+MAX($A$8:A41)+1</f>
        <v>34</v>
      </c>
      <c r="B42" t="s">
        <v>220</v>
      </c>
      <c r="C42" t="s">
        <v>63</v>
      </c>
      <c r="D42" t="s">
        <v>36</v>
      </c>
      <c r="E42" s="28">
        <v>169704</v>
      </c>
      <c r="F42" s="13">
        <v>753.31605599999989</v>
      </c>
      <c r="G42" s="14">
        <f t="shared" si="2"/>
        <v>1.23E-2</v>
      </c>
      <c r="H42" s="15"/>
    </row>
    <row r="43" spans="1:15" ht="12.75" customHeight="1" x14ac:dyDescent="0.2">
      <c r="A43">
        <f>+MAX($A$8:A42)+1</f>
        <v>35</v>
      </c>
      <c r="B43" t="s">
        <v>573</v>
      </c>
      <c r="C43" t="s">
        <v>574</v>
      </c>
      <c r="D43" t="s">
        <v>134</v>
      </c>
      <c r="E43" s="28">
        <v>156849</v>
      </c>
      <c r="F43" s="13">
        <v>753.1104734999999</v>
      </c>
      <c r="G43" s="14">
        <f t="shared" si="2"/>
        <v>1.23E-2</v>
      </c>
      <c r="H43" s="15"/>
    </row>
    <row r="44" spans="1:15" ht="12.75" customHeight="1" x14ac:dyDescent="0.2">
      <c r="A44">
        <f>+MAX($A$8:A43)+1</f>
        <v>36</v>
      </c>
      <c r="B44" t="s">
        <v>211</v>
      </c>
      <c r="C44" t="s">
        <v>74</v>
      </c>
      <c r="D44" t="s">
        <v>495</v>
      </c>
      <c r="E44" s="28">
        <v>524907</v>
      </c>
      <c r="F44" s="13">
        <v>725.4214740000001</v>
      </c>
      <c r="G44" s="14">
        <f t="shared" si="2"/>
        <v>1.1900000000000001E-2</v>
      </c>
      <c r="H44" s="15"/>
    </row>
    <row r="45" spans="1:15" ht="12.75" customHeight="1" x14ac:dyDescent="0.2">
      <c r="A45">
        <f>+MAX($A$8:A44)+1</f>
        <v>37</v>
      </c>
      <c r="B45" t="s">
        <v>615</v>
      </c>
      <c r="C45" t="s">
        <v>405</v>
      </c>
      <c r="D45" t="s">
        <v>10</v>
      </c>
      <c r="E45" s="28">
        <v>623711</v>
      </c>
      <c r="F45" s="13">
        <v>691.69549900000004</v>
      </c>
      <c r="G45" s="14">
        <f t="shared" si="2"/>
        <v>1.1299999999999999E-2</v>
      </c>
      <c r="H45" s="15"/>
    </row>
    <row r="46" spans="1:15" ht="12.75" customHeight="1" x14ac:dyDescent="0.2">
      <c r="A46">
        <f>+MAX($A$8:A45)+1</f>
        <v>38</v>
      </c>
      <c r="B46" t="s">
        <v>40</v>
      </c>
      <c r="C46" t="s">
        <v>42</v>
      </c>
      <c r="D46" t="s">
        <v>10</v>
      </c>
      <c r="E46" s="28">
        <v>434753</v>
      </c>
      <c r="F46" s="13">
        <v>681.69270400000005</v>
      </c>
      <c r="G46" s="14">
        <f t="shared" si="2"/>
        <v>1.12E-2</v>
      </c>
      <c r="H46" s="15"/>
    </row>
    <row r="47" spans="1:15" ht="12.75" customHeight="1" x14ac:dyDescent="0.2">
      <c r="A47">
        <f>+MAX($A$8:A46)+1</f>
        <v>39</v>
      </c>
      <c r="B47" t="s">
        <v>338</v>
      </c>
      <c r="C47" t="s">
        <v>339</v>
      </c>
      <c r="D47" t="s">
        <v>18</v>
      </c>
      <c r="E47" s="28">
        <v>60299</v>
      </c>
      <c r="F47" s="13">
        <v>680.05212200000005</v>
      </c>
      <c r="G47" s="14">
        <f t="shared" si="2"/>
        <v>1.11E-2</v>
      </c>
      <c r="H47" s="15"/>
    </row>
    <row r="48" spans="1:15" ht="12.75" customHeight="1" x14ac:dyDescent="0.2">
      <c r="A48">
        <f>+MAX($A$8:A47)+1</f>
        <v>40</v>
      </c>
      <c r="B48" t="s">
        <v>496</v>
      </c>
      <c r="C48" t="s">
        <v>497</v>
      </c>
      <c r="D48" t="s">
        <v>43</v>
      </c>
      <c r="E48" s="28">
        <v>63940</v>
      </c>
      <c r="F48" s="13">
        <v>671.17818</v>
      </c>
      <c r="G48" s="14">
        <f t="shared" si="2"/>
        <v>1.0999999999999999E-2</v>
      </c>
      <c r="H48" s="15"/>
    </row>
    <row r="49" spans="1:11" ht="12.75" customHeight="1" x14ac:dyDescent="0.2">
      <c r="A49">
        <f>+MAX($A$8:A48)+1</f>
        <v>41</v>
      </c>
      <c r="B49" t="s">
        <v>498</v>
      </c>
      <c r="C49" t="s">
        <v>499</v>
      </c>
      <c r="D49" t="s">
        <v>24</v>
      </c>
      <c r="E49" s="28">
        <v>48012</v>
      </c>
      <c r="F49" s="13">
        <v>662.44556999999998</v>
      </c>
      <c r="G49" s="14">
        <f t="shared" si="2"/>
        <v>1.0800000000000001E-2</v>
      </c>
      <c r="H49" s="15"/>
    </row>
    <row r="50" spans="1:11" ht="12.75" customHeight="1" x14ac:dyDescent="0.2">
      <c r="A50">
        <f>+MAX($A$8:A49)+1</f>
        <v>42</v>
      </c>
      <c r="B50" t="s">
        <v>587</v>
      </c>
      <c r="C50" t="s">
        <v>588</v>
      </c>
      <c r="D50" t="s">
        <v>26</v>
      </c>
      <c r="E50" s="28">
        <v>9944</v>
      </c>
      <c r="F50" s="13">
        <v>660.54511600000001</v>
      </c>
      <c r="G50" s="14">
        <f t="shared" si="2"/>
        <v>1.0800000000000001E-2</v>
      </c>
      <c r="H50" s="15"/>
    </row>
    <row r="51" spans="1:11" ht="12.75" customHeight="1" x14ac:dyDescent="0.2">
      <c r="A51">
        <f>+MAX($A$8:A50)+1</f>
        <v>43</v>
      </c>
      <c r="B51" t="s">
        <v>230</v>
      </c>
      <c r="C51" t="s">
        <v>81</v>
      </c>
      <c r="D51" t="s">
        <v>45</v>
      </c>
      <c r="E51" s="28">
        <v>200927</v>
      </c>
      <c r="F51" s="13">
        <v>623.37601749999999</v>
      </c>
      <c r="G51" s="14">
        <f t="shared" si="2"/>
        <v>1.0200000000000001E-2</v>
      </c>
      <c r="H51" s="15"/>
    </row>
    <row r="52" spans="1:11" ht="12.75" customHeight="1" x14ac:dyDescent="0.2">
      <c r="A52">
        <f>+MAX($A$8:A51)+1</f>
        <v>44</v>
      </c>
      <c r="B52" t="s">
        <v>204</v>
      </c>
      <c r="C52" t="s">
        <v>53</v>
      </c>
      <c r="D52" t="s">
        <v>18</v>
      </c>
      <c r="E52" s="28">
        <v>13982</v>
      </c>
      <c r="F52" s="13">
        <v>612.69123999999999</v>
      </c>
      <c r="G52" s="14">
        <f t="shared" si="2"/>
        <v>0.01</v>
      </c>
      <c r="H52" s="15"/>
    </row>
    <row r="53" spans="1:11" ht="12.75" customHeight="1" x14ac:dyDescent="0.2">
      <c r="A53">
        <f>+MAX($A$8:A52)+1</f>
        <v>45</v>
      </c>
      <c r="B53" t="s">
        <v>251</v>
      </c>
      <c r="C53" t="s">
        <v>548</v>
      </c>
      <c r="D53" t="s">
        <v>10</v>
      </c>
      <c r="E53" s="28">
        <v>168180</v>
      </c>
      <c r="F53" s="13">
        <v>596.02991999999995</v>
      </c>
      <c r="G53" s="14">
        <f t="shared" si="2"/>
        <v>9.7999999999999997E-3</v>
      </c>
      <c r="H53" s="15"/>
    </row>
    <row r="54" spans="1:11" ht="12.75" customHeight="1" x14ac:dyDescent="0.2">
      <c r="A54">
        <f>+MAX($A$8:A53)+1</f>
        <v>46</v>
      </c>
      <c r="B54" s="65" t="s">
        <v>207</v>
      </c>
      <c r="C54" s="65" t="s">
        <v>33</v>
      </c>
      <c r="D54" t="s">
        <v>18</v>
      </c>
      <c r="E54" s="28">
        <v>53292</v>
      </c>
      <c r="F54" s="13">
        <v>594.15250800000001</v>
      </c>
      <c r="G54" s="14">
        <f t="shared" si="2"/>
        <v>9.7000000000000003E-3</v>
      </c>
      <c r="H54" s="15"/>
    </row>
    <row r="55" spans="1:11" ht="12.75" customHeight="1" x14ac:dyDescent="0.2">
      <c r="A55">
        <f>+MAX($A$8:A54)+1</f>
        <v>47</v>
      </c>
      <c r="B55" t="s">
        <v>205</v>
      </c>
      <c r="C55" t="s">
        <v>50</v>
      </c>
      <c r="D55" t="s">
        <v>22</v>
      </c>
      <c r="E55" s="28">
        <v>10546</v>
      </c>
      <c r="F55" s="13">
        <v>593.21777299999997</v>
      </c>
      <c r="G55" s="14">
        <f t="shared" si="2"/>
        <v>9.7000000000000003E-3</v>
      </c>
      <c r="H55" s="15"/>
    </row>
    <row r="56" spans="1:11" ht="12.75" customHeight="1" x14ac:dyDescent="0.2">
      <c r="A56">
        <f>+MAX($A$8:A55)+1</f>
        <v>48</v>
      </c>
      <c r="B56" t="s">
        <v>277</v>
      </c>
      <c r="C56" t="s">
        <v>147</v>
      </c>
      <c r="D56" t="s">
        <v>41</v>
      </c>
      <c r="E56" s="28">
        <v>75000</v>
      </c>
      <c r="F56" s="13">
        <v>584.17499999999995</v>
      </c>
      <c r="G56" s="14">
        <f t="shared" si="2"/>
        <v>9.5999999999999992E-3</v>
      </c>
      <c r="H56" s="15"/>
    </row>
    <row r="57" spans="1:11" ht="12.75" customHeight="1" x14ac:dyDescent="0.2">
      <c r="A57">
        <f>+MAX($A$8:A56)+1</f>
        <v>49</v>
      </c>
      <c r="B57" t="s">
        <v>217</v>
      </c>
      <c r="C57" t="s">
        <v>29</v>
      </c>
      <c r="D57" t="s">
        <v>10</v>
      </c>
      <c r="E57" s="28">
        <v>97342</v>
      </c>
      <c r="F57" s="13">
        <v>577.82211200000006</v>
      </c>
      <c r="G57" s="14">
        <f t="shared" si="2"/>
        <v>9.4999999999999998E-3</v>
      </c>
      <c r="H57" s="15"/>
      <c r="J57" s="14"/>
      <c r="K57" s="48"/>
    </row>
    <row r="58" spans="1:11" ht="12.75" customHeight="1" x14ac:dyDescent="0.2">
      <c r="A58">
        <f>+MAX($A$8:A57)+1</f>
        <v>50</v>
      </c>
      <c r="B58" t="s">
        <v>200</v>
      </c>
      <c r="C58" t="s">
        <v>35</v>
      </c>
      <c r="D58" t="s">
        <v>18</v>
      </c>
      <c r="E58" s="28">
        <v>40937</v>
      </c>
      <c r="F58" s="13">
        <v>568.30790249999995</v>
      </c>
      <c r="G58" s="14">
        <f t="shared" si="2"/>
        <v>9.2999999999999992E-3</v>
      </c>
      <c r="H58" s="15"/>
    </row>
    <row r="59" spans="1:11" ht="12.75" customHeight="1" x14ac:dyDescent="0.2">
      <c r="A59">
        <f>+MAX($A$8:A58)+1</f>
        <v>51</v>
      </c>
      <c r="B59" t="s">
        <v>310</v>
      </c>
      <c r="C59" t="s">
        <v>67</v>
      </c>
      <c r="D59" t="s">
        <v>18</v>
      </c>
      <c r="E59" s="28">
        <v>328159</v>
      </c>
      <c r="F59" s="13">
        <v>551.79935850000004</v>
      </c>
      <c r="G59" s="14">
        <f t="shared" si="2"/>
        <v>8.9999999999999993E-3</v>
      </c>
      <c r="H59" s="15"/>
    </row>
    <row r="60" spans="1:11" ht="12.75" customHeight="1" x14ac:dyDescent="0.2">
      <c r="A60">
        <f>+MAX($A$8:A59)+1</f>
        <v>52</v>
      </c>
      <c r="B60" t="s">
        <v>554</v>
      </c>
      <c r="C60" t="s">
        <v>555</v>
      </c>
      <c r="D60" t="s">
        <v>10</v>
      </c>
      <c r="E60" s="28">
        <v>853115</v>
      </c>
      <c r="F60" s="13">
        <v>544.71392749999995</v>
      </c>
      <c r="G60" s="14">
        <f t="shared" si="2"/>
        <v>8.8999999999999999E-3</v>
      </c>
      <c r="H60" s="15"/>
    </row>
    <row r="61" spans="1:11" ht="12.75" customHeight="1" x14ac:dyDescent="0.2">
      <c r="A61">
        <f>+MAX($A$8:A60)+1</f>
        <v>53</v>
      </c>
      <c r="B61" t="s">
        <v>214</v>
      </c>
      <c r="C61" t="s">
        <v>65</v>
      </c>
      <c r="D61" t="s">
        <v>34</v>
      </c>
      <c r="E61" s="28">
        <v>122695</v>
      </c>
      <c r="F61" s="13">
        <v>539.67395750000003</v>
      </c>
      <c r="G61" s="14">
        <f t="shared" si="2"/>
        <v>8.8000000000000005E-3</v>
      </c>
      <c r="H61" s="15"/>
    </row>
    <row r="62" spans="1:11" ht="12.75" customHeight="1" x14ac:dyDescent="0.2">
      <c r="A62">
        <f>+MAX($A$8:A61)+1</f>
        <v>54</v>
      </c>
      <c r="B62" t="s">
        <v>318</v>
      </c>
      <c r="C62" t="s">
        <v>72</v>
      </c>
      <c r="D62" t="s">
        <v>28</v>
      </c>
      <c r="E62" s="28">
        <v>1365791</v>
      </c>
      <c r="F62" s="13">
        <v>536.75586299999998</v>
      </c>
      <c r="G62" s="14">
        <f t="shared" si="2"/>
        <v>8.8000000000000005E-3</v>
      </c>
      <c r="H62" s="15"/>
    </row>
    <row r="63" spans="1:11" ht="12.75" customHeight="1" x14ac:dyDescent="0.2">
      <c r="A63">
        <f>+MAX($A$8:A62)+1</f>
        <v>55</v>
      </c>
      <c r="B63" t="s">
        <v>166</v>
      </c>
      <c r="C63" t="s">
        <v>181</v>
      </c>
      <c r="D63" t="s">
        <v>10</v>
      </c>
      <c r="E63" s="28">
        <v>154999</v>
      </c>
      <c r="F63" s="13">
        <v>529.08908650000001</v>
      </c>
      <c r="G63" s="14">
        <f t="shared" si="2"/>
        <v>8.6999999999999994E-3</v>
      </c>
      <c r="H63" s="15"/>
    </row>
    <row r="64" spans="1:11" ht="12.75" customHeight="1" x14ac:dyDescent="0.2">
      <c r="A64">
        <f>+MAX($A$8:A63)+1</f>
        <v>56</v>
      </c>
      <c r="B64" t="s">
        <v>320</v>
      </c>
      <c r="C64" t="s">
        <v>321</v>
      </c>
      <c r="D64" t="s">
        <v>10</v>
      </c>
      <c r="E64" s="28">
        <v>323668</v>
      </c>
      <c r="F64" s="13">
        <v>513.66111599999999</v>
      </c>
      <c r="G64" s="14">
        <f t="shared" si="2"/>
        <v>8.3999999999999995E-3</v>
      </c>
      <c r="H64" s="15"/>
    </row>
    <row r="65" spans="1:9" ht="12.75" customHeight="1" x14ac:dyDescent="0.2">
      <c r="A65">
        <f>+MAX($A$8:A64)+1</f>
        <v>57</v>
      </c>
      <c r="B65" s="65" t="s">
        <v>199</v>
      </c>
      <c r="C65" t="s">
        <v>23</v>
      </c>
      <c r="D65" t="s">
        <v>495</v>
      </c>
      <c r="E65" s="28">
        <v>149155</v>
      </c>
      <c r="F65" s="13">
        <v>493.10642999999999</v>
      </c>
      <c r="G65" s="14">
        <f t="shared" si="2"/>
        <v>8.0999999999999996E-3</v>
      </c>
      <c r="H65" s="15"/>
    </row>
    <row r="66" spans="1:9" ht="12.75" customHeight="1" x14ac:dyDescent="0.2">
      <c r="A66">
        <f>+MAX($A$8:A65)+1</f>
        <v>58</v>
      </c>
      <c r="B66" s="65" t="s">
        <v>552</v>
      </c>
      <c r="C66" t="s">
        <v>553</v>
      </c>
      <c r="D66" t="s">
        <v>45</v>
      </c>
      <c r="E66" s="28">
        <v>654548</v>
      </c>
      <c r="F66" s="13">
        <v>492.87464399999999</v>
      </c>
      <c r="G66" s="14">
        <f t="shared" si="2"/>
        <v>8.0999999999999996E-3</v>
      </c>
      <c r="H66" s="15"/>
    </row>
    <row r="67" spans="1:9" ht="12.75" customHeight="1" x14ac:dyDescent="0.2">
      <c r="A67">
        <f>+MAX($A$8:A66)+1</f>
        <v>59</v>
      </c>
      <c r="B67" s="65" t="s">
        <v>616</v>
      </c>
      <c r="C67" t="s">
        <v>617</v>
      </c>
      <c r="D67" t="s">
        <v>10</v>
      </c>
      <c r="E67" s="28">
        <v>666967</v>
      </c>
      <c r="F67" s="13">
        <v>483.88455850000003</v>
      </c>
      <c r="G67" s="14">
        <f t="shared" si="2"/>
        <v>7.9000000000000008E-3</v>
      </c>
      <c r="H67" s="15"/>
    </row>
    <row r="68" spans="1:9" ht="12.75" customHeight="1" x14ac:dyDescent="0.2">
      <c r="A68">
        <f>+MAX($A$8:A67)+1</f>
        <v>60</v>
      </c>
      <c r="B68" s="65" t="s">
        <v>223</v>
      </c>
      <c r="C68" t="s">
        <v>70</v>
      </c>
      <c r="D68" t="s">
        <v>10</v>
      </c>
      <c r="E68" s="28">
        <v>451878</v>
      </c>
      <c r="F68" s="13">
        <v>453.911451</v>
      </c>
      <c r="G68" s="14">
        <f t="shared" si="2"/>
        <v>7.4000000000000003E-3</v>
      </c>
      <c r="H68" s="15"/>
    </row>
    <row r="69" spans="1:9" ht="12.75" customHeight="1" x14ac:dyDescent="0.2">
      <c r="A69">
        <f>+MAX($A$8:A68)+1</f>
        <v>61</v>
      </c>
      <c r="B69" s="65" t="s">
        <v>219</v>
      </c>
      <c r="C69" t="s">
        <v>75</v>
      </c>
      <c r="D69" t="s">
        <v>36</v>
      </c>
      <c r="E69" s="28">
        <v>3622594</v>
      </c>
      <c r="F69" s="13">
        <v>260.82676800000002</v>
      </c>
      <c r="G69" s="14">
        <f t="shared" si="2"/>
        <v>4.3E-3</v>
      </c>
      <c r="H69" s="15"/>
    </row>
    <row r="70" spans="1:9" ht="12.75" customHeight="1" x14ac:dyDescent="0.2">
      <c r="A70">
        <f>+MAX($A$8:A69)+1</f>
        <v>62</v>
      </c>
      <c r="B70" s="65" t="s">
        <v>431</v>
      </c>
      <c r="C70" t="s">
        <v>432</v>
      </c>
      <c r="D70" t="s">
        <v>433</v>
      </c>
      <c r="E70" s="28">
        <v>81066</v>
      </c>
      <c r="F70" s="13">
        <v>216.44622000000001</v>
      </c>
      <c r="G70" s="14">
        <f t="shared" si="2"/>
        <v>3.5000000000000001E-3</v>
      </c>
      <c r="H70" s="15"/>
    </row>
    <row r="71" spans="1:9" ht="12.75" customHeight="1" x14ac:dyDescent="0.2">
      <c r="A71">
        <f>+MAX($A$8:A70)+1</f>
        <v>63</v>
      </c>
      <c r="B71" s="65" t="s">
        <v>458</v>
      </c>
      <c r="C71" t="s">
        <v>83</v>
      </c>
      <c r="D71" t="s">
        <v>32</v>
      </c>
      <c r="E71" s="28">
        <v>100000</v>
      </c>
      <c r="F71" s="13">
        <v>5.54</v>
      </c>
      <c r="G71" s="14">
        <f t="shared" si="2"/>
        <v>1E-4</v>
      </c>
      <c r="H71" s="15"/>
    </row>
    <row r="72" spans="1:9" ht="12.75" customHeight="1" x14ac:dyDescent="0.2">
      <c r="A72">
        <f>+MAX($A$8:A71)+1</f>
        <v>64</v>
      </c>
      <c r="B72" s="65" t="s">
        <v>575</v>
      </c>
      <c r="C72" t="s">
        <v>84</v>
      </c>
      <c r="D72" t="s">
        <v>102</v>
      </c>
      <c r="E72" s="28">
        <v>511578</v>
      </c>
      <c r="F72" s="13">
        <v>0</v>
      </c>
      <c r="G72" s="108" t="s">
        <v>546</v>
      </c>
      <c r="H72" s="15"/>
    </row>
    <row r="73" spans="1:9" ht="12.75" customHeight="1" x14ac:dyDescent="0.2">
      <c r="B73" s="18" t="s">
        <v>85</v>
      </c>
      <c r="C73" s="18"/>
      <c r="D73" s="18"/>
      <c r="E73" s="29"/>
      <c r="F73" s="19">
        <f>SUM(F9:F72)</f>
        <v>57918.684773500005</v>
      </c>
      <c r="G73" s="20">
        <f>SUM(G9:G72)</f>
        <v>0.94779999999999986</v>
      </c>
      <c r="H73" s="21"/>
      <c r="I73" s="35"/>
    </row>
    <row r="74" spans="1:9" ht="12.75" customHeight="1" x14ac:dyDescent="0.2">
      <c r="F74" s="13"/>
      <c r="G74" s="14"/>
      <c r="H74" s="15"/>
    </row>
    <row r="75" spans="1:9" ht="12.75" customHeight="1" x14ac:dyDescent="0.2">
      <c r="B75" s="16" t="s">
        <v>304</v>
      </c>
      <c r="C75" s="16"/>
      <c r="F75" s="13"/>
      <c r="G75" s="14"/>
      <c r="H75" s="15"/>
    </row>
    <row r="76" spans="1:9" ht="12.75" customHeight="1" x14ac:dyDescent="0.2">
      <c r="A76">
        <f>+MAX($A$8:A75)+1</f>
        <v>65</v>
      </c>
      <c r="B76" t="s">
        <v>234</v>
      </c>
      <c r="C76" s="123" t="s">
        <v>724</v>
      </c>
      <c r="D76" t="s">
        <v>58</v>
      </c>
      <c r="E76" s="28">
        <v>54000</v>
      </c>
      <c r="F76" s="13">
        <v>0</v>
      </c>
      <c r="G76" s="108" t="s">
        <v>546</v>
      </c>
      <c r="H76" s="15"/>
    </row>
    <row r="77" spans="1:9" ht="12.75" customHeight="1" x14ac:dyDescent="0.2">
      <c r="A77">
        <f>+MAX($A$8:A76)+1</f>
        <v>66</v>
      </c>
      <c r="B77" t="s">
        <v>232</v>
      </c>
      <c r="C77" s="65" t="s">
        <v>86</v>
      </c>
      <c r="D77" s="65" t="s">
        <v>54</v>
      </c>
      <c r="E77" s="28">
        <v>200000</v>
      </c>
      <c r="F77" s="13">
        <v>0</v>
      </c>
      <c r="G77" s="108" t="s">
        <v>546</v>
      </c>
      <c r="H77" s="15"/>
    </row>
    <row r="78" spans="1:9" ht="12.75" customHeight="1" x14ac:dyDescent="0.2">
      <c r="A78">
        <f>+MAX($A$8:A77)+1</f>
        <v>67</v>
      </c>
      <c r="B78" t="s">
        <v>238</v>
      </c>
      <c r="C78" s="65" t="s">
        <v>90</v>
      </c>
      <c r="D78" s="65" t="s">
        <v>429</v>
      </c>
      <c r="E78" s="28">
        <v>176305</v>
      </c>
      <c r="F78" s="13">
        <v>0</v>
      </c>
      <c r="G78" s="108" t="s">
        <v>546</v>
      </c>
      <c r="H78" s="15"/>
    </row>
    <row r="79" spans="1:9" ht="12.75" customHeight="1" x14ac:dyDescent="0.2">
      <c r="A79">
        <f>+MAX($A$8:A78)+1</f>
        <v>68</v>
      </c>
      <c r="B79" t="s">
        <v>233</v>
      </c>
      <c r="C79" s="123" t="s">
        <v>724</v>
      </c>
      <c r="D79" s="1" t="s">
        <v>56</v>
      </c>
      <c r="E79" s="28">
        <v>93200</v>
      </c>
      <c r="F79" s="13">
        <v>0</v>
      </c>
      <c r="G79" s="108" t="s">
        <v>546</v>
      </c>
      <c r="H79" s="15"/>
    </row>
    <row r="80" spans="1:9" ht="12.75" customHeight="1" x14ac:dyDescent="0.2">
      <c r="A80">
        <f>+MAX($A$8:A79)+1</f>
        <v>69</v>
      </c>
      <c r="B80" t="s">
        <v>237</v>
      </c>
      <c r="C80" t="s">
        <v>89</v>
      </c>
      <c r="D80" s="1" t="s">
        <v>38</v>
      </c>
      <c r="E80" s="28">
        <v>200</v>
      </c>
      <c r="F80" s="13">
        <v>0</v>
      </c>
      <c r="G80" s="108" t="s">
        <v>546</v>
      </c>
      <c r="H80" s="15"/>
    </row>
    <row r="81" spans="1:9" ht="12.75" customHeight="1" x14ac:dyDescent="0.2">
      <c r="A81">
        <f>+MAX($A$8:A80)+1</f>
        <v>70</v>
      </c>
      <c r="B81" t="s">
        <v>236</v>
      </c>
      <c r="C81" s="65" t="s">
        <v>88</v>
      </c>
      <c r="D81" s="1" t="s">
        <v>62</v>
      </c>
      <c r="E81" s="28">
        <v>39500</v>
      </c>
      <c r="F81" s="13">
        <v>0</v>
      </c>
      <c r="G81" s="108" t="s">
        <v>546</v>
      </c>
      <c r="H81" s="15"/>
    </row>
    <row r="82" spans="1:9" ht="12.75" customHeight="1" x14ac:dyDescent="0.2">
      <c r="A82">
        <f>+MAX($A$8:A81)+1</f>
        <v>71</v>
      </c>
      <c r="B82" t="s">
        <v>235</v>
      </c>
      <c r="C82" t="s">
        <v>87</v>
      </c>
      <c r="D82" s="1" t="s">
        <v>60</v>
      </c>
      <c r="E82" s="28">
        <v>50800</v>
      </c>
      <c r="F82" s="13">
        <v>0</v>
      </c>
      <c r="G82" s="108" t="s">
        <v>546</v>
      </c>
      <c r="H82" s="15"/>
    </row>
    <row r="83" spans="1:9" ht="12.75" customHeight="1" x14ac:dyDescent="0.2">
      <c r="B83" s="18" t="s">
        <v>85</v>
      </c>
      <c r="C83" s="18"/>
      <c r="D83" s="18"/>
      <c r="E83" s="29"/>
      <c r="F83" s="19">
        <f>SUM(F76:F82)</f>
        <v>0</v>
      </c>
      <c r="G83" s="51" t="s">
        <v>546</v>
      </c>
      <c r="H83" s="21"/>
      <c r="I83" s="35"/>
    </row>
    <row r="84" spans="1:9" ht="12.75" customHeight="1" x14ac:dyDescent="0.2">
      <c r="F84" s="13"/>
      <c r="G84" s="14"/>
      <c r="H84" s="15"/>
    </row>
    <row r="85" spans="1:9" ht="12.75" customHeight="1" x14ac:dyDescent="0.2">
      <c r="B85" s="16" t="s">
        <v>92</v>
      </c>
      <c r="C85" s="16"/>
      <c r="F85" s="13"/>
      <c r="G85" s="14"/>
      <c r="H85" s="15"/>
    </row>
    <row r="86" spans="1:9" ht="12.75" customHeight="1" x14ac:dyDescent="0.2">
      <c r="A86">
        <f>+MAX($A$8:A85)+1</f>
        <v>72</v>
      </c>
      <c r="B86" t="s">
        <v>456</v>
      </c>
      <c r="C86" s="65" t="s">
        <v>299</v>
      </c>
      <c r="D86" t="s">
        <v>319</v>
      </c>
      <c r="E86" s="28">
        <v>2014991.537</v>
      </c>
      <c r="F86" s="13">
        <v>629.21737729999995</v>
      </c>
      <c r="G86" s="14">
        <f>+ROUND(F86/VLOOKUP("Grand Total",$B$4:$F$284,5,0),4)</f>
        <v>1.03E-2</v>
      </c>
      <c r="H86" s="15"/>
    </row>
    <row r="87" spans="1:9" ht="12.75" customHeight="1" x14ac:dyDescent="0.2">
      <c r="B87" s="18" t="s">
        <v>85</v>
      </c>
      <c r="C87" s="18"/>
      <c r="D87" s="18"/>
      <c r="E87" s="29"/>
      <c r="F87" s="19">
        <f>SUM(F86:F86)</f>
        <v>629.21737729999995</v>
      </c>
      <c r="G87" s="51">
        <f>SUM(G86:G86)</f>
        <v>1.03E-2</v>
      </c>
      <c r="H87" s="21"/>
      <c r="I87" s="35"/>
    </row>
    <row r="88" spans="1:9" ht="12.75" customHeight="1" x14ac:dyDescent="0.2">
      <c r="F88" s="13"/>
      <c r="G88" s="14"/>
      <c r="H88" s="15"/>
    </row>
    <row r="89" spans="1:9" ht="12.75" customHeight="1" x14ac:dyDescent="0.2">
      <c r="A89" s="95" t="s">
        <v>370</v>
      </c>
      <c r="B89" s="16" t="s">
        <v>93</v>
      </c>
      <c r="C89" s="16"/>
      <c r="F89" s="13">
        <v>2532.6195899999998</v>
      </c>
      <c r="G89" s="14">
        <f>+ROUND(F89/VLOOKUP("Grand Total",$B$4:$F$284,5,0),4)</f>
        <v>4.1399999999999999E-2</v>
      </c>
      <c r="H89" s="15">
        <v>43132</v>
      </c>
    </row>
    <row r="90" spans="1:9" ht="12.75" customHeight="1" x14ac:dyDescent="0.2">
      <c r="B90" s="18" t="s">
        <v>85</v>
      </c>
      <c r="C90" s="18"/>
      <c r="D90" s="18"/>
      <c r="E90" s="29"/>
      <c r="F90" s="19">
        <f>SUM(F89)</f>
        <v>2532.6195899999998</v>
      </c>
      <c r="G90" s="20">
        <f>SUM(G89)</f>
        <v>4.1399999999999999E-2</v>
      </c>
      <c r="H90" s="21"/>
      <c r="I90" s="35"/>
    </row>
    <row r="91" spans="1:9" ht="12.75" customHeight="1" x14ac:dyDescent="0.2">
      <c r="F91" s="13"/>
      <c r="G91" s="14"/>
      <c r="H91" s="15"/>
    </row>
    <row r="92" spans="1:9" ht="12.75" customHeight="1" x14ac:dyDescent="0.2">
      <c r="B92" s="16" t="s">
        <v>94</v>
      </c>
      <c r="C92" s="16"/>
      <c r="F92" s="13"/>
      <c r="G92" s="14"/>
      <c r="H92" s="15"/>
    </row>
    <row r="93" spans="1:9" ht="12.75" customHeight="1" x14ac:dyDescent="0.2">
      <c r="B93" s="16" t="s">
        <v>95</v>
      </c>
      <c r="C93" s="16"/>
      <c r="F93" s="13">
        <v>46.516034199994465</v>
      </c>
      <c r="G93" s="14">
        <f>+ROUND(F93/VLOOKUP("Grand Total",$B$4:$F$284,5,0),4)-0.03%</f>
        <v>5.0000000000000001E-4</v>
      </c>
      <c r="H93" s="15"/>
    </row>
    <row r="94" spans="1:9" ht="12.75" customHeight="1" x14ac:dyDescent="0.2">
      <c r="B94" s="18" t="s">
        <v>85</v>
      </c>
      <c r="C94" s="18"/>
      <c r="D94" s="18"/>
      <c r="E94" s="29"/>
      <c r="F94" s="19">
        <f>SUM(F93)</f>
        <v>46.516034199994465</v>
      </c>
      <c r="G94" s="20">
        <f>SUM(G93)</f>
        <v>5.0000000000000001E-4</v>
      </c>
      <c r="H94" s="21"/>
      <c r="I94" s="35"/>
    </row>
    <row r="95" spans="1:9" ht="12.75" customHeight="1" x14ac:dyDescent="0.2">
      <c r="B95" s="22" t="s">
        <v>96</v>
      </c>
      <c r="C95" s="22"/>
      <c r="D95" s="22"/>
      <c r="E95" s="30"/>
      <c r="F95" s="23">
        <f>+SUMIF($B$5:B94,"Total",$F$5:F94)</f>
        <v>61127.037775000004</v>
      </c>
      <c r="G95" s="24">
        <f>+SUMIF($B$5:B94,"Total",$G$5:G94)</f>
        <v>0.99999999999999978</v>
      </c>
      <c r="H95" s="25"/>
      <c r="I95" s="35"/>
    </row>
    <row r="96" spans="1:9" ht="12.75" customHeight="1" x14ac:dyDescent="0.2"/>
    <row r="97" spans="2:7" ht="12.75" customHeight="1" x14ac:dyDescent="0.2">
      <c r="B97" s="16" t="s">
        <v>186</v>
      </c>
      <c r="C97" s="16"/>
    </row>
    <row r="98" spans="2:7" ht="12.75" customHeight="1" x14ac:dyDescent="0.2">
      <c r="B98" s="16" t="s">
        <v>187</v>
      </c>
      <c r="C98" s="16"/>
    </row>
    <row r="99" spans="2:7" ht="12.75" customHeight="1" x14ac:dyDescent="0.2">
      <c r="B99" s="16" t="s">
        <v>188</v>
      </c>
      <c r="C99" s="16"/>
      <c r="F99" s="43"/>
      <c r="G99" s="43"/>
    </row>
    <row r="100" spans="2:7" ht="12.75" customHeight="1" x14ac:dyDescent="0.2">
      <c r="B100" s="53" t="s">
        <v>307</v>
      </c>
      <c r="C100" s="16"/>
    </row>
    <row r="101" spans="2:7" ht="12.75" customHeight="1" x14ac:dyDescent="0.2"/>
    <row r="102" spans="2:7" ht="12.75" customHeight="1" x14ac:dyDescent="0.2"/>
    <row r="103" spans="2:7" ht="12.75" customHeight="1" x14ac:dyDescent="0.2"/>
    <row r="104" spans="2:7" ht="12.75" customHeight="1" x14ac:dyDescent="0.2"/>
    <row r="105" spans="2:7" ht="12.75" customHeight="1" x14ac:dyDescent="0.2"/>
    <row r="106" spans="2:7" ht="12.75" customHeight="1" x14ac:dyDescent="0.2"/>
    <row r="107" spans="2:7" ht="12.75" customHeight="1" x14ac:dyDescent="0.2"/>
    <row r="108" spans="2:7" ht="12.75" customHeight="1" x14ac:dyDescent="0.2"/>
    <row r="109" spans="2:7" ht="12.75" customHeight="1" x14ac:dyDescent="0.2"/>
    <row r="110" spans="2:7" ht="12.75" customHeight="1" x14ac:dyDescent="0.2"/>
    <row r="111" spans="2:7" ht="12.75" customHeight="1" x14ac:dyDescent="0.2"/>
    <row r="112" spans="2: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</sheetData>
  <sheetProtection password="EDB3" sheet="1" objects="1" scenarios="1"/>
  <sortState ref="J9:K36">
    <sortCondition descending="1" ref="K9:K3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10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7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380</v>
      </c>
      <c r="B1" s="127" t="s">
        <v>330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  <c r="I6" s="98"/>
    </row>
    <row r="7" spans="1:16" ht="12.75" customHeight="1" x14ac:dyDescent="0.2">
      <c r="B7" s="16" t="s">
        <v>91</v>
      </c>
      <c r="C7" s="16"/>
      <c r="F7" s="13"/>
      <c r="G7" s="14"/>
      <c r="H7" s="15"/>
    </row>
    <row r="8" spans="1:16" ht="12.75" customHeight="1" x14ac:dyDescent="0.2">
      <c r="B8" s="16" t="s">
        <v>726</v>
      </c>
      <c r="C8" s="16"/>
      <c r="F8" s="13"/>
      <c r="G8" s="14"/>
      <c r="H8" s="15"/>
      <c r="J8" s="17" t="s">
        <v>4</v>
      </c>
      <c r="K8" s="37" t="s">
        <v>12</v>
      </c>
      <c r="M8" s="14"/>
      <c r="N8" s="36"/>
      <c r="P8" s="14"/>
    </row>
    <row r="9" spans="1:16" ht="12.75" customHeight="1" x14ac:dyDescent="0.2">
      <c r="A9">
        <f>+MAX($A$1:A8)+1</f>
        <v>1</v>
      </c>
      <c r="B9" s="65" t="s">
        <v>241</v>
      </c>
      <c r="C9" s="65" t="s">
        <v>685</v>
      </c>
      <c r="D9" t="s">
        <v>161</v>
      </c>
      <c r="E9" s="28">
        <v>7500</v>
      </c>
      <c r="F9" s="13">
        <v>7308.7725</v>
      </c>
      <c r="G9" s="14">
        <f>+ROUND(F9/VLOOKUP("Grand Total",$B$4:$F$283,5,0),4)</f>
        <v>0.1066</v>
      </c>
      <c r="H9" s="15">
        <v>43263</v>
      </c>
      <c r="I9" s="99"/>
      <c r="J9" s="14" t="s">
        <v>161</v>
      </c>
      <c r="K9" s="48">
        <f t="shared" ref="K9:K25" si="0">SUMIFS($G$5:$G$316,$D$5:$D$316,J9)</f>
        <v>0.24099999999999999</v>
      </c>
      <c r="M9" s="14"/>
      <c r="N9" s="36"/>
      <c r="P9" s="14"/>
    </row>
    <row r="10" spans="1:16" ht="12.75" customHeight="1" x14ac:dyDescent="0.2">
      <c r="A10">
        <f>+MAX($A$1:A9)+1</f>
        <v>2</v>
      </c>
      <c r="B10" s="65" t="s">
        <v>217</v>
      </c>
      <c r="C10" s="65" t="s">
        <v>631</v>
      </c>
      <c r="D10" t="s">
        <v>161</v>
      </c>
      <c r="E10" s="28">
        <v>5000</v>
      </c>
      <c r="F10" s="13">
        <v>4885.5349999999999</v>
      </c>
      <c r="G10" s="14">
        <f>+ROUND(F10/VLOOKUP("Grand Total",$B$4:$F$283,5,0),4)</f>
        <v>7.1300000000000002E-2</v>
      </c>
      <c r="H10" s="15">
        <v>43250</v>
      </c>
      <c r="I10" s="99"/>
      <c r="J10" s="14" t="s">
        <v>362</v>
      </c>
      <c r="K10" s="48">
        <f t="shared" si="0"/>
        <v>0.12229999999999999</v>
      </c>
      <c r="M10" s="14"/>
      <c r="N10" s="36"/>
      <c r="P10" s="14"/>
    </row>
    <row r="11" spans="1:16" ht="12.75" customHeight="1" x14ac:dyDescent="0.2">
      <c r="A11">
        <f>+MAX($A$1:A10)+1</f>
        <v>3</v>
      </c>
      <c r="B11" s="65" t="s">
        <v>686</v>
      </c>
      <c r="C11" s="65" t="s">
        <v>632</v>
      </c>
      <c r="D11" t="s">
        <v>161</v>
      </c>
      <c r="E11" s="28">
        <v>4510</v>
      </c>
      <c r="F11" s="13">
        <v>4238.6648699999996</v>
      </c>
      <c r="G11" s="14">
        <f>+ROUND(F11/VLOOKUP("Grand Total",$B$4:$F$283,5,0),4)</f>
        <v>6.1800000000000001E-2</v>
      </c>
      <c r="H11" s="15">
        <v>43445</v>
      </c>
      <c r="I11" s="99"/>
      <c r="J11" s="14" t="s">
        <v>567</v>
      </c>
      <c r="K11" s="48">
        <f t="shared" si="0"/>
        <v>7.7899999999999997E-2</v>
      </c>
      <c r="M11" s="14"/>
      <c r="N11" s="36"/>
      <c r="P11" s="14"/>
    </row>
    <row r="12" spans="1:16" ht="12.75" customHeight="1" x14ac:dyDescent="0.2">
      <c r="B12" s="18" t="s">
        <v>85</v>
      </c>
      <c r="C12" s="18"/>
      <c r="D12" s="18"/>
      <c r="E12" s="29"/>
      <c r="F12" s="19">
        <f>SUM(F9:F11)</f>
        <v>16432.97237</v>
      </c>
      <c r="G12" s="20">
        <f>SUM(G9:G11)</f>
        <v>0.2397</v>
      </c>
      <c r="H12" s="21"/>
      <c r="J12" s="14" t="s">
        <v>108</v>
      </c>
      <c r="K12" s="48">
        <f t="shared" si="0"/>
        <v>7.2599999999999998E-2</v>
      </c>
      <c r="M12" s="14"/>
      <c r="N12" s="36"/>
      <c r="P12" s="14"/>
    </row>
    <row r="13" spans="1:16" ht="12.75" customHeight="1" x14ac:dyDescent="0.2">
      <c r="B13" s="16"/>
      <c r="C13" s="16"/>
      <c r="F13" s="13"/>
      <c r="G13" s="14"/>
      <c r="H13" s="15"/>
      <c r="J13" s="14" t="s">
        <v>292</v>
      </c>
      <c r="K13" s="48">
        <f t="shared" si="0"/>
        <v>6.9800000000000001E-2</v>
      </c>
      <c r="M13" s="14"/>
    </row>
    <row r="14" spans="1:16" ht="12.75" customHeight="1" x14ac:dyDescent="0.2">
      <c r="B14" s="16" t="s">
        <v>306</v>
      </c>
      <c r="C14" s="16"/>
      <c r="F14" s="13"/>
      <c r="G14" s="14"/>
      <c r="H14" s="15"/>
      <c r="J14" s="14" t="s">
        <v>366</v>
      </c>
      <c r="K14" s="48">
        <f t="shared" si="0"/>
        <v>6.0699999999999997E-2</v>
      </c>
      <c r="M14" s="14"/>
    </row>
    <row r="15" spans="1:16" ht="12.75" customHeight="1" x14ac:dyDescent="0.2">
      <c r="A15">
        <f>+MAX($A$1:A14)+1</f>
        <v>4</v>
      </c>
      <c r="B15" t="s">
        <v>566</v>
      </c>
      <c r="C15" t="s">
        <v>687</v>
      </c>
      <c r="D15" t="s">
        <v>567</v>
      </c>
      <c r="E15" s="28">
        <v>700</v>
      </c>
      <c r="F15" s="13">
        <v>3452.2914999999998</v>
      </c>
      <c r="G15" s="14">
        <f t="shared" ref="G15:G24" si="1">+ROUND(F15/VLOOKUP("Grand Total",$B$4:$F$283,5,0),4)</f>
        <v>5.04E-2</v>
      </c>
      <c r="H15" s="15">
        <v>43181</v>
      </c>
      <c r="I15" s="99"/>
      <c r="J15" s="14" t="s">
        <v>578</v>
      </c>
      <c r="K15" s="48">
        <f t="shared" si="0"/>
        <v>4.1399999999999992E-2</v>
      </c>
      <c r="M15" s="14"/>
    </row>
    <row r="16" spans="1:16" ht="12.75" customHeight="1" x14ac:dyDescent="0.2">
      <c r="A16">
        <f>+MAX($A$1:A15)+1</f>
        <v>5</v>
      </c>
      <c r="B16" t="s">
        <v>197</v>
      </c>
      <c r="C16" t="s">
        <v>564</v>
      </c>
      <c r="D16" t="s">
        <v>162</v>
      </c>
      <c r="E16" s="28">
        <v>500</v>
      </c>
      <c r="F16" s="13">
        <v>2409.7725</v>
      </c>
      <c r="G16" s="14">
        <f t="shared" si="1"/>
        <v>3.5099999999999999E-2</v>
      </c>
      <c r="H16" s="15">
        <v>43308</v>
      </c>
      <c r="I16" s="99"/>
      <c r="J16" s="14" t="s">
        <v>670</v>
      </c>
      <c r="K16" s="48">
        <f t="shared" si="0"/>
        <v>3.6499999999999998E-2</v>
      </c>
      <c r="M16" s="14"/>
      <c r="N16" s="36"/>
      <c r="O16" s="14"/>
    </row>
    <row r="17" spans="1:16" ht="12.75" customHeight="1" x14ac:dyDescent="0.2">
      <c r="A17">
        <f>+MAX($A$1:A16)+1</f>
        <v>6</v>
      </c>
      <c r="B17" t="s">
        <v>291</v>
      </c>
      <c r="C17" t="s">
        <v>603</v>
      </c>
      <c r="D17" t="s">
        <v>578</v>
      </c>
      <c r="E17" s="28">
        <v>440</v>
      </c>
      <c r="F17" s="13">
        <v>2048.8665999999998</v>
      </c>
      <c r="G17" s="14">
        <f t="shared" si="1"/>
        <v>2.9899999999999999E-2</v>
      </c>
      <c r="H17" s="15">
        <v>43430</v>
      </c>
      <c r="I17" s="99"/>
      <c r="J17" s="14" t="s">
        <v>450</v>
      </c>
      <c r="K17" s="48">
        <f t="shared" si="0"/>
        <v>3.6200000000000003E-2</v>
      </c>
      <c r="M17" s="14"/>
      <c r="N17" s="36"/>
      <c r="O17" s="14"/>
    </row>
    <row r="18" spans="1:16" ht="12.75" customHeight="1" x14ac:dyDescent="0.2">
      <c r="A18">
        <f>+MAX($A$1:A17)+1</f>
        <v>7</v>
      </c>
      <c r="B18" t="s">
        <v>566</v>
      </c>
      <c r="C18" t="s">
        <v>633</v>
      </c>
      <c r="D18" t="s">
        <v>567</v>
      </c>
      <c r="E18" s="28">
        <v>380</v>
      </c>
      <c r="F18" s="13">
        <v>1886.1604</v>
      </c>
      <c r="G18" s="14">
        <f t="shared" si="1"/>
        <v>2.75E-2</v>
      </c>
      <c r="H18" s="15">
        <v>43158</v>
      </c>
      <c r="I18" s="99"/>
      <c r="J18" s="14" t="s">
        <v>535</v>
      </c>
      <c r="K18" s="48">
        <f t="shared" si="0"/>
        <v>3.5499999999999997E-2</v>
      </c>
      <c r="M18" s="14"/>
      <c r="N18" s="36"/>
      <c r="O18" s="14"/>
      <c r="P18" s="14"/>
    </row>
    <row r="19" spans="1:16" ht="12.75" customHeight="1" x14ac:dyDescent="0.2">
      <c r="A19">
        <f>+MAX($A$1:A18)+1</f>
        <v>8</v>
      </c>
      <c r="B19" s="65" t="s">
        <v>202</v>
      </c>
      <c r="C19" t="s">
        <v>537</v>
      </c>
      <c r="D19" t="s">
        <v>290</v>
      </c>
      <c r="E19" s="28">
        <v>360</v>
      </c>
      <c r="F19" s="13">
        <v>1748.817</v>
      </c>
      <c r="G19" s="14">
        <f t="shared" si="1"/>
        <v>2.5499999999999998E-2</v>
      </c>
      <c r="H19" s="15">
        <v>43269</v>
      </c>
      <c r="I19" s="99"/>
      <c r="J19" s="14" t="s">
        <v>162</v>
      </c>
      <c r="K19" s="48">
        <f t="shared" si="0"/>
        <v>3.5099999999999999E-2</v>
      </c>
      <c r="M19" s="14"/>
      <c r="N19" s="36"/>
      <c r="O19" s="14"/>
      <c r="P19" s="14"/>
    </row>
    <row r="20" spans="1:16" ht="12.75" customHeight="1" x14ac:dyDescent="0.2">
      <c r="A20">
        <f>+MAX($A$1:A19)+1</f>
        <v>9</v>
      </c>
      <c r="B20" t="s">
        <v>291</v>
      </c>
      <c r="C20" t="s">
        <v>596</v>
      </c>
      <c r="D20" t="s">
        <v>578</v>
      </c>
      <c r="E20" s="28">
        <v>80</v>
      </c>
      <c r="F20" s="13">
        <v>398.42559999999997</v>
      </c>
      <c r="G20" s="14">
        <f t="shared" si="1"/>
        <v>5.7999999999999996E-3</v>
      </c>
      <c r="H20" s="15">
        <v>43152</v>
      </c>
      <c r="I20" s="99"/>
      <c r="J20" s="14" t="s">
        <v>290</v>
      </c>
      <c r="K20" s="48">
        <f t="shared" si="0"/>
        <v>3.4799999999999998E-2</v>
      </c>
      <c r="M20" s="14"/>
      <c r="N20" s="36"/>
      <c r="O20" s="14"/>
      <c r="P20" s="14"/>
    </row>
    <row r="21" spans="1:16" ht="12.75" customHeight="1" x14ac:dyDescent="0.2">
      <c r="A21">
        <f>+MAX($A$1:A20)+1</f>
        <v>10</v>
      </c>
      <c r="B21" t="s">
        <v>291</v>
      </c>
      <c r="C21" t="s">
        <v>563</v>
      </c>
      <c r="D21" t="s">
        <v>578</v>
      </c>
      <c r="E21" s="28">
        <v>82</v>
      </c>
      <c r="F21" s="13">
        <v>389.11869999999999</v>
      </c>
      <c r="G21" s="14">
        <f t="shared" si="1"/>
        <v>5.7000000000000002E-3</v>
      </c>
      <c r="H21" s="15">
        <v>43350</v>
      </c>
      <c r="I21" s="99"/>
      <c r="J21" s="14" t="s">
        <v>174</v>
      </c>
      <c r="K21" s="48">
        <f t="shared" si="0"/>
        <v>3.4299999999999997E-2</v>
      </c>
      <c r="M21" s="14"/>
      <c r="N21" s="36"/>
      <c r="O21" s="14"/>
      <c r="P21" s="14"/>
    </row>
    <row r="22" spans="1:16" ht="12.75" customHeight="1" x14ac:dyDescent="0.2">
      <c r="A22">
        <f>+MAX($A$1:A21)+1</f>
        <v>11</v>
      </c>
      <c r="B22" t="s">
        <v>579</v>
      </c>
      <c r="C22" t="s">
        <v>580</v>
      </c>
      <c r="D22" t="s">
        <v>290</v>
      </c>
      <c r="E22" s="28">
        <v>80</v>
      </c>
      <c r="F22" s="13">
        <v>388.01760000000002</v>
      </c>
      <c r="G22" s="14">
        <f t="shared" si="1"/>
        <v>5.7000000000000002E-3</v>
      </c>
      <c r="H22" s="15">
        <v>43265</v>
      </c>
      <c r="I22" s="99"/>
      <c r="J22" s="14" t="s">
        <v>491</v>
      </c>
      <c r="K22" s="48">
        <f t="shared" si="0"/>
        <v>2.6200000000000001E-2</v>
      </c>
      <c r="M22" s="14"/>
      <c r="N22" s="36"/>
      <c r="O22" s="14"/>
      <c r="P22" s="14"/>
    </row>
    <row r="23" spans="1:16" ht="12.75" customHeight="1" x14ac:dyDescent="0.2">
      <c r="A23">
        <f>+MAX($A$1:A22)+1</f>
        <v>12</v>
      </c>
      <c r="B23" t="s">
        <v>579</v>
      </c>
      <c r="C23" t="s">
        <v>684</v>
      </c>
      <c r="D23" t="s">
        <v>290</v>
      </c>
      <c r="E23" s="28">
        <v>50</v>
      </c>
      <c r="F23" s="13">
        <v>248.48750000000001</v>
      </c>
      <c r="G23" s="14">
        <f t="shared" si="1"/>
        <v>3.5999999999999999E-3</v>
      </c>
      <c r="H23" s="15">
        <v>43164</v>
      </c>
      <c r="I23" s="99"/>
      <c r="J23" s="14" t="s">
        <v>669</v>
      </c>
      <c r="K23" s="48">
        <f t="shared" si="0"/>
        <v>2.1000000000000001E-2</v>
      </c>
      <c r="M23" s="14"/>
      <c r="N23" s="36"/>
      <c r="O23" s="14"/>
      <c r="P23" s="14"/>
    </row>
    <row r="24" spans="1:16" ht="12.75" customHeight="1" x14ac:dyDescent="0.2">
      <c r="A24">
        <f>+MAX($A$1:A23)+1</f>
        <v>13</v>
      </c>
      <c r="B24" t="s">
        <v>348</v>
      </c>
      <c r="C24" t="s">
        <v>538</v>
      </c>
      <c r="D24" t="s">
        <v>161</v>
      </c>
      <c r="E24" s="28">
        <v>18</v>
      </c>
      <c r="F24" s="13">
        <v>87.400260000000003</v>
      </c>
      <c r="G24" s="14">
        <f t="shared" si="1"/>
        <v>1.2999999999999999E-3</v>
      </c>
      <c r="H24" s="15">
        <v>43273</v>
      </c>
      <c r="I24" s="99"/>
      <c r="J24" s="14" t="s">
        <v>293</v>
      </c>
      <c r="K24" s="48">
        <f t="shared" si="0"/>
        <v>2.07E-2</v>
      </c>
      <c r="M24" s="14"/>
      <c r="N24" s="36"/>
      <c r="O24" s="14"/>
      <c r="P24" s="14"/>
    </row>
    <row r="25" spans="1:16" ht="12.75" customHeight="1" x14ac:dyDescent="0.2">
      <c r="B25" s="18" t="s">
        <v>85</v>
      </c>
      <c r="C25" s="18"/>
      <c r="D25" s="18"/>
      <c r="E25" s="29"/>
      <c r="F25" s="19">
        <f>SUM(F15:F24)</f>
        <v>13057.35766</v>
      </c>
      <c r="G25" s="20">
        <f>SUM(G15:G24)</f>
        <v>0.1905</v>
      </c>
      <c r="H25" s="21"/>
      <c r="J25" s="14" t="s">
        <v>403</v>
      </c>
      <c r="K25" s="48">
        <f t="shared" si="0"/>
        <v>5.4999999999999997E-3</v>
      </c>
      <c r="L25" s="54"/>
      <c r="N25" s="36"/>
      <c r="O25" s="14"/>
      <c r="P25" s="14"/>
    </row>
    <row r="26" spans="1:16" ht="12.75" customHeight="1" x14ac:dyDescent="0.2">
      <c r="F26" s="13"/>
      <c r="G26" s="14"/>
      <c r="H26" s="15"/>
      <c r="J26" s="14" t="s">
        <v>64</v>
      </c>
      <c r="K26" s="48">
        <f>+SUMIFS($G$5:$G$997,$B$5:$B$997,"CBLO / Reverse Repo Investments")+SUMIFS($G$5:$G$997,$B$5:$B$997,"Net Receivable/Payable")</f>
        <v>2.8499999999999998E-2</v>
      </c>
      <c r="M26" s="90"/>
      <c r="N26" s="36"/>
      <c r="O26" s="14"/>
      <c r="P26" s="14"/>
    </row>
    <row r="27" spans="1:16" ht="12.75" customHeight="1" x14ac:dyDescent="0.2">
      <c r="B27" s="16" t="s">
        <v>168</v>
      </c>
      <c r="C27" s="16"/>
      <c r="F27" s="13"/>
      <c r="G27" s="14"/>
      <c r="H27" s="15"/>
      <c r="I27" s="35"/>
      <c r="J27" s="14"/>
      <c r="K27" s="48"/>
      <c r="M27" s="14"/>
      <c r="N27" s="36"/>
      <c r="O27" s="14"/>
      <c r="P27" s="14"/>
    </row>
    <row r="28" spans="1:16" ht="12.75" customHeight="1" x14ac:dyDescent="0.2">
      <c r="A28">
        <f>+MAX($A$1:A27)+1</f>
        <v>14</v>
      </c>
      <c r="B28" s="65" t="s">
        <v>597</v>
      </c>
      <c r="C28" t="s">
        <v>598</v>
      </c>
      <c r="D28" t="s">
        <v>403</v>
      </c>
      <c r="E28" s="28">
        <v>357000</v>
      </c>
      <c r="F28" s="13">
        <v>354.623808</v>
      </c>
      <c r="G28" s="14">
        <f>+ROUND(F28/VLOOKUP("Grand Total",$B$4:$F$283,5,0),4)</f>
        <v>5.1999999999999998E-3</v>
      </c>
      <c r="H28" s="15">
        <v>43172</v>
      </c>
      <c r="I28" s="99"/>
      <c r="J28" s="14"/>
      <c r="K28" s="48"/>
      <c r="N28" s="36"/>
      <c r="O28" s="14"/>
      <c r="P28" s="14"/>
    </row>
    <row r="29" spans="1:16" ht="12.75" customHeight="1" x14ac:dyDescent="0.2">
      <c r="A29">
        <f>+MAX($A$1:A28)+1</f>
        <v>15</v>
      </c>
      <c r="B29" s="65" t="s">
        <v>581</v>
      </c>
      <c r="C29" t="s">
        <v>604</v>
      </c>
      <c r="D29" t="s">
        <v>403</v>
      </c>
      <c r="E29" s="28">
        <v>20600</v>
      </c>
      <c r="F29" s="13">
        <v>20.576207</v>
      </c>
      <c r="G29" s="14">
        <f>+ROUND(F29/VLOOKUP("Grand Total",$B$4:$F$283,5,0),4)</f>
        <v>2.9999999999999997E-4</v>
      </c>
      <c r="H29" s="15">
        <v>43139</v>
      </c>
      <c r="I29" s="99"/>
      <c r="J29" s="14"/>
      <c r="K29" s="48"/>
      <c r="N29" s="36"/>
      <c r="O29" s="14"/>
      <c r="P29" s="14"/>
    </row>
    <row r="30" spans="1:16" ht="12.75" customHeight="1" x14ac:dyDescent="0.2">
      <c r="B30" s="18" t="s">
        <v>85</v>
      </c>
      <c r="C30" s="18"/>
      <c r="D30" s="18"/>
      <c r="E30" s="29"/>
      <c r="F30" s="19">
        <f>SUM(F28:F29)</f>
        <v>375.20001500000001</v>
      </c>
      <c r="G30" s="20">
        <f>SUM(G28:G29)</f>
        <v>5.4999999999999997E-3</v>
      </c>
      <c r="H30" s="21"/>
      <c r="L30" s="54"/>
      <c r="M30" s="14"/>
      <c r="N30" s="36"/>
      <c r="O30" s="14"/>
      <c r="P30" s="14"/>
    </row>
    <row r="31" spans="1:16" ht="12.75" customHeight="1" x14ac:dyDescent="0.2">
      <c r="F31" s="13"/>
      <c r="G31" s="14"/>
      <c r="H31" s="15"/>
      <c r="J31" s="14"/>
      <c r="K31" s="48"/>
      <c r="M31" s="90"/>
      <c r="N31" s="36"/>
      <c r="O31" s="14"/>
      <c r="P31" s="14"/>
    </row>
    <row r="32" spans="1:16" ht="12.75" customHeight="1" x14ac:dyDescent="0.2">
      <c r="B32" s="16" t="s">
        <v>125</v>
      </c>
      <c r="C32" s="16"/>
      <c r="F32" s="13"/>
      <c r="G32" s="14"/>
      <c r="H32" s="15"/>
      <c r="I32" s="35"/>
      <c r="N32" s="36"/>
      <c r="P32" s="14"/>
    </row>
    <row r="33" spans="1:16" ht="12.75" customHeight="1" x14ac:dyDescent="0.2">
      <c r="B33" s="31" t="s">
        <v>305</v>
      </c>
      <c r="C33" s="16"/>
      <c r="F33" s="13"/>
      <c r="G33" s="14"/>
      <c r="H33" s="15"/>
      <c r="N33" s="36"/>
      <c r="P33" s="14"/>
    </row>
    <row r="34" spans="1:16" ht="12.75" customHeight="1" x14ac:dyDescent="0.2">
      <c r="A34">
        <f>+MAX($A$1:A33)+1</f>
        <v>16</v>
      </c>
      <c r="B34" t="s">
        <v>634</v>
      </c>
      <c r="C34" t="s">
        <v>395</v>
      </c>
      <c r="D34" t="s">
        <v>362</v>
      </c>
      <c r="E34" s="28">
        <v>500</v>
      </c>
      <c r="F34" s="13">
        <v>5021.5600000000004</v>
      </c>
      <c r="G34" s="14">
        <f t="shared" ref="G34:G46" si="2">+ROUND(F34/VLOOKUP("Grand Total",$B$4:$F$283,5,0),4)</f>
        <v>7.3200000000000001E-2</v>
      </c>
      <c r="H34" s="15">
        <v>43892</v>
      </c>
      <c r="I34" s="99"/>
    </row>
    <row r="35" spans="1:16" s="65" customFormat="1" ht="12.75" customHeight="1" x14ac:dyDescent="0.2">
      <c r="A35">
        <f>+MAX($A$1:A34)+1</f>
        <v>17</v>
      </c>
      <c r="B35" s="65" t="s">
        <v>489</v>
      </c>
      <c r="C35" s="65" t="s">
        <v>490</v>
      </c>
      <c r="D35" s="65" t="s">
        <v>292</v>
      </c>
      <c r="E35" s="85">
        <v>480</v>
      </c>
      <c r="F35" s="86">
        <v>4785.7007999999996</v>
      </c>
      <c r="G35" s="90">
        <f t="shared" si="2"/>
        <v>6.9800000000000001E-2</v>
      </c>
      <c r="H35" s="89">
        <v>43630</v>
      </c>
      <c r="I35" s="99"/>
      <c r="N35" s="84"/>
      <c r="P35" s="90"/>
    </row>
    <row r="36" spans="1:16" ht="12.75" customHeight="1" x14ac:dyDescent="0.2">
      <c r="A36">
        <f>+MAX($A$1:A35)+1</f>
        <v>18</v>
      </c>
      <c r="B36" s="65" t="s">
        <v>635</v>
      </c>
      <c r="C36" t="s">
        <v>449</v>
      </c>
      <c r="D36" t="s">
        <v>108</v>
      </c>
      <c r="E36" s="28">
        <v>250</v>
      </c>
      <c r="F36" s="13">
        <v>2505.09</v>
      </c>
      <c r="G36" s="14">
        <f t="shared" si="2"/>
        <v>3.6499999999999998E-2</v>
      </c>
      <c r="H36" s="15">
        <v>43431</v>
      </c>
      <c r="I36" s="99"/>
      <c r="N36" s="36"/>
      <c r="P36" s="14"/>
    </row>
    <row r="37" spans="1:16" ht="12.75" customHeight="1" x14ac:dyDescent="0.2">
      <c r="A37">
        <f>+MAX($A$1:A36)+1</f>
        <v>19</v>
      </c>
      <c r="B37" t="s">
        <v>636</v>
      </c>
      <c r="C37" s="65" t="s">
        <v>469</v>
      </c>
      <c r="D37" s="65" t="s">
        <v>670</v>
      </c>
      <c r="E37" s="85">
        <v>250</v>
      </c>
      <c r="F37" s="86">
        <v>2499.6325000000002</v>
      </c>
      <c r="G37" s="90">
        <f t="shared" si="2"/>
        <v>3.6499999999999998E-2</v>
      </c>
      <c r="H37" s="15">
        <v>43469</v>
      </c>
      <c r="I37" s="99"/>
    </row>
    <row r="38" spans="1:16" ht="12.75" customHeight="1" x14ac:dyDescent="0.2">
      <c r="A38">
        <f>+MAX($A$1:A37)+1</f>
        <v>20</v>
      </c>
      <c r="B38" s="65" t="s">
        <v>534</v>
      </c>
      <c r="C38" t="s">
        <v>515</v>
      </c>
      <c r="D38" t="s">
        <v>450</v>
      </c>
      <c r="E38" s="28">
        <v>250</v>
      </c>
      <c r="F38" s="13">
        <v>2478.7325000000001</v>
      </c>
      <c r="G38" s="14">
        <f t="shared" si="2"/>
        <v>3.6200000000000003E-2</v>
      </c>
      <c r="H38" s="15">
        <v>43671</v>
      </c>
      <c r="I38" s="99"/>
      <c r="N38" s="36"/>
      <c r="P38" s="14"/>
    </row>
    <row r="39" spans="1:16" ht="12.75" customHeight="1" x14ac:dyDescent="0.2">
      <c r="A39">
        <f>+MAX($A$1:A38)+1</f>
        <v>21</v>
      </c>
      <c r="B39" s="65" t="s">
        <v>637</v>
      </c>
      <c r="C39" t="s">
        <v>582</v>
      </c>
      <c r="D39" t="s">
        <v>108</v>
      </c>
      <c r="E39" s="28">
        <v>25</v>
      </c>
      <c r="F39" s="13">
        <v>2477.4425000000001</v>
      </c>
      <c r="G39" s="14">
        <f t="shared" si="2"/>
        <v>3.61E-2</v>
      </c>
      <c r="H39" s="15">
        <v>43787</v>
      </c>
      <c r="I39" s="99"/>
      <c r="N39" s="36"/>
      <c r="P39" s="14"/>
    </row>
    <row r="40" spans="1:16" ht="12.75" customHeight="1" x14ac:dyDescent="0.2">
      <c r="A40">
        <f>+MAX($A$1:A39)+1</f>
        <v>22</v>
      </c>
      <c r="B40" s="65" t="s">
        <v>451</v>
      </c>
      <c r="C40" t="s">
        <v>422</v>
      </c>
      <c r="D40" t="s">
        <v>362</v>
      </c>
      <c r="E40" s="28">
        <v>243000</v>
      </c>
      <c r="F40" s="13">
        <v>2446.1254800000002</v>
      </c>
      <c r="G40" s="14">
        <f t="shared" si="2"/>
        <v>3.5700000000000003E-2</v>
      </c>
      <c r="H40" s="15">
        <v>43717</v>
      </c>
      <c r="I40" s="99"/>
    </row>
    <row r="41" spans="1:16" ht="12.75" customHeight="1" x14ac:dyDescent="0.2">
      <c r="A41">
        <f>+MAX($A$1:A40)+1</f>
        <v>23</v>
      </c>
      <c r="B41" s="65" t="s">
        <v>350</v>
      </c>
      <c r="C41" t="s">
        <v>351</v>
      </c>
      <c r="D41" t="s">
        <v>535</v>
      </c>
      <c r="E41" s="28">
        <v>242</v>
      </c>
      <c r="F41" s="13">
        <v>2434.5490399999999</v>
      </c>
      <c r="G41" s="14">
        <f t="shared" si="2"/>
        <v>3.5499999999999997E-2</v>
      </c>
      <c r="H41" s="15">
        <v>43309</v>
      </c>
      <c r="I41" s="99"/>
    </row>
    <row r="42" spans="1:16" ht="12.75" customHeight="1" x14ac:dyDescent="0.2">
      <c r="A42">
        <f>+MAX($A$1:A41)+1</f>
        <v>24</v>
      </c>
      <c r="B42" t="s">
        <v>583</v>
      </c>
      <c r="C42" t="s">
        <v>352</v>
      </c>
      <c r="D42" t="s">
        <v>174</v>
      </c>
      <c r="E42" s="28">
        <v>235</v>
      </c>
      <c r="F42" s="13">
        <v>2351.6732000000002</v>
      </c>
      <c r="G42" s="14">
        <f t="shared" si="2"/>
        <v>3.4299999999999997E-2</v>
      </c>
      <c r="H42" s="15">
        <v>43299</v>
      </c>
      <c r="I42" s="99"/>
    </row>
    <row r="43" spans="1:16" ht="12.75" customHeight="1" x14ac:dyDescent="0.2">
      <c r="A43">
        <f>+MAX($A$1:A42)+1</f>
        <v>25</v>
      </c>
      <c r="B43" s="65" t="s">
        <v>539</v>
      </c>
      <c r="C43" t="s">
        <v>518</v>
      </c>
      <c r="D43" t="s">
        <v>491</v>
      </c>
      <c r="E43" s="28">
        <v>182</v>
      </c>
      <c r="F43" s="13">
        <v>1797.8269399999999</v>
      </c>
      <c r="G43" s="14">
        <f t="shared" si="2"/>
        <v>2.6200000000000001E-2</v>
      </c>
      <c r="H43" s="15">
        <v>44026</v>
      </c>
      <c r="I43" s="99"/>
    </row>
    <row r="44" spans="1:16" ht="12.75" customHeight="1" x14ac:dyDescent="0.2">
      <c r="A44">
        <f>+MAX($A$1:A43)+1</f>
        <v>26</v>
      </c>
      <c r="B44" t="s">
        <v>688</v>
      </c>
      <c r="C44" t="s">
        <v>689</v>
      </c>
      <c r="D44" t="s">
        <v>669</v>
      </c>
      <c r="E44" s="28">
        <v>150</v>
      </c>
      <c r="F44" s="13">
        <v>1437.2729999999999</v>
      </c>
      <c r="G44" s="14">
        <f t="shared" si="2"/>
        <v>2.1000000000000001E-2</v>
      </c>
      <c r="H44" s="15">
        <v>43826</v>
      </c>
      <c r="I44" s="99"/>
    </row>
    <row r="45" spans="1:16" ht="12.75" customHeight="1" x14ac:dyDescent="0.2">
      <c r="A45">
        <f>+MAX($A$1:A44)+1</f>
        <v>27</v>
      </c>
      <c r="B45" s="65" t="s">
        <v>638</v>
      </c>
      <c r="C45" t="s">
        <v>333</v>
      </c>
      <c r="D45" t="s">
        <v>293</v>
      </c>
      <c r="E45" s="28">
        <v>140</v>
      </c>
      <c r="F45" s="13">
        <v>1416.6487999999999</v>
      </c>
      <c r="G45" s="14">
        <f t="shared" si="2"/>
        <v>2.07E-2</v>
      </c>
      <c r="H45" s="15">
        <v>43621</v>
      </c>
      <c r="I45" s="99"/>
    </row>
    <row r="46" spans="1:16" ht="12.75" customHeight="1" x14ac:dyDescent="0.2">
      <c r="A46">
        <f>+MAX($A$1:A45)+1</f>
        <v>28</v>
      </c>
      <c r="B46" s="65" t="s">
        <v>420</v>
      </c>
      <c r="C46" t="s">
        <v>421</v>
      </c>
      <c r="D46" t="s">
        <v>362</v>
      </c>
      <c r="E46" s="28">
        <v>92</v>
      </c>
      <c r="F46" s="13">
        <v>921.36803999999995</v>
      </c>
      <c r="G46" s="14">
        <f t="shared" si="2"/>
        <v>1.34E-2</v>
      </c>
      <c r="H46" s="15">
        <v>43322</v>
      </c>
      <c r="I46" s="99"/>
    </row>
    <row r="47" spans="1:16" ht="12.75" customHeight="1" x14ac:dyDescent="0.2">
      <c r="B47" s="18" t="s">
        <v>85</v>
      </c>
      <c r="C47" s="18"/>
      <c r="D47" s="18"/>
      <c r="E47" s="29"/>
      <c r="F47" s="19">
        <f>SUM(F34:F46)</f>
        <v>32573.622799999997</v>
      </c>
      <c r="G47" s="20">
        <f>SUM(G34:G46)</f>
        <v>0.47510000000000008</v>
      </c>
      <c r="H47" s="21"/>
      <c r="J47" s="52"/>
      <c r="K47"/>
    </row>
    <row r="48" spans="1:16" ht="12.75" customHeight="1" x14ac:dyDescent="0.2">
      <c r="F48" s="13"/>
      <c r="G48" s="14"/>
      <c r="H48" s="15"/>
      <c r="M48" s="90"/>
      <c r="N48" s="36"/>
      <c r="O48" s="14"/>
      <c r="P48" s="14"/>
    </row>
    <row r="49" spans="1:16" ht="12.75" customHeight="1" x14ac:dyDescent="0.2">
      <c r="B49" s="16" t="s">
        <v>547</v>
      </c>
      <c r="C49" s="16"/>
      <c r="F49" s="13"/>
      <c r="G49" s="14"/>
      <c r="H49" s="15"/>
      <c r="I49" s="35"/>
      <c r="J49" s="14"/>
      <c r="M49" s="14"/>
      <c r="N49" s="36"/>
      <c r="O49" s="14"/>
      <c r="P49" s="14"/>
    </row>
    <row r="50" spans="1:16" ht="12.75" customHeight="1" x14ac:dyDescent="0.2">
      <c r="A50">
        <f>+MAX($A$1:A49)+1</f>
        <v>29</v>
      </c>
      <c r="B50" s="65" t="s">
        <v>541</v>
      </c>
      <c r="C50" t="s">
        <v>542</v>
      </c>
      <c r="D50" t="s">
        <v>366</v>
      </c>
      <c r="E50" s="28">
        <v>400</v>
      </c>
      <c r="F50" s="13">
        <v>4158.616</v>
      </c>
      <c r="G50" s="14">
        <f>+ROUND(F50/VLOOKUP("Grand Total",$B$4:$F$283,5,0),4)</f>
        <v>6.0699999999999997E-2</v>
      </c>
      <c r="H50" s="15">
        <v>43321</v>
      </c>
      <c r="I50" s="99"/>
      <c r="J50" s="14"/>
      <c r="N50" s="36"/>
      <c r="O50" s="14"/>
      <c r="P50" s="14"/>
    </row>
    <row r="51" spans="1:16" ht="12.75" customHeight="1" x14ac:dyDescent="0.2">
      <c r="B51" s="18" t="s">
        <v>85</v>
      </c>
      <c r="C51" s="18"/>
      <c r="D51" s="18"/>
      <c r="E51" s="29"/>
      <c r="F51" s="19">
        <f>SUM(F50:F50)</f>
        <v>4158.616</v>
      </c>
      <c r="G51" s="20">
        <f>SUM(G50:G50)</f>
        <v>6.0699999999999997E-2</v>
      </c>
      <c r="H51" s="21"/>
      <c r="L51" s="54"/>
      <c r="M51" s="14"/>
      <c r="N51" s="36"/>
      <c r="O51" s="14"/>
      <c r="P51" s="14"/>
    </row>
    <row r="52" spans="1:16" ht="12.75" customHeight="1" x14ac:dyDescent="0.2">
      <c r="F52" s="13"/>
      <c r="G52" s="14"/>
      <c r="H52" s="15"/>
      <c r="M52" s="90"/>
      <c r="N52" s="36"/>
      <c r="O52" s="14"/>
      <c r="P52" s="14"/>
    </row>
    <row r="53" spans="1:16" ht="12.75" customHeight="1" x14ac:dyDescent="0.2">
      <c r="A53" s="95" t="s">
        <v>370</v>
      </c>
      <c r="B53" s="16" t="s">
        <v>93</v>
      </c>
      <c r="C53" s="16"/>
      <c r="F53" s="13">
        <v>886.41498999999999</v>
      </c>
      <c r="G53" s="14">
        <f>+ROUND(F53/VLOOKUP("Grand Total",$B$4:$F$283,5,0),4)</f>
        <v>1.29E-2</v>
      </c>
      <c r="H53" s="15">
        <v>43132</v>
      </c>
      <c r="I53" s="99"/>
      <c r="J53" s="52"/>
      <c r="K53"/>
    </row>
    <row r="54" spans="1:16" ht="12.75" customHeight="1" x14ac:dyDescent="0.2">
      <c r="B54" s="18" t="s">
        <v>85</v>
      </c>
      <c r="C54" s="18"/>
      <c r="D54" s="18"/>
      <c r="E54" s="29"/>
      <c r="F54" s="19">
        <f>SUM(F53)</f>
        <v>886.41498999999999</v>
      </c>
      <c r="G54" s="20">
        <f>SUM(G53)</f>
        <v>1.29E-2</v>
      </c>
      <c r="H54" s="21"/>
      <c r="K54"/>
    </row>
    <row r="55" spans="1:16" ht="12.75" customHeight="1" x14ac:dyDescent="0.2">
      <c r="F55" s="13"/>
      <c r="G55" s="14"/>
      <c r="H55" s="15"/>
      <c r="K55"/>
    </row>
    <row r="56" spans="1:16" ht="12.75" customHeight="1" x14ac:dyDescent="0.2">
      <c r="B56" s="16" t="s">
        <v>94</v>
      </c>
      <c r="C56" s="16"/>
      <c r="F56" s="13"/>
      <c r="G56" s="14"/>
      <c r="H56" s="15"/>
      <c r="I56" s="35"/>
      <c r="K56"/>
    </row>
    <row r="57" spans="1:16" ht="12.75" customHeight="1" x14ac:dyDescent="0.2">
      <c r="B57" s="16" t="s">
        <v>95</v>
      </c>
      <c r="C57" s="16"/>
      <c r="F57" s="13">
        <v>1079.3199833000399</v>
      </c>
      <c r="G57" s="14">
        <f>+ROUND(F57/VLOOKUP("Grand Total",$B$4:$F$283,5,0),4)-0.01%</f>
        <v>1.5599999999999999E-2</v>
      </c>
      <c r="H57" s="15"/>
      <c r="K57"/>
    </row>
    <row r="58" spans="1:16" ht="12.75" customHeight="1" x14ac:dyDescent="0.2">
      <c r="B58" s="18" t="s">
        <v>85</v>
      </c>
      <c r="C58" s="18"/>
      <c r="D58" s="18"/>
      <c r="E58" s="29"/>
      <c r="F58" s="19">
        <f>SUM(F57)</f>
        <v>1079.3199833000399</v>
      </c>
      <c r="G58" s="20">
        <f>SUM(G57)</f>
        <v>1.5599999999999999E-2</v>
      </c>
      <c r="H58" s="21"/>
      <c r="K58"/>
    </row>
    <row r="59" spans="1:16" ht="12.75" customHeight="1" x14ac:dyDescent="0.2">
      <c r="B59" s="22" t="s">
        <v>96</v>
      </c>
      <c r="C59" s="22"/>
      <c r="D59" s="22"/>
      <c r="E59" s="30"/>
      <c r="F59" s="23">
        <f>+SUMIF($B$5:B58,"Total",$F$5:F58)</f>
        <v>68563.503818300029</v>
      </c>
      <c r="G59" s="24">
        <f>+SUMIF($B$5:B58,"Total",$G$5:G58)</f>
        <v>1</v>
      </c>
      <c r="H59" s="25"/>
      <c r="K59"/>
    </row>
    <row r="60" spans="1:16" ht="12.75" customHeight="1" x14ac:dyDescent="0.2">
      <c r="I60" s="35"/>
      <c r="K60"/>
    </row>
    <row r="61" spans="1:16" ht="12.75" customHeight="1" x14ac:dyDescent="0.2">
      <c r="B61" s="16" t="s">
        <v>671</v>
      </c>
      <c r="C61" s="16"/>
      <c r="F61" s="42"/>
      <c r="I61" s="35"/>
      <c r="K61"/>
    </row>
    <row r="62" spans="1:16" ht="12.75" customHeight="1" x14ac:dyDescent="0.2">
      <c r="B62" s="16" t="s">
        <v>186</v>
      </c>
      <c r="C62" s="16"/>
      <c r="F62" s="42"/>
      <c r="K62"/>
    </row>
    <row r="63" spans="1:16" ht="12.75" customHeight="1" x14ac:dyDescent="0.2">
      <c r="B63" s="16" t="s">
        <v>770</v>
      </c>
      <c r="C63" s="16"/>
      <c r="K63"/>
    </row>
    <row r="64" spans="1:16" ht="12.75" customHeight="1" x14ac:dyDescent="0.2">
      <c r="K64"/>
    </row>
    <row r="65" spans="5:11" ht="12.75" customHeight="1" x14ac:dyDescent="0.2">
      <c r="K65"/>
    </row>
    <row r="66" spans="5:11" ht="12.75" customHeight="1" x14ac:dyDescent="0.2">
      <c r="K66"/>
    </row>
    <row r="67" spans="5:11" ht="12.75" customHeight="1" x14ac:dyDescent="0.2">
      <c r="K67"/>
    </row>
    <row r="68" spans="5:11" ht="12.75" customHeight="1" x14ac:dyDescent="0.2">
      <c r="E68"/>
      <c r="I68"/>
      <c r="K68"/>
    </row>
    <row r="69" spans="5:11" ht="12.75" customHeight="1" x14ac:dyDescent="0.2">
      <c r="E69"/>
      <c r="I69"/>
      <c r="K69"/>
    </row>
    <row r="70" spans="5:11" ht="12.75" customHeight="1" x14ac:dyDescent="0.2">
      <c r="E70"/>
      <c r="I70"/>
      <c r="K70"/>
    </row>
    <row r="71" spans="5:11" ht="12.75" customHeight="1" x14ac:dyDescent="0.2">
      <c r="E71"/>
      <c r="I71"/>
      <c r="K71"/>
    </row>
    <row r="72" spans="5:11" ht="12.75" customHeight="1" x14ac:dyDescent="0.2">
      <c r="E72"/>
      <c r="I72"/>
      <c r="K72"/>
    </row>
    <row r="73" spans="5:11" ht="12.75" customHeight="1" x14ac:dyDescent="0.2">
      <c r="E73"/>
      <c r="I73"/>
      <c r="K73"/>
    </row>
    <row r="74" spans="5:11" ht="12.75" customHeight="1" x14ac:dyDescent="0.2">
      <c r="E74"/>
      <c r="I74"/>
      <c r="K74"/>
    </row>
    <row r="75" spans="5:11" ht="12.75" customHeight="1" x14ac:dyDescent="0.2">
      <c r="E75"/>
      <c r="I75"/>
      <c r="K75"/>
    </row>
    <row r="76" spans="5:11" ht="12.75" customHeight="1" x14ac:dyDescent="0.2">
      <c r="E76"/>
      <c r="I76"/>
      <c r="K76"/>
    </row>
    <row r="77" spans="5:11" ht="12.75" customHeight="1" x14ac:dyDescent="0.2">
      <c r="E77"/>
      <c r="I77"/>
      <c r="K77"/>
    </row>
    <row r="78" spans="5:11" ht="12.75" customHeight="1" x14ac:dyDescent="0.2">
      <c r="E78"/>
      <c r="I78"/>
      <c r="K78"/>
    </row>
    <row r="79" spans="5:11" ht="12.75" customHeight="1" x14ac:dyDescent="0.2">
      <c r="E79"/>
      <c r="I79"/>
      <c r="K79"/>
    </row>
    <row r="80" spans="5:11" ht="12.75" customHeight="1" x14ac:dyDescent="0.2">
      <c r="E80"/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ht="12.75" customHeight="1" x14ac:dyDescent="0.2">
      <c r="E97"/>
      <c r="I97"/>
      <c r="K97"/>
    </row>
    <row r="98" spans="5:11" ht="12.75" customHeight="1" x14ac:dyDescent="0.2">
      <c r="E98"/>
      <c r="I98"/>
      <c r="K98"/>
    </row>
    <row r="99" spans="5:11" ht="12.75" customHeight="1" x14ac:dyDescent="0.2">
      <c r="E99"/>
      <c r="I99"/>
      <c r="K99"/>
    </row>
    <row r="100" spans="5:11" ht="12.75" customHeight="1" x14ac:dyDescent="0.2">
      <c r="E100"/>
      <c r="I100"/>
      <c r="K100"/>
    </row>
    <row r="101" spans="5:11" ht="12.75" customHeight="1" x14ac:dyDescent="0.2">
      <c r="E101"/>
      <c r="I101"/>
      <c r="K101"/>
    </row>
    <row r="102" spans="5:11" x14ac:dyDescent="0.2">
      <c r="E102"/>
      <c r="I102"/>
      <c r="K102"/>
    </row>
    <row r="103" spans="5:11" x14ac:dyDescent="0.2">
      <c r="E103"/>
      <c r="I103"/>
      <c r="K103"/>
    </row>
    <row r="104" spans="5:11" x14ac:dyDescent="0.2">
      <c r="E104"/>
      <c r="I104"/>
      <c r="K104"/>
    </row>
  </sheetData>
  <sheetProtection password="EDB3" sheet="1" objects="1" scenarios="1"/>
  <sortState ref="J9:K25">
    <sortCondition descending="1" ref="K9:K25"/>
  </sortState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4" t="s">
        <v>381</v>
      </c>
      <c r="B1" s="127" t="s">
        <v>331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91</v>
      </c>
      <c r="C7" s="16"/>
      <c r="F7" s="13"/>
      <c r="G7" s="14"/>
      <c r="H7" s="15"/>
    </row>
    <row r="8" spans="1:16" ht="12.75" customHeight="1" x14ac:dyDescent="0.2">
      <c r="B8" s="16" t="s">
        <v>306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s="65" t="s">
        <v>566</v>
      </c>
      <c r="C9" t="s">
        <v>687</v>
      </c>
      <c r="D9" t="s">
        <v>567</v>
      </c>
      <c r="E9" s="28">
        <v>110</v>
      </c>
      <c r="F9" s="13">
        <v>542.50295000000006</v>
      </c>
      <c r="G9" s="14">
        <f>+ROUND(F9/VLOOKUP("Grand Total",$B$4:$F$306,5,0),4)</f>
        <v>6.25E-2</v>
      </c>
      <c r="H9" s="15">
        <v>43181</v>
      </c>
      <c r="I9" s="64"/>
      <c r="J9" s="14" t="s">
        <v>108</v>
      </c>
      <c r="K9" s="48">
        <f>SUMIFS($G$5:$G$329,$D$5:$D$329,J9)</f>
        <v>0.21949999999999997</v>
      </c>
    </row>
    <row r="10" spans="1:16" ht="12.75" customHeight="1" x14ac:dyDescent="0.2">
      <c r="A10">
        <f>+MAX($A$8:A9)+1</f>
        <v>2</v>
      </c>
      <c r="B10" s="1" t="s">
        <v>440</v>
      </c>
      <c r="C10" t="s">
        <v>639</v>
      </c>
      <c r="D10" t="s">
        <v>161</v>
      </c>
      <c r="E10" s="28">
        <v>100</v>
      </c>
      <c r="F10" s="13">
        <v>499.548</v>
      </c>
      <c r="G10" s="14">
        <f>+ROUND(F10/VLOOKUP("Grand Total",$B$4:$F$306,5,0),4)</f>
        <v>5.7500000000000002E-2</v>
      </c>
      <c r="H10" s="15">
        <v>43137</v>
      </c>
      <c r="I10" s="64"/>
      <c r="J10" s="14" t="s">
        <v>567</v>
      </c>
      <c r="K10" s="48">
        <f>SUMIFS($G$5:$G$329,$D$5:$D$329,J10)</f>
        <v>9.6799999999999997E-2</v>
      </c>
    </row>
    <row r="11" spans="1:16" ht="12.75" customHeight="1" x14ac:dyDescent="0.2">
      <c r="A11">
        <f>+MAX($A$8:A10)+1</f>
        <v>3</v>
      </c>
      <c r="B11" s="1" t="s">
        <v>579</v>
      </c>
      <c r="C11" t="s">
        <v>684</v>
      </c>
      <c r="D11" t="s">
        <v>290</v>
      </c>
      <c r="E11" s="28">
        <v>100</v>
      </c>
      <c r="F11" s="13">
        <v>496.97500000000002</v>
      </c>
      <c r="G11" s="14">
        <f>+ROUND(F11/VLOOKUP("Grand Total",$B$4:$F$306,5,0),4)</f>
        <v>5.7200000000000001E-2</v>
      </c>
      <c r="H11" s="15">
        <v>43164</v>
      </c>
      <c r="I11" s="64"/>
      <c r="J11" s="14" t="s">
        <v>362</v>
      </c>
      <c r="K11" s="48">
        <f>SUMIFS($G$5:$G$329,$D$5:$D$329,J11)</f>
        <v>9.3899999999999997E-2</v>
      </c>
    </row>
    <row r="12" spans="1:16" ht="12.75" customHeight="1" x14ac:dyDescent="0.2">
      <c r="A12">
        <f>+MAX($A$8:A11)+1</f>
        <v>4</v>
      </c>
      <c r="B12" s="1" t="s">
        <v>690</v>
      </c>
      <c r="C12" t="s">
        <v>691</v>
      </c>
      <c r="D12" t="s">
        <v>326</v>
      </c>
      <c r="E12" s="28">
        <v>100</v>
      </c>
      <c r="F12" s="13">
        <v>494.90449999999998</v>
      </c>
      <c r="G12" s="14">
        <f>+ROUND(F12/VLOOKUP("Grand Total",$B$4:$F$306,5,0),4)</f>
        <v>5.7000000000000002E-2</v>
      </c>
      <c r="H12" s="15">
        <v>43185</v>
      </c>
      <c r="I12" s="64"/>
      <c r="J12" s="14" t="s">
        <v>292</v>
      </c>
      <c r="K12" s="48">
        <f>SUMIFS($G$5:$G$329,$D$5:$D$329,J12)</f>
        <v>8.6199999999999999E-2</v>
      </c>
    </row>
    <row r="13" spans="1:16" ht="12.75" customHeight="1" x14ac:dyDescent="0.2">
      <c r="A13">
        <f>+MAX($A$8:A12)+1</f>
        <v>5</v>
      </c>
      <c r="B13" s="1" t="s">
        <v>291</v>
      </c>
      <c r="C13" t="s">
        <v>605</v>
      </c>
      <c r="D13" t="s">
        <v>578</v>
      </c>
      <c r="E13" s="28">
        <v>80</v>
      </c>
      <c r="F13" s="13">
        <v>372.8648</v>
      </c>
      <c r="G13" s="14">
        <f>+ROUND(F13/VLOOKUP("Grand Total",$B$4:$F$306,5,0),4)</f>
        <v>4.2900000000000001E-2</v>
      </c>
      <c r="H13" s="15">
        <v>43426</v>
      </c>
      <c r="I13" s="64"/>
      <c r="J13" s="14" t="s">
        <v>669</v>
      </c>
      <c r="K13" s="48">
        <f>SUMIFS($G$5:$G$329,$D$5:$D$329,J13)</f>
        <v>7.7200000000000005E-2</v>
      </c>
    </row>
    <row r="14" spans="1:16" ht="12.75" customHeight="1" x14ac:dyDescent="0.2">
      <c r="A14">
        <f>+MAX($A$8:A13)+1</f>
        <v>6</v>
      </c>
      <c r="B14" s="1" t="s">
        <v>566</v>
      </c>
      <c r="C14" t="s">
        <v>633</v>
      </c>
      <c r="D14" t="s">
        <v>567</v>
      </c>
      <c r="E14" s="28">
        <v>60</v>
      </c>
      <c r="F14" s="13">
        <v>297.81479999999999</v>
      </c>
      <c r="G14" s="14">
        <f t="shared" ref="G14:G15" si="0">+ROUND(F14/VLOOKUP("Grand Total",$B$4:$F$306,5,0),4)</f>
        <v>3.4299999999999997E-2</v>
      </c>
      <c r="H14" s="15">
        <v>43158</v>
      </c>
      <c r="I14" s="64"/>
      <c r="J14" s="14" t="s">
        <v>578</v>
      </c>
      <c r="K14" s="48">
        <f t="shared" ref="K14:K15" si="1">SUMIFS($G$5:$G$329,$D$5:$D$329,J14)</f>
        <v>7.5700000000000003E-2</v>
      </c>
    </row>
    <row r="15" spans="1:16" ht="12.75" customHeight="1" x14ac:dyDescent="0.2">
      <c r="A15">
        <f>+MAX($A$8:A14)+1</f>
        <v>7</v>
      </c>
      <c r="B15" s="1" t="s">
        <v>291</v>
      </c>
      <c r="C15" t="s">
        <v>563</v>
      </c>
      <c r="D15" t="s">
        <v>578</v>
      </c>
      <c r="E15" s="28">
        <v>60</v>
      </c>
      <c r="F15" s="13">
        <v>284.721</v>
      </c>
      <c r="G15" s="14">
        <f t="shared" si="0"/>
        <v>3.2800000000000003E-2</v>
      </c>
      <c r="H15" s="15">
        <v>43350</v>
      </c>
      <c r="I15" s="64"/>
      <c r="J15" s="14" t="s">
        <v>366</v>
      </c>
      <c r="K15" s="48">
        <f t="shared" si="1"/>
        <v>5.9900000000000002E-2</v>
      </c>
    </row>
    <row r="16" spans="1:16" ht="12.75" customHeight="1" x14ac:dyDescent="0.2">
      <c r="B16" s="18" t="s">
        <v>85</v>
      </c>
      <c r="C16" s="18"/>
      <c r="D16" s="18"/>
      <c r="E16" s="29"/>
      <c r="F16" s="19">
        <f>SUM(F9:F15)</f>
        <v>2989.3310500000002</v>
      </c>
      <c r="G16" s="20">
        <f>SUM(G9:G15)</f>
        <v>0.34420000000000001</v>
      </c>
      <c r="H16" s="21"/>
      <c r="J16" t="s">
        <v>161</v>
      </c>
      <c r="K16" s="48">
        <f t="shared" ref="K16:K22" si="2">SUMIFS($G$5:$G$329,$D$5:$D$329,J16)</f>
        <v>5.7500000000000002E-2</v>
      </c>
      <c r="M16" s="14"/>
      <c r="N16" s="36"/>
      <c r="P16" s="14"/>
    </row>
    <row r="17" spans="1:16" ht="12.75" customHeight="1" x14ac:dyDescent="0.2">
      <c r="B17" s="16"/>
      <c r="C17" s="16"/>
      <c r="F17" s="13"/>
      <c r="G17" s="14"/>
      <c r="H17" s="15"/>
      <c r="J17" t="s">
        <v>290</v>
      </c>
      <c r="K17" s="48">
        <f t="shared" si="2"/>
        <v>5.7200000000000001E-2</v>
      </c>
    </row>
    <row r="18" spans="1:16" ht="12.75" customHeight="1" x14ac:dyDescent="0.2">
      <c r="B18" s="16" t="s">
        <v>168</v>
      </c>
      <c r="C18" s="16"/>
      <c r="F18" s="13"/>
      <c r="G18" s="14"/>
      <c r="H18" s="15"/>
      <c r="J18" s="81" t="s">
        <v>326</v>
      </c>
      <c r="K18" s="48">
        <f t="shared" si="2"/>
        <v>5.7000000000000002E-2</v>
      </c>
    </row>
    <row r="19" spans="1:16" ht="12.75" customHeight="1" x14ac:dyDescent="0.2">
      <c r="A19">
        <f>+MAX($A$8:A18)+1</f>
        <v>8</v>
      </c>
      <c r="B19" s="65" t="s">
        <v>597</v>
      </c>
      <c r="C19" t="s">
        <v>598</v>
      </c>
      <c r="D19" t="s">
        <v>403</v>
      </c>
      <c r="E19" s="28">
        <v>12000</v>
      </c>
      <c r="F19" s="13">
        <v>11.920128</v>
      </c>
      <c r="G19" s="14">
        <f>+ROUND(F19/VLOOKUP("Grand Total",$B$4:$F$306,5,0),4)</f>
        <v>1.4E-3</v>
      </c>
      <c r="H19" s="15">
        <v>43172</v>
      </c>
      <c r="I19" s="64"/>
      <c r="J19" s="14" t="s">
        <v>540</v>
      </c>
      <c r="K19" s="48">
        <f t="shared" si="2"/>
        <v>2.3E-2</v>
      </c>
    </row>
    <row r="20" spans="1:16" ht="12.75" customHeight="1" x14ac:dyDescent="0.2">
      <c r="B20" s="18" t="s">
        <v>85</v>
      </c>
      <c r="C20" s="18"/>
      <c r="D20" s="18"/>
      <c r="E20" s="29"/>
      <c r="F20" s="19">
        <f>SUM(F19:F19)</f>
        <v>11.920128</v>
      </c>
      <c r="G20" s="20">
        <f>SUM(G19:G19)</f>
        <v>1.4E-3</v>
      </c>
      <c r="H20" s="21"/>
      <c r="J20" t="s">
        <v>535</v>
      </c>
      <c r="K20" s="48">
        <f t="shared" si="2"/>
        <v>1.1599999999999999E-2</v>
      </c>
      <c r="M20" s="14"/>
      <c r="N20" s="36"/>
      <c r="P20" s="14"/>
    </row>
    <row r="21" spans="1:16" ht="12.75" customHeight="1" x14ac:dyDescent="0.2">
      <c r="B21" s="16"/>
      <c r="C21" s="16"/>
      <c r="F21" s="13"/>
      <c r="G21" s="14"/>
      <c r="H21" s="15"/>
      <c r="J21" s="14" t="s">
        <v>170</v>
      </c>
      <c r="K21" s="48">
        <f t="shared" si="2"/>
        <v>1.15E-2</v>
      </c>
    </row>
    <row r="22" spans="1:16" ht="12.75" customHeight="1" x14ac:dyDescent="0.2">
      <c r="B22" s="16" t="s">
        <v>125</v>
      </c>
      <c r="C22" s="16"/>
      <c r="F22" s="13"/>
      <c r="G22" s="14"/>
      <c r="H22" s="15"/>
      <c r="I22" s="35"/>
      <c r="J22" s="14" t="s">
        <v>403</v>
      </c>
      <c r="K22" s="48">
        <f t="shared" si="2"/>
        <v>1.4E-3</v>
      </c>
      <c r="N22" s="36"/>
      <c r="P22" s="14"/>
    </row>
    <row r="23" spans="1:16" ht="12.75" customHeight="1" x14ac:dyDescent="0.2">
      <c r="B23" s="31" t="s">
        <v>305</v>
      </c>
      <c r="C23" s="16"/>
      <c r="F23" s="13"/>
      <c r="G23" s="14"/>
      <c r="H23" s="15"/>
      <c r="J23" s="14" t="s">
        <v>64</v>
      </c>
      <c r="K23" s="48">
        <f>+SUMIFS($G$5:$G$997,$B$5:$B$997,"CBLO / Reverse Repo Investments")+SUMIFS($G$5:$G$997,$B$5:$B$997,"Net Receivable/Payable")</f>
        <v>7.1599999999999997E-2</v>
      </c>
      <c r="M23" s="14"/>
      <c r="N23" s="36"/>
      <c r="P23" s="14"/>
    </row>
    <row r="24" spans="1:16" ht="12.75" customHeight="1" x14ac:dyDescent="0.2">
      <c r="A24">
        <f>+MAX($A$8:A23)+1</f>
        <v>9</v>
      </c>
      <c r="B24" s="65" t="s">
        <v>688</v>
      </c>
      <c r="C24" s="121" t="s">
        <v>689</v>
      </c>
      <c r="D24" t="s">
        <v>669</v>
      </c>
      <c r="E24" s="28">
        <v>70</v>
      </c>
      <c r="F24" s="13">
        <v>670.72739999999999</v>
      </c>
      <c r="G24" s="14">
        <f t="shared" ref="G24:G31" si="3">+ROUND(F24/VLOOKUP("Grand Total",$B$4:$F$299,5,0),4)</f>
        <v>7.7200000000000005E-2</v>
      </c>
      <c r="H24" s="15">
        <v>43826</v>
      </c>
      <c r="I24" s="64"/>
      <c r="J24" s="14"/>
      <c r="K24" s="48"/>
      <c r="L24" s="54"/>
      <c r="M24" s="14"/>
    </row>
    <row r="25" spans="1:16" s="1" customFormat="1" ht="12.75" customHeight="1" x14ac:dyDescent="0.2">
      <c r="A25">
        <f>+MAX($A$8:A24)+1</f>
        <v>10</v>
      </c>
      <c r="B25" s="1" t="s">
        <v>489</v>
      </c>
      <c r="C25" s="1" t="s">
        <v>490</v>
      </c>
      <c r="D25" s="1" t="s">
        <v>292</v>
      </c>
      <c r="E25" s="57">
        <v>55</v>
      </c>
      <c r="F25" s="58">
        <v>548.36154999999997</v>
      </c>
      <c r="G25" s="14">
        <f t="shared" si="3"/>
        <v>6.3200000000000006E-2</v>
      </c>
      <c r="H25" s="60">
        <v>43630</v>
      </c>
      <c r="I25" s="64"/>
      <c r="J25" s="14"/>
      <c r="K25" s="36"/>
      <c r="L25" s="54"/>
      <c r="M25" s="14"/>
      <c r="N25" s="61"/>
      <c r="P25" s="59"/>
    </row>
    <row r="26" spans="1:16" s="1" customFormat="1" ht="12.75" customHeight="1" x14ac:dyDescent="0.2">
      <c r="A26">
        <f>+MAX($A$8:A25)+1</f>
        <v>11</v>
      </c>
      <c r="B26" s="1" t="s">
        <v>451</v>
      </c>
      <c r="C26" s="1" t="s">
        <v>422</v>
      </c>
      <c r="D26" s="1" t="s">
        <v>362</v>
      </c>
      <c r="E26" s="57">
        <v>51000</v>
      </c>
      <c r="F26" s="58">
        <v>513.38436000000002</v>
      </c>
      <c r="G26" s="14">
        <f t="shared" si="3"/>
        <v>5.91E-2</v>
      </c>
      <c r="H26" s="60">
        <v>43717</v>
      </c>
      <c r="I26" s="64"/>
      <c r="J26"/>
      <c r="K26" s="36"/>
      <c r="M26" s="59"/>
      <c r="N26" s="61"/>
      <c r="P26" s="59"/>
    </row>
    <row r="27" spans="1:16" s="1" customFormat="1" ht="12.75" customHeight="1" x14ac:dyDescent="0.2">
      <c r="A27">
        <f>+MAX($A$8:A26)+1</f>
        <v>12</v>
      </c>
      <c r="B27" s="65" t="s">
        <v>640</v>
      </c>
      <c r="C27" s="1" t="s">
        <v>641</v>
      </c>
      <c r="D27" s="1" t="s">
        <v>108</v>
      </c>
      <c r="E27" s="57">
        <v>50</v>
      </c>
      <c r="F27" s="58">
        <v>501.52</v>
      </c>
      <c r="G27" s="14">
        <f t="shared" si="3"/>
        <v>5.7799999999999997E-2</v>
      </c>
      <c r="H27" s="60">
        <v>43584</v>
      </c>
      <c r="I27" s="64"/>
      <c r="N27" s="61"/>
      <c r="P27" s="59"/>
    </row>
    <row r="28" spans="1:16" s="1" customFormat="1" ht="12.75" customHeight="1" x14ac:dyDescent="0.2">
      <c r="A28">
        <f>+MAX($A$8:A27)+1</f>
        <v>13</v>
      </c>
      <c r="B28" s="65" t="s">
        <v>612</v>
      </c>
      <c r="C28" s="1" t="s">
        <v>570</v>
      </c>
      <c r="D28" s="1" t="s">
        <v>108</v>
      </c>
      <c r="E28" s="57">
        <v>50</v>
      </c>
      <c r="F28" s="58">
        <v>492.06450000000001</v>
      </c>
      <c r="G28" s="14">
        <f t="shared" si="3"/>
        <v>5.67E-2</v>
      </c>
      <c r="H28" s="60">
        <v>44104</v>
      </c>
      <c r="I28" s="64"/>
      <c r="N28" s="61"/>
      <c r="P28" s="59"/>
    </row>
    <row r="29" spans="1:16" s="1" customFormat="1" ht="12.75" customHeight="1" x14ac:dyDescent="0.2">
      <c r="A29">
        <f>+MAX($A$8:A28)+1</f>
        <v>14</v>
      </c>
      <c r="B29" s="1" t="s">
        <v>513</v>
      </c>
      <c r="C29" s="1" t="s">
        <v>514</v>
      </c>
      <c r="D29" s="1" t="s">
        <v>108</v>
      </c>
      <c r="E29" s="57">
        <v>32</v>
      </c>
      <c r="F29" s="58">
        <v>407.49639999999999</v>
      </c>
      <c r="G29" s="14">
        <f t="shared" si="3"/>
        <v>4.6899999999999997E-2</v>
      </c>
      <c r="H29" s="60">
        <v>43757</v>
      </c>
      <c r="I29" s="64"/>
      <c r="N29" s="61"/>
      <c r="P29" s="59"/>
    </row>
    <row r="30" spans="1:16" s="1" customFormat="1" ht="12.75" customHeight="1" x14ac:dyDescent="0.2">
      <c r="A30">
        <f>+MAX($A$8:A29)+1</f>
        <v>15</v>
      </c>
      <c r="B30" s="1" t="s">
        <v>360</v>
      </c>
      <c r="C30" s="1" t="s">
        <v>536</v>
      </c>
      <c r="D30" s="1" t="s">
        <v>362</v>
      </c>
      <c r="E30" s="57">
        <v>30000</v>
      </c>
      <c r="F30" s="58">
        <v>302.2056</v>
      </c>
      <c r="G30" s="14">
        <f t="shared" si="3"/>
        <v>3.4799999999999998E-2</v>
      </c>
      <c r="H30" s="60">
        <v>43717</v>
      </c>
      <c r="I30" s="64"/>
      <c r="N30" s="61"/>
      <c r="P30" s="59"/>
    </row>
    <row r="31" spans="1:16" s="1" customFormat="1" ht="12.75" customHeight="1" x14ac:dyDescent="0.2">
      <c r="A31">
        <f>+MAX($A$8:A30)+1</f>
        <v>16</v>
      </c>
      <c r="B31" s="1" t="s">
        <v>516</v>
      </c>
      <c r="C31" s="1" t="s">
        <v>517</v>
      </c>
      <c r="D31" s="1" t="s">
        <v>108</v>
      </c>
      <c r="E31" s="57">
        <v>30</v>
      </c>
      <c r="F31" s="58">
        <v>298.44</v>
      </c>
      <c r="G31" s="14">
        <f t="shared" si="3"/>
        <v>3.44E-2</v>
      </c>
      <c r="H31" s="60">
        <v>44091</v>
      </c>
      <c r="I31" s="64"/>
      <c r="N31" s="61"/>
      <c r="P31" s="59"/>
    </row>
    <row r="32" spans="1:16" s="1" customFormat="1" ht="12.75" customHeight="1" x14ac:dyDescent="0.2">
      <c r="A32">
        <f>+MAX($A$8:A31)+1</f>
        <v>17</v>
      </c>
      <c r="B32" s="1" t="s">
        <v>692</v>
      </c>
      <c r="C32" s="1" t="s">
        <v>365</v>
      </c>
      <c r="D32" s="1" t="s">
        <v>540</v>
      </c>
      <c r="E32" s="57">
        <v>20</v>
      </c>
      <c r="F32" s="58">
        <v>200</v>
      </c>
      <c r="G32" s="14">
        <f t="shared" ref="G32:G35" si="4">+ROUND(F32/VLOOKUP("Grand Total",$B$4:$F$299,5,0),4)</f>
        <v>2.3E-2</v>
      </c>
      <c r="H32" s="60">
        <v>43132</v>
      </c>
      <c r="I32" s="64"/>
      <c r="N32" s="61"/>
      <c r="P32" s="59"/>
    </row>
    <row r="33" spans="1:16" s="1" customFormat="1" ht="12.75" customHeight="1" x14ac:dyDescent="0.2">
      <c r="A33">
        <f>+MAX($A$8:A32)+1</f>
        <v>18</v>
      </c>
      <c r="B33" s="1" t="s">
        <v>693</v>
      </c>
      <c r="C33" s="1" t="s">
        <v>694</v>
      </c>
      <c r="D33" s="1" t="s">
        <v>292</v>
      </c>
      <c r="E33" s="57">
        <v>20</v>
      </c>
      <c r="F33" s="58">
        <v>199.33619999999999</v>
      </c>
      <c r="G33" s="14">
        <f t="shared" si="4"/>
        <v>2.3E-2</v>
      </c>
      <c r="H33" s="60">
        <v>43643</v>
      </c>
      <c r="I33" s="64"/>
      <c r="N33" s="61"/>
      <c r="P33" s="59"/>
    </row>
    <row r="34" spans="1:16" s="1" customFormat="1" ht="12.75" customHeight="1" x14ac:dyDescent="0.2">
      <c r="A34">
        <f>+MAX($A$8:A33)+1</f>
        <v>19</v>
      </c>
      <c r="B34" s="1" t="s">
        <v>695</v>
      </c>
      <c r="C34" s="1" t="s">
        <v>606</v>
      </c>
      <c r="D34" s="1" t="s">
        <v>108</v>
      </c>
      <c r="E34" s="57">
        <v>10</v>
      </c>
      <c r="F34" s="58">
        <v>105.179</v>
      </c>
      <c r="G34" s="14">
        <f t="shared" si="4"/>
        <v>1.21E-2</v>
      </c>
      <c r="H34" s="60">
        <v>44418</v>
      </c>
      <c r="I34" s="64"/>
      <c r="N34" s="61"/>
      <c r="P34" s="59"/>
    </row>
    <row r="35" spans="1:16" s="1" customFormat="1" ht="12.75" customHeight="1" x14ac:dyDescent="0.2">
      <c r="A35">
        <f>+MAX($A$8:A34)+1</f>
        <v>20</v>
      </c>
      <c r="B35" s="1" t="s">
        <v>696</v>
      </c>
      <c r="C35" s="1" t="s">
        <v>642</v>
      </c>
      <c r="D35" s="1" t="s">
        <v>108</v>
      </c>
      <c r="E35" s="57">
        <v>10</v>
      </c>
      <c r="F35" s="58">
        <v>101.0124</v>
      </c>
      <c r="G35" s="14">
        <f t="shared" si="4"/>
        <v>1.1599999999999999E-2</v>
      </c>
      <c r="H35" s="60">
        <v>43480</v>
      </c>
      <c r="I35" s="64"/>
      <c r="N35" s="61"/>
      <c r="P35" s="59"/>
    </row>
    <row r="36" spans="1:16" s="1" customFormat="1" ht="12.75" customHeight="1" x14ac:dyDescent="0.2">
      <c r="A36">
        <f>+MAX($A$8:A35)+1</f>
        <v>21</v>
      </c>
      <c r="B36" s="1" t="s">
        <v>350</v>
      </c>
      <c r="C36" s="1" t="s">
        <v>351</v>
      </c>
      <c r="D36" s="1" t="s">
        <v>535</v>
      </c>
      <c r="E36" s="57">
        <v>10</v>
      </c>
      <c r="F36" s="58">
        <v>100.60120000000001</v>
      </c>
      <c r="G36" s="14">
        <f t="shared" ref="G36:G37" si="5">+ROUND(F36/VLOOKUP("Grand Total",$B$4:$F$299,5,0),4)</f>
        <v>1.1599999999999999E-2</v>
      </c>
      <c r="H36" s="60">
        <v>43309</v>
      </c>
      <c r="I36" s="64"/>
      <c r="N36" s="61"/>
      <c r="P36" s="59"/>
    </row>
    <row r="37" spans="1:16" s="1" customFormat="1" ht="12.75" customHeight="1" x14ac:dyDescent="0.2">
      <c r="A37">
        <f>+MAX($A$8:A36)+1</f>
        <v>22</v>
      </c>
      <c r="B37" s="1" t="s">
        <v>315</v>
      </c>
      <c r="C37" s="1" t="s">
        <v>171</v>
      </c>
      <c r="D37" s="1" t="s">
        <v>170</v>
      </c>
      <c r="E37" s="57">
        <v>10</v>
      </c>
      <c r="F37" s="58">
        <v>100.232</v>
      </c>
      <c r="G37" s="14">
        <f t="shared" si="5"/>
        <v>1.15E-2</v>
      </c>
      <c r="H37" s="60">
        <v>43259</v>
      </c>
      <c r="I37" s="64"/>
      <c r="N37" s="61"/>
      <c r="P37" s="59"/>
    </row>
    <row r="38" spans="1:16" ht="12.75" customHeight="1" x14ac:dyDescent="0.2">
      <c r="B38" s="18" t="s">
        <v>85</v>
      </c>
      <c r="C38" s="18"/>
      <c r="D38" s="18"/>
      <c r="E38" s="29"/>
      <c r="F38" s="19">
        <f>SUM(F24:F37)</f>
        <v>4540.5606099999995</v>
      </c>
      <c r="G38" s="20">
        <f>SUM(G24:G37)</f>
        <v>0.52290000000000003</v>
      </c>
      <c r="H38" s="21"/>
      <c r="I38" s="35"/>
    </row>
    <row r="39" spans="1:16" s="46" customFormat="1" ht="12.75" customHeight="1" x14ac:dyDescent="0.2">
      <c r="B39" s="67"/>
      <c r="C39" s="67"/>
      <c r="D39" s="67"/>
      <c r="E39" s="68"/>
      <c r="F39" s="69"/>
      <c r="G39" s="70"/>
      <c r="H39" s="71"/>
      <c r="I39" s="71"/>
      <c r="K39" s="48"/>
    </row>
    <row r="40" spans="1:16" ht="12.75" customHeight="1" x14ac:dyDescent="0.2">
      <c r="B40" s="16" t="s">
        <v>547</v>
      </c>
      <c r="C40" s="16"/>
      <c r="F40" s="13"/>
      <c r="G40" s="14"/>
      <c r="H40" s="15"/>
      <c r="J40" s="17"/>
      <c r="K40" s="37"/>
    </row>
    <row r="41" spans="1:16" ht="12.75" customHeight="1" x14ac:dyDescent="0.2">
      <c r="A41">
        <f>+MAX($A$8:A40)+1</f>
        <v>23</v>
      </c>
      <c r="B41" s="65" t="s">
        <v>541</v>
      </c>
      <c r="C41" t="s">
        <v>542</v>
      </c>
      <c r="D41" t="s">
        <v>366</v>
      </c>
      <c r="E41" s="28">
        <v>50</v>
      </c>
      <c r="F41" s="13">
        <v>519.827</v>
      </c>
      <c r="G41" s="14">
        <f>+ROUND(F41/VLOOKUP("Grand Total",$B$4:$F$306,5,0),4)</f>
        <v>5.9900000000000002E-2</v>
      </c>
      <c r="H41" s="15">
        <v>43321</v>
      </c>
      <c r="I41" s="64"/>
      <c r="J41" s="14"/>
      <c r="K41" s="48"/>
    </row>
    <row r="42" spans="1:16" ht="12.75" customHeight="1" x14ac:dyDescent="0.2">
      <c r="B42" s="18" t="s">
        <v>85</v>
      </c>
      <c r="C42" s="18"/>
      <c r="D42" s="18"/>
      <c r="E42" s="29"/>
      <c r="F42" s="19">
        <f>SUM(F41:F41)</f>
        <v>519.827</v>
      </c>
      <c r="G42" s="20">
        <f>SUM(G41:G41)</f>
        <v>5.9900000000000002E-2</v>
      </c>
      <c r="H42" s="21"/>
      <c r="K42" s="48"/>
      <c r="M42" s="14"/>
      <c r="N42" s="36"/>
      <c r="P42" s="14"/>
    </row>
    <row r="43" spans="1:16" s="46" customFormat="1" ht="12.75" customHeight="1" x14ac:dyDescent="0.2">
      <c r="B43" s="67"/>
      <c r="C43" s="67"/>
      <c r="D43" s="67"/>
      <c r="E43" s="68"/>
      <c r="F43" s="69"/>
      <c r="G43" s="70"/>
      <c r="H43" s="71"/>
      <c r="I43" s="71"/>
      <c r="K43" s="48"/>
    </row>
    <row r="44" spans="1:16" ht="12.75" customHeight="1" x14ac:dyDescent="0.2">
      <c r="A44" s="95" t="s">
        <v>370</v>
      </c>
      <c r="B44" s="16" t="s">
        <v>93</v>
      </c>
      <c r="C44" s="16"/>
      <c r="F44" s="13">
        <v>746.36022000000003</v>
      </c>
      <c r="G44" s="14">
        <f>+ROUND(F44/VLOOKUP("Grand Total",$B$4:$F$306,5,0),4)</f>
        <v>8.5999999999999993E-2</v>
      </c>
      <c r="H44" s="15">
        <v>43132</v>
      </c>
    </row>
    <row r="45" spans="1:16" ht="12.75" customHeight="1" x14ac:dyDescent="0.2">
      <c r="B45" s="18" t="s">
        <v>85</v>
      </c>
      <c r="C45" s="18"/>
      <c r="D45" s="18"/>
      <c r="E45" s="29"/>
      <c r="F45" s="19">
        <f>SUM(F44)</f>
        <v>746.36022000000003</v>
      </c>
      <c r="G45" s="20">
        <f>SUM(G44)</f>
        <v>8.5999999999999993E-2</v>
      </c>
      <c r="H45" s="21"/>
    </row>
    <row r="46" spans="1:16" ht="12.75" customHeight="1" x14ac:dyDescent="0.2">
      <c r="F46" s="13"/>
      <c r="G46" s="14"/>
      <c r="H46" s="15"/>
      <c r="I46" s="35"/>
    </row>
    <row r="47" spans="1:16" ht="12.75" customHeight="1" x14ac:dyDescent="0.2">
      <c r="B47" s="16" t="s">
        <v>94</v>
      </c>
      <c r="C47" s="16"/>
      <c r="F47" s="13"/>
      <c r="G47" s="14"/>
      <c r="H47" s="15"/>
    </row>
    <row r="48" spans="1:16" ht="12.75" customHeight="1" x14ac:dyDescent="0.2">
      <c r="B48" s="16" t="s">
        <v>95</v>
      </c>
      <c r="C48" s="16"/>
      <c r="F48" s="13">
        <v>-125.42260049999823</v>
      </c>
      <c r="G48" s="125">
        <f>+ROUND(F48/VLOOKUP("Grand Total",$B$4:$F$306,5,0),4)</f>
        <v>-1.44E-2</v>
      </c>
      <c r="H48" s="15"/>
    </row>
    <row r="49" spans="2:9" ht="12.75" customHeight="1" x14ac:dyDescent="0.2">
      <c r="B49" s="18" t="s">
        <v>85</v>
      </c>
      <c r="C49" s="18"/>
      <c r="D49" s="18"/>
      <c r="E49" s="29"/>
      <c r="F49" s="19">
        <f>SUM(F48)</f>
        <v>-125.42260049999823</v>
      </c>
      <c r="G49" s="126">
        <f>SUM(G48)</f>
        <v>-1.44E-2</v>
      </c>
      <c r="H49" s="21"/>
      <c r="I49" s="35"/>
    </row>
    <row r="50" spans="2:9" ht="12.75" customHeight="1" x14ac:dyDescent="0.2">
      <c r="B50" s="22" t="s">
        <v>96</v>
      </c>
      <c r="C50" s="22"/>
      <c r="D50" s="22"/>
      <c r="E50" s="30"/>
      <c r="F50" s="23">
        <f>+SUMIF($B$5:B49,"Total",$F$5:F49)</f>
        <v>8682.5764075000025</v>
      </c>
      <c r="G50" s="24">
        <f>+SUMIF($B$5:B49,"Total",$G$5:G49)</f>
        <v>1</v>
      </c>
      <c r="H50" s="25"/>
    </row>
    <row r="51" spans="2:9" ht="12.75" customHeight="1" x14ac:dyDescent="0.2"/>
    <row r="52" spans="2:9" ht="12.75" customHeight="1" x14ac:dyDescent="0.2">
      <c r="B52" s="16" t="s">
        <v>671</v>
      </c>
      <c r="C52" s="16"/>
    </row>
    <row r="53" spans="2:9" ht="12.75" customHeight="1" x14ac:dyDescent="0.2">
      <c r="B53" s="16" t="s">
        <v>186</v>
      </c>
      <c r="C53" s="16"/>
      <c r="I53" s="35"/>
    </row>
    <row r="54" spans="2:9" ht="12.75" customHeight="1" x14ac:dyDescent="0.2">
      <c r="B54" s="16" t="s">
        <v>767</v>
      </c>
      <c r="C54" s="16"/>
      <c r="I54" s="35"/>
    </row>
    <row r="55" spans="2:9" ht="12.75" customHeight="1" x14ac:dyDescent="0.2">
      <c r="B55" s="16" t="s">
        <v>772</v>
      </c>
      <c r="C55" s="16"/>
    </row>
    <row r="56" spans="2:9" ht="12.75" customHeight="1" x14ac:dyDescent="0.2">
      <c r="B56" s="16"/>
      <c r="C56" s="16"/>
    </row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</sheetData>
  <sheetProtection password="EDB3" sheet="1" objects="1" scenarios="1"/>
  <sortState ref="J9:K20">
    <sortCondition descending="1" ref="K9:K2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7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4" t="s">
        <v>382</v>
      </c>
      <c r="B1" s="127" t="s">
        <v>190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91</v>
      </c>
      <c r="F7" s="13"/>
      <c r="G7" s="14"/>
      <c r="H7" s="15"/>
    </row>
    <row r="8" spans="1:16" ht="12.75" customHeight="1" x14ac:dyDescent="0.2">
      <c r="B8" s="16" t="s">
        <v>306</v>
      </c>
      <c r="C8" s="16"/>
      <c r="F8" s="13"/>
      <c r="G8" s="14"/>
      <c r="H8" s="15"/>
      <c r="I8" s="64"/>
      <c r="L8" s="54"/>
      <c r="M8" s="14"/>
      <c r="N8" s="36"/>
      <c r="P8" s="14"/>
    </row>
    <row r="9" spans="1:16" ht="12.75" customHeight="1" x14ac:dyDescent="0.2">
      <c r="A9">
        <f>+MAX($A8:A$8)+1</f>
        <v>1</v>
      </c>
      <c r="B9" s="1" t="s">
        <v>291</v>
      </c>
      <c r="C9" t="s">
        <v>563</v>
      </c>
      <c r="D9" t="s">
        <v>578</v>
      </c>
      <c r="E9" s="28">
        <v>100</v>
      </c>
      <c r="F9" s="13">
        <v>474.53500000000003</v>
      </c>
      <c r="G9" s="14">
        <f>+ROUND(F9/VLOOKUP("Grand Total",$B$4:$F$298,5,0),4)</f>
        <v>4.1399999999999999E-2</v>
      </c>
      <c r="H9" s="15">
        <v>43350</v>
      </c>
      <c r="I9" s="64"/>
      <c r="J9" s="17" t="s">
        <v>4</v>
      </c>
      <c r="K9" s="37" t="s">
        <v>12</v>
      </c>
    </row>
    <row r="10" spans="1:16" ht="12.75" customHeight="1" x14ac:dyDescent="0.2">
      <c r="B10" s="18" t="s">
        <v>85</v>
      </c>
      <c r="C10" s="18"/>
      <c r="D10" s="18"/>
      <c r="E10" s="29"/>
      <c r="F10" s="19">
        <f>SUM(F9:F9)</f>
        <v>474.53500000000003</v>
      </c>
      <c r="G10" s="20">
        <f>SUM(G9:G9)</f>
        <v>4.1399999999999999E-2</v>
      </c>
      <c r="H10" s="21"/>
      <c r="I10" s="64"/>
      <c r="J10" s="14" t="s">
        <v>403</v>
      </c>
      <c r="K10" s="48">
        <f t="shared" ref="K10:K17" si="0">SUMIFS($G$5:$G$335,$D$5:$D$335,J10)</f>
        <v>0.45749999999999991</v>
      </c>
    </row>
    <row r="11" spans="1:16" ht="12.75" customHeight="1" x14ac:dyDescent="0.2">
      <c r="F11" s="13"/>
      <c r="G11" s="14"/>
      <c r="H11" s="15"/>
      <c r="J11" s="90" t="s">
        <v>108</v>
      </c>
      <c r="K11" s="48">
        <f t="shared" si="0"/>
        <v>0.29899999999999999</v>
      </c>
    </row>
    <row r="12" spans="1:16" ht="12.75" customHeight="1" x14ac:dyDescent="0.2">
      <c r="B12" s="16" t="s">
        <v>169</v>
      </c>
      <c r="C12" s="16"/>
      <c r="F12" s="13"/>
      <c r="G12" s="14"/>
      <c r="H12" s="15"/>
      <c r="I12" s="64"/>
      <c r="J12" t="s">
        <v>362</v>
      </c>
      <c r="K12" s="48">
        <f t="shared" si="0"/>
        <v>6.1400000000000003E-2</v>
      </c>
      <c r="L12" s="54"/>
      <c r="M12" s="14"/>
      <c r="N12" s="36"/>
      <c r="P12" s="14"/>
    </row>
    <row r="13" spans="1:16" ht="12.75" customHeight="1" x14ac:dyDescent="0.2">
      <c r="A13">
        <f>+MAX($A$8:A12)+1</f>
        <v>2</v>
      </c>
      <c r="B13" s="1" t="s">
        <v>607</v>
      </c>
      <c r="C13" t="s">
        <v>608</v>
      </c>
      <c r="D13" t="s">
        <v>403</v>
      </c>
      <c r="E13" s="28">
        <v>1600000</v>
      </c>
      <c r="F13" s="13">
        <v>1577.6</v>
      </c>
      <c r="G13" s="14">
        <f t="shared" ref="G13:G18" si="1">+ROUND(F13/VLOOKUP("Grand Total",$B$4:$F$298,5,0),4)</f>
        <v>0.13769999999999999</v>
      </c>
      <c r="H13" s="15">
        <v>47197</v>
      </c>
      <c r="I13" s="64"/>
      <c r="J13" t="s">
        <v>473</v>
      </c>
      <c r="K13" s="48">
        <f t="shared" si="0"/>
        <v>4.36E-2</v>
      </c>
    </row>
    <row r="14" spans="1:16" ht="12.75" customHeight="1" x14ac:dyDescent="0.2">
      <c r="A14">
        <f>+MAX($A$8:A13)+1</f>
        <v>3</v>
      </c>
      <c r="B14" s="1" t="s">
        <v>470</v>
      </c>
      <c r="C14" t="s">
        <v>471</v>
      </c>
      <c r="D14" t="s">
        <v>403</v>
      </c>
      <c r="E14" s="28">
        <v>1450000</v>
      </c>
      <c r="F14" s="13">
        <v>1421.87</v>
      </c>
      <c r="G14" s="14">
        <f t="shared" si="1"/>
        <v>0.1241</v>
      </c>
      <c r="H14" s="15">
        <v>44914</v>
      </c>
      <c r="I14" s="64"/>
      <c r="J14" t="s">
        <v>174</v>
      </c>
      <c r="K14" s="48">
        <f t="shared" si="0"/>
        <v>4.2799999999999998E-2</v>
      </c>
    </row>
    <row r="15" spans="1:16" ht="12.75" customHeight="1" x14ac:dyDescent="0.2">
      <c r="A15">
        <f>+MAX($A$8:A14)+1</f>
        <v>4</v>
      </c>
      <c r="B15" s="1" t="s">
        <v>487</v>
      </c>
      <c r="C15" t="s">
        <v>488</v>
      </c>
      <c r="D15" t="s">
        <v>403</v>
      </c>
      <c r="E15" s="28">
        <v>750000</v>
      </c>
      <c r="F15" s="13">
        <v>757.42499999999995</v>
      </c>
      <c r="G15" s="14">
        <f t="shared" si="1"/>
        <v>6.6100000000000006E-2</v>
      </c>
      <c r="H15" s="15">
        <v>45275</v>
      </c>
      <c r="I15" s="64"/>
      <c r="J15" t="s">
        <v>578</v>
      </c>
      <c r="K15" s="48">
        <f t="shared" si="0"/>
        <v>4.1399999999999999E-2</v>
      </c>
    </row>
    <row r="16" spans="1:16" ht="12.75" customHeight="1" x14ac:dyDescent="0.2">
      <c r="A16">
        <f>+MAX($A$8:A15)+1</f>
        <v>5</v>
      </c>
      <c r="B16" s="1" t="s">
        <v>607</v>
      </c>
      <c r="C16" t="s">
        <v>697</v>
      </c>
      <c r="D16" t="s">
        <v>403</v>
      </c>
      <c r="E16" s="28">
        <v>500000</v>
      </c>
      <c r="F16" s="13">
        <v>498.25</v>
      </c>
      <c r="G16" s="14">
        <f t="shared" si="1"/>
        <v>4.3499999999999997E-2</v>
      </c>
      <c r="H16" s="15">
        <v>46033</v>
      </c>
      <c r="I16" s="64"/>
      <c r="J16" s="14" t="s">
        <v>670</v>
      </c>
      <c r="K16" s="48">
        <f t="shared" si="0"/>
        <v>1.7399999999999999E-2</v>
      </c>
    </row>
    <row r="17" spans="1:16" ht="12.75" customHeight="1" x14ac:dyDescent="0.2">
      <c r="A17">
        <f>+MAX($A$8:A16)+1</f>
        <v>6</v>
      </c>
      <c r="B17" s="1" t="s">
        <v>600</v>
      </c>
      <c r="C17" t="s">
        <v>601</v>
      </c>
      <c r="D17" t="s">
        <v>403</v>
      </c>
      <c r="E17" s="28">
        <v>350000</v>
      </c>
      <c r="F17" s="13">
        <v>331.38875000000002</v>
      </c>
      <c r="G17" s="14">
        <f t="shared" si="1"/>
        <v>2.8899999999999999E-2</v>
      </c>
      <c r="H17" s="15">
        <v>46522</v>
      </c>
      <c r="I17" s="64"/>
      <c r="J17" t="s">
        <v>170</v>
      </c>
      <c r="K17" s="48">
        <f t="shared" si="0"/>
        <v>7.9000000000000008E-3</v>
      </c>
    </row>
    <row r="18" spans="1:16" ht="12.75" customHeight="1" x14ac:dyDescent="0.2">
      <c r="A18">
        <f>+MAX($A$8:A17)+1</f>
        <v>7</v>
      </c>
      <c r="B18" s="1" t="s">
        <v>643</v>
      </c>
      <c r="C18" t="s">
        <v>644</v>
      </c>
      <c r="D18" t="s">
        <v>403</v>
      </c>
      <c r="E18" s="28">
        <v>200000</v>
      </c>
      <c r="F18" s="13">
        <v>178.25399999999999</v>
      </c>
      <c r="G18" s="14">
        <f t="shared" si="1"/>
        <v>1.5599999999999999E-2</v>
      </c>
      <c r="H18" s="15">
        <v>48918</v>
      </c>
      <c r="I18" s="64"/>
      <c r="J18" s="14" t="s">
        <v>64</v>
      </c>
      <c r="K18" s="48">
        <f>+SUMIFS($G$5:$G$997,$B$5:$B$997,"CBLO / Reverse Repo Investments")+SUMIFS($G$5:$G$997,$B$5:$B$997,"Net Receivable/Payable")</f>
        <v>2.9000000000000001E-2</v>
      </c>
    </row>
    <row r="19" spans="1:16" ht="12.75" customHeight="1" x14ac:dyDescent="0.2">
      <c r="B19" s="18" t="s">
        <v>85</v>
      </c>
      <c r="C19" s="18"/>
      <c r="D19" s="18"/>
      <c r="E19" s="29"/>
      <c r="F19" s="19">
        <f>SUM(F13:F18)</f>
        <v>4764.7877499999995</v>
      </c>
      <c r="G19" s="20">
        <f>SUM(G13:G18)</f>
        <v>0.41589999999999994</v>
      </c>
      <c r="H19" s="21"/>
      <c r="I19" s="64"/>
      <c r="J19" s="14"/>
      <c r="K19" s="48"/>
    </row>
    <row r="20" spans="1:16" ht="12.75" customHeight="1" x14ac:dyDescent="0.2">
      <c r="F20" s="13"/>
      <c r="G20" s="14"/>
      <c r="H20" s="15"/>
      <c r="I20" s="64"/>
    </row>
    <row r="21" spans="1:16" ht="12.75" customHeight="1" x14ac:dyDescent="0.2">
      <c r="B21" s="16" t="s">
        <v>438</v>
      </c>
      <c r="C21" s="16"/>
      <c r="F21" s="13"/>
      <c r="G21" s="14"/>
      <c r="H21" s="15"/>
      <c r="I21" s="64"/>
      <c r="K21" s="48"/>
      <c r="L21" s="54"/>
      <c r="M21" s="14"/>
      <c r="N21" s="36"/>
      <c r="P21" s="14"/>
    </row>
    <row r="22" spans="1:16" ht="12.75" customHeight="1" x14ac:dyDescent="0.2">
      <c r="A22">
        <f>+MAX($A$8:A21)+1</f>
        <v>8</v>
      </c>
      <c r="B22" s="1" t="s">
        <v>699</v>
      </c>
      <c r="C22" t="s">
        <v>700</v>
      </c>
      <c r="D22" t="s">
        <v>403</v>
      </c>
      <c r="E22" s="28">
        <v>500000</v>
      </c>
      <c r="F22" s="13">
        <v>476.4</v>
      </c>
      <c r="G22" s="14">
        <f>+ROUND(F22/VLOOKUP("Grand Total",$B$4:$F$298,5,0),4)</f>
        <v>4.1599999999999998E-2</v>
      </c>
      <c r="H22" s="15">
        <v>46643</v>
      </c>
      <c r="I22" s="64"/>
      <c r="K22" s="48"/>
    </row>
    <row r="23" spans="1:16" ht="12.75" customHeight="1" x14ac:dyDescent="0.2">
      <c r="B23" s="18" t="s">
        <v>85</v>
      </c>
      <c r="C23" s="18"/>
      <c r="D23" s="18"/>
      <c r="E23" s="29"/>
      <c r="F23" s="19">
        <f>SUM(F22:F22)</f>
        <v>476.4</v>
      </c>
      <c r="G23" s="20">
        <f>SUM(G22:G22)</f>
        <v>4.1599999999999998E-2</v>
      </c>
      <c r="H23" s="21"/>
      <c r="I23" s="64"/>
      <c r="J23" s="14"/>
      <c r="K23" s="48"/>
    </row>
    <row r="24" spans="1:16" ht="12.75" customHeight="1" x14ac:dyDescent="0.2">
      <c r="F24" s="13"/>
      <c r="G24" s="14"/>
      <c r="H24" s="15"/>
      <c r="I24" s="64"/>
    </row>
    <row r="25" spans="1:16" ht="12.75" customHeight="1" x14ac:dyDescent="0.2">
      <c r="B25" s="16" t="s">
        <v>125</v>
      </c>
      <c r="C25" s="16"/>
      <c r="F25" s="13"/>
      <c r="G25" s="14"/>
      <c r="H25" s="15"/>
      <c r="I25" s="64"/>
      <c r="J25" s="14"/>
      <c r="K25" s="48"/>
    </row>
    <row r="26" spans="1:16" ht="12.75" customHeight="1" x14ac:dyDescent="0.2">
      <c r="B26" s="31" t="s">
        <v>406</v>
      </c>
      <c r="C26" s="16"/>
      <c r="F26" s="13"/>
      <c r="G26" s="14"/>
      <c r="H26" s="15"/>
      <c r="I26" s="64"/>
      <c r="J26" s="14"/>
    </row>
    <row r="27" spans="1:16" ht="12.75" customHeight="1" x14ac:dyDescent="0.2">
      <c r="A27">
        <f>+MAX($A$8:A26)+1</f>
        <v>9</v>
      </c>
      <c r="B27" s="65" t="s">
        <v>727</v>
      </c>
      <c r="C27" t="s">
        <v>439</v>
      </c>
      <c r="D27" t="s">
        <v>108</v>
      </c>
      <c r="E27" s="28">
        <v>50</v>
      </c>
      <c r="F27" s="13">
        <v>521.36749999999995</v>
      </c>
      <c r="G27" s="14">
        <f>+ROUND(F27/VLOOKUP("Grand Total",$B$4:$F$298,5,0),4)</f>
        <v>4.5499999999999999E-2</v>
      </c>
      <c r="H27" s="15">
        <v>44852</v>
      </c>
      <c r="I27" s="64"/>
    </row>
    <row r="28" spans="1:16" ht="12.75" customHeight="1" x14ac:dyDescent="0.2">
      <c r="A28">
        <f>+MAX($A$8:A27)+1</f>
        <v>10</v>
      </c>
      <c r="B28" s="65" t="s">
        <v>728</v>
      </c>
      <c r="C28" t="s">
        <v>609</v>
      </c>
      <c r="D28" t="s">
        <v>108</v>
      </c>
      <c r="E28" s="28">
        <v>50</v>
      </c>
      <c r="F28" s="13">
        <v>512.19849999999997</v>
      </c>
      <c r="G28" s="14">
        <f>+ROUND(F28/VLOOKUP("Grand Total",$B$4:$F$298,5,0),4)</f>
        <v>4.4699999999999997E-2</v>
      </c>
      <c r="H28" s="15">
        <v>45042</v>
      </c>
      <c r="I28" s="64"/>
    </row>
    <row r="29" spans="1:16" ht="12.75" customHeight="1" x14ac:dyDescent="0.2">
      <c r="A29">
        <f>+MAX($A$8:A28)+1</f>
        <v>11</v>
      </c>
      <c r="B29" s="65" t="s">
        <v>729</v>
      </c>
      <c r="C29" s="65" t="s">
        <v>334</v>
      </c>
      <c r="D29" t="s">
        <v>108</v>
      </c>
      <c r="E29" s="28">
        <v>100</v>
      </c>
      <c r="F29" s="13">
        <v>504.04349999999999</v>
      </c>
      <c r="G29" s="14">
        <f t="shared" ref="G29:G39" si="2">+ROUND(F29/VLOOKUP("Grand Total",$B$4:$F$301,5,0),4)</f>
        <v>4.3999999999999997E-2</v>
      </c>
      <c r="H29" s="15">
        <v>43948</v>
      </c>
      <c r="I29" s="64"/>
    </row>
    <row r="30" spans="1:16" ht="12.75" customHeight="1" x14ac:dyDescent="0.2">
      <c r="A30">
        <f>+MAX($A$8:A29)+1</f>
        <v>12</v>
      </c>
      <c r="B30" s="65" t="s">
        <v>730</v>
      </c>
      <c r="C30" s="65" t="s">
        <v>437</v>
      </c>
      <c r="D30" t="s">
        <v>362</v>
      </c>
      <c r="E30" s="28">
        <v>50000</v>
      </c>
      <c r="F30" s="13">
        <v>503.488</v>
      </c>
      <c r="G30" s="14">
        <f t="shared" si="2"/>
        <v>4.3900000000000002E-2</v>
      </c>
      <c r="H30" s="15">
        <v>43693</v>
      </c>
      <c r="I30" s="64"/>
    </row>
    <row r="31" spans="1:16" ht="12.75" customHeight="1" x14ac:dyDescent="0.2">
      <c r="A31">
        <f>+MAX($A$8:A30)+1</f>
        <v>13</v>
      </c>
      <c r="B31" s="65" t="s">
        <v>731</v>
      </c>
      <c r="C31" s="65" t="s">
        <v>407</v>
      </c>
      <c r="D31" t="s">
        <v>108</v>
      </c>
      <c r="E31" s="28">
        <v>50</v>
      </c>
      <c r="F31" s="13">
        <v>502.92349999999999</v>
      </c>
      <c r="G31" s="14">
        <f t="shared" si="2"/>
        <v>4.3900000000000002E-2</v>
      </c>
      <c r="H31" s="15">
        <v>44127</v>
      </c>
      <c r="I31" s="64"/>
    </row>
    <row r="32" spans="1:16" ht="12.75" customHeight="1" x14ac:dyDescent="0.2">
      <c r="A32">
        <f>+MAX($A$8:A31)+1</f>
        <v>14</v>
      </c>
      <c r="B32" s="65" t="s">
        <v>732</v>
      </c>
      <c r="C32" s="65" t="s">
        <v>472</v>
      </c>
      <c r="D32" t="s">
        <v>473</v>
      </c>
      <c r="E32" s="28">
        <v>50</v>
      </c>
      <c r="F32" s="13">
        <v>499.745</v>
      </c>
      <c r="G32" s="14">
        <f t="shared" si="2"/>
        <v>4.36E-2</v>
      </c>
      <c r="H32" s="15">
        <v>44693</v>
      </c>
      <c r="I32" s="64"/>
    </row>
    <row r="33" spans="1:10" ht="12.75" customHeight="1" x14ac:dyDescent="0.2">
      <c r="A33">
        <f>+MAX($A$8:A32)+1</f>
        <v>15</v>
      </c>
      <c r="B33" s="65" t="s">
        <v>733</v>
      </c>
      <c r="C33" s="65" t="s">
        <v>582</v>
      </c>
      <c r="D33" t="s">
        <v>108</v>
      </c>
      <c r="E33" s="28">
        <v>5</v>
      </c>
      <c r="F33" s="13">
        <v>495.48849999999999</v>
      </c>
      <c r="G33" s="14">
        <f t="shared" si="2"/>
        <v>4.3200000000000002E-2</v>
      </c>
      <c r="H33" s="15">
        <v>43787</v>
      </c>
      <c r="I33" s="64"/>
    </row>
    <row r="34" spans="1:10" ht="12.75" customHeight="1" x14ac:dyDescent="0.2">
      <c r="A34">
        <f>+MAX($A$8:A33)+1</f>
        <v>16</v>
      </c>
      <c r="B34" s="65" t="s">
        <v>734</v>
      </c>
      <c r="C34" s="65" t="s">
        <v>545</v>
      </c>
      <c r="D34" t="s">
        <v>174</v>
      </c>
      <c r="E34" s="28">
        <v>50</v>
      </c>
      <c r="F34" s="13">
        <v>490.57900000000001</v>
      </c>
      <c r="G34" s="14">
        <f t="shared" si="2"/>
        <v>4.2799999999999998E-2</v>
      </c>
      <c r="H34" s="15">
        <v>44376</v>
      </c>
      <c r="I34" s="64"/>
    </row>
    <row r="35" spans="1:10" ht="12.75" customHeight="1" x14ac:dyDescent="0.2">
      <c r="A35">
        <f>+MAX($A$8:A34)+1</f>
        <v>17</v>
      </c>
      <c r="B35" s="65" t="s">
        <v>698</v>
      </c>
      <c r="C35" s="65" t="s">
        <v>571</v>
      </c>
      <c r="D35" t="s">
        <v>108</v>
      </c>
      <c r="E35" s="28">
        <v>50</v>
      </c>
      <c r="F35" s="13">
        <v>484.69150000000002</v>
      </c>
      <c r="G35" s="14">
        <f t="shared" si="2"/>
        <v>4.2299999999999997E-2</v>
      </c>
      <c r="H35" s="15">
        <v>44804</v>
      </c>
      <c r="I35" s="64"/>
    </row>
    <row r="36" spans="1:10" ht="12.75" customHeight="1" x14ac:dyDescent="0.2">
      <c r="A36">
        <f>+MAX($A$8:A35)+1</f>
        <v>18</v>
      </c>
      <c r="B36" s="65" t="s">
        <v>735</v>
      </c>
      <c r="C36" s="65" t="s">
        <v>408</v>
      </c>
      <c r="D36" t="s">
        <v>108</v>
      </c>
      <c r="E36" s="28">
        <v>40</v>
      </c>
      <c r="F36" s="13">
        <v>405.15440000000001</v>
      </c>
      <c r="G36" s="14">
        <f t="shared" si="2"/>
        <v>3.5400000000000001E-2</v>
      </c>
      <c r="H36" s="15">
        <v>44343</v>
      </c>
      <c r="I36" s="64"/>
    </row>
    <row r="37" spans="1:10" ht="12.75" customHeight="1" x14ac:dyDescent="0.2">
      <c r="A37">
        <f>+MAX($A$8:A36)+1</f>
        <v>19</v>
      </c>
      <c r="B37" s="65" t="s">
        <v>736</v>
      </c>
      <c r="C37" s="65" t="s">
        <v>421</v>
      </c>
      <c r="D37" t="s">
        <v>362</v>
      </c>
      <c r="E37" s="28">
        <v>20</v>
      </c>
      <c r="F37" s="13">
        <v>200.29740000000001</v>
      </c>
      <c r="G37" s="14">
        <f t="shared" si="2"/>
        <v>1.7500000000000002E-2</v>
      </c>
      <c r="H37" s="15">
        <v>43322</v>
      </c>
      <c r="I37" s="64"/>
    </row>
    <row r="38" spans="1:10" ht="12.75" customHeight="1" x14ac:dyDescent="0.2">
      <c r="A38">
        <f>+MAX($A$8:A37)+1</f>
        <v>20</v>
      </c>
      <c r="B38" s="65" t="s">
        <v>737</v>
      </c>
      <c r="C38" s="65" t="s">
        <v>469</v>
      </c>
      <c r="D38" t="s">
        <v>670</v>
      </c>
      <c r="E38" s="28">
        <v>20</v>
      </c>
      <c r="F38" s="13">
        <v>199.97059999999999</v>
      </c>
      <c r="G38" s="14">
        <f t="shared" si="2"/>
        <v>1.7399999999999999E-2</v>
      </c>
      <c r="H38" s="15">
        <v>43469</v>
      </c>
      <c r="I38" s="64"/>
    </row>
    <row r="39" spans="1:10" ht="12.75" customHeight="1" x14ac:dyDescent="0.2">
      <c r="A39">
        <f>+MAX($A$8:A38)+1</f>
        <v>21</v>
      </c>
      <c r="B39" s="65" t="s">
        <v>738</v>
      </c>
      <c r="C39" s="65" t="s">
        <v>171</v>
      </c>
      <c r="D39" t="s">
        <v>170</v>
      </c>
      <c r="E39" s="28">
        <v>9</v>
      </c>
      <c r="F39" s="13">
        <v>90.208799999999997</v>
      </c>
      <c r="G39" s="14">
        <f t="shared" si="2"/>
        <v>7.9000000000000008E-3</v>
      </c>
      <c r="H39" s="15">
        <v>43259</v>
      </c>
      <c r="I39" s="64"/>
    </row>
    <row r="40" spans="1:10" ht="12.75" customHeight="1" x14ac:dyDescent="0.2">
      <c r="B40" s="18" t="s">
        <v>85</v>
      </c>
      <c r="C40" s="18"/>
      <c r="D40" s="18"/>
      <c r="E40" s="29"/>
      <c r="F40" s="19">
        <f>SUM(F27:F39)</f>
        <v>5410.1562000000004</v>
      </c>
      <c r="G40" s="20">
        <f>SUM(G27:G39)</f>
        <v>0.47209999999999996</v>
      </c>
      <c r="H40" s="21"/>
      <c r="J40" s="52"/>
    </row>
    <row r="41" spans="1:10" ht="12.75" customHeight="1" x14ac:dyDescent="0.2">
      <c r="F41" s="13"/>
      <c r="G41" s="14"/>
      <c r="H41" s="15"/>
    </row>
    <row r="42" spans="1:10" ht="12.75" customHeight="1" x14ac:dyDescent="0.2">
      <c r="A42" s="95" t="s">
        <v>370</v>
      </c>
      <c r="B42" s="16" t="s">
        <v>93</v>
      </c>
      <c r="C42" s="16"/>
      <c r="F42" s="13">
        <v>260.55772999999999</v>
      </c>
      <c r="G42" s="14">
        <f>+ROUND(F42/VLOOKUP("Grand Total",$B$4:$F$298,5,0),4)</f>
        <v>2.2700000000000001E-2</v>
      </c>
      <c r="H42" s="15">
        <v>43132</v>
      </c>
    </row>
    <row r="43" spans="1:10" ht="12.75" customHeight="1" x14ac:dyDescent="0.2">
      <c r="B43" s="18" t="s">
        <v>85</v>
      </c>
      <c r="C43" s="18"/>
      <c r="D43" s="18"/>
      <c r="E43" s="29"/>
      <c r="F43" s="19">
        <f>SUM(F42)</f>
        <v>260.55772999999999</v>
      </c>
      <c r="G43" s="20">
        <f>SUM(G42)</f>
        <v>2.2700000000000001E-2</v>
      </c>
      <c r="H43" s="21"/>
      <c r="I43" s="35"/>
    </row>
    <row r="44" spans="1:10" ht="12.75" customHeight="1" x14ac:dyDescent="0.2">
      <c r="F44" s="13"/>
      <c r="G44" s="14"/>
      <c r="H44" s="15"/>
    </row>
    <row r="45" spans="1:10" ht="12.75" customHeight="1" x14ac:dyDescent="0.2">
      <c r="B45" s="16" t="s">
        <v>94</v>
      </c>
      <c r="C45" s="16"/>
      <c r="F45" s="13"/>
      <c r="G45" s="14"/>
      <c r="H45" s="15"/>
    </row>
    <row r="46" spans="1:10" ht="12.75" customHeight="1" x14ac:dyDescent="0.2">
      <c r="B46" s="16" t="s">
        <v>95</v>
      </c>
      <c r="C46" s="16"/>
      <c r="F46" s="43">
        <v>73.64619010000024</v>
      </c>
      <c r="G46" s="14">
        <f>+ROUND(F46/VLOOKUP("Grand Total",$B$4:$F$298,5,0),4)-0.01%</f>
        <v>6.3E-3</v>
      </c>
      <c r="H46" s="15"/>
    </row>
    <row r="47" spans="1:10" ht="12.75" customHeight="1" x14ac:dyDescent="0.2">
      <c r="B47" s="18" t="s">
        <v>85</v>
      </c>
      <c r="C47" s="18"/>
      <c r="D47" s="18"/>
      <c r="E47" s="29"/>
      <c r="F47" s="50">
        <f>SUM(F46)</f>
        <v>73.64619010000024</v>
      </c>
      <c r="G47" s="20">
        <f>SUM(G46)</f>
        <v>6.3E-3</v>
      </c>
      <c r="H47" s="21"/>
      <c r="I47" s="35"/>
    </row>
    <row r="48" spans="1:10" ht="12.75" customHeight="1" x14ac:dyDescent="0.2">
      <c r="B48" s="22" t="s">
        <v>96</v>
      </c>
      <c r="C48" s="22"/>
      <c r="D48" s="22"/>
      <c r="E48" s="30"/>
      <c r="F48" s="23">
        <f>+SUMIF($B$5:B47,"Total",$F$5:F47)</f>
        <v>11460.082870099999</v>
      </c>
      <c r="G48" s="24">
        <f>+SUMIF($B$5:B47,"Total",$G$5:G47)</f>
        <v>0.99999999999999989</v>
      </c>
      <c r="H48" s="25"/>
      <c r="I48" s="35"/>
    </row>
    <row r="49" spans="2:3" ht="12.75" customHeight="1" x14ac:dyDescent="0.2"/>
    <row r="50" spans="2:3" ht="12.75" customHeight="1" x14ac:dyDescent="0.2">
      <c r="B50" s="16" t="s">
        <v>671</v>
      </c>
      <c r="C50" s="16"/>
    </row>
    <row r="51" spans="2:3" ht="12.75" customHeight="1" x14ac:dyDescent="0.2">
      <c r="B51" s="16" t="s">
        <v>186</v>
      </c>
      <c r="C51" s="16"/>
    </row>
    <row r="52" spans="2:3" ht="12.75" customHeight="1" x14ac:dyDescent="0.2">
      <c r="B52" s="16"/>
      <c r="C52" s="16"/>
    </row>
    <row r="53" spans="2:3" ht="12.75" customHeight="1" x14ac:dyDescent="0.2">
      <c r="B53" s="16"/>
      <c r="C53" s="16"/>
    </row>
    <row r="54" spans="2:3" ht="12.75" customHeight="1" x14ac:dyDescent="0.2">
      <c r="B54" s="16"/>
      <c r="C54" s="16"/>
    </row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</sheetData>
  <sheetProtection password="EDB3" sheet="1" objects="1" scenarios="1"/>
  <sortState ref="J10:K17">
    <sortCondition descending="1" ref="K10:K17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8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383</v>
      </c>
      <c r="B1" s="127" t="s">
        <v>332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91</v>
      </c>
      <c r="F7" s="13"/>
      <c r="G7" s="14"/>
      <c r="H7" s="15"/>
      <c r="J7" s="17" t="s">
        <v>4</v>
      </c>
      <c r="K7" s="37" t="s">
        <v>12</v>
      </c>
    </row>
    <row r="8" spans="1:16" ht="12.75" customHeight="1" x14ac:dyDescent="0.2">
      <c r="B8" s="16" t="s">
        <v>306</v>
      </c>
      <c r="C8" s="16"/>
      <c r="F8" s="13"/>
      <c r="G8" s="14"/>
      <c r="H8" s="15"/>
      <c r="J8" s="14" t="s">
        <v>108</v>
      </c>
      <c r="K8" s="48">
        <f t="shared" ref="K8:K19" si="0">SUMIFS($G$5:$G$328,$D$5:$D$328,J8)</f>
        <v>0.1421</v>
      </c>
      <c r="M8" s="14"/>
      <c r="N8" s="36"/>
      <c r="P8" s="14"/>
    </row>
    <row r="9" spans="1:16" ht="12.75" customHeight="1" x14ac:dyDescent="0.2">
      <c r="A9">
        <f>+MAX($A$8:A8)+1</f>
        <v>1</v>
      </c>
      <c r="B9" t="s">
        <v>291</v>
      </c>
      <c r="C9" t="s">
        <v>605</v>
      </c>
      <c r="D9" t="s">
        <v>578</v>
      </c>
      <c r="E9" s="28">
        <v>380</v>
      </c>
      <c r="F9" s="13">
        <v>1771.1078</v>
      </c>
      <c r="G9" s="14">
        <f>+ROUND(F9/VLOOKUP("Grand Total",$B$4:$F$270,5,0),4)</f>
        <v>5.1200000000000002E-2</v>
      </c>
      <c r="H9" s="89">
        <v>43426</v>
      </c>
      <c r="J9" s="14" t="s">
        <v>292</v>
      </c>
      <c r="K9" s="48">
        <f t="shared" si="0"/>
        <v>0.12379999999999999</v>
      </c>
      <c r="M9" s="14"/>
      <c r="N9" s="36"/>
      <c r="P9" s="14"/>
    </row>
    <row r="10" spans="1:16" ht="12.75" customHeight="1" x14ac:dyDescent="0.2">
      <c r="B10" s="18" t="s">
        <v>85</v>
      </c>
      <c r="C10" s="18"/>
      <c r="D10" s="18"/>
      <c r="E10" s="29"/>
      <c r="F10" s="19">
        <f>SUM(F9:F9)</f>
        <v>1771.1078</v>
      </c>
      <c r="G10" s="20">
        <f>SUM(G9:G9)</f>
        <v>5.1200000000000002E-2</v>
      </c>
      <c r="H10" s="21"/>
      <c r="J10" t="s">
        <v>362</v>
      </c>
      <c r="K10" s="48">
        <f t="shared" si="0"/>
        <v>0.1177</v>
      </c>
    </row>
    <row r="11" spans="1:16" ht="12.75" customHeight="1" x14ac:dyDescent="0.2">
      <c r="F11" s="13"/>
      <c r="G11" s="14"/>
      <c r="H11" s="15"/>
      <c r="J11" s="14" t="s">
        <v>403</v>
      </c>
      <c r="K11" s="48">
        <f t="shared" si="0"/>
        <v>0.1008</v>
      </c>
    </row>
    <row r="12" spans="1:16" ht="12.75" customHeight="1" x14ac:dyDescent="0.2">
      <c r="B12" s="16" t="s">
        <v>169</v>
      </c>
      <c r="C12" s="16"/>
      <c r="F12" s="13"/>
      <c r="G12" s="14"/>
      <c r="H12" s="15"/>
      <c r="J12" s="14" t="s">
        <v>167</v>
      </c>
      <c r="K12" s="48">
        <f t="shared" si="0"/>
        <v>7.17E-2</v>
      </c>
      <c r="M12" s="14"/>
      <c r="N12" s="36"/>
      <c r="P12" s="14"/>
    </row>
    <row r="13" spans="1:16" ht="12.75" customHeight="1" x14ac:dyDescent="0.2">
      <c r="A13">
        <f>+MAX($A$8:A12)+1</f>
        <v>2</v>
      </c>
      <c r="B13" t="s">
        <v>470</v>
      </c>
      <c r="C13" t="s">
        <v>471</v>
      </c>
      <c r="D13" t="s">
        <v>403</v>
      </c>
      <c r="E13" s="28">
        <v>1045300</v>
      </c>
      <c r="F13" s="13">
        <v>1025.02118</v>
      </c>
      <c r="G13" s="14">
        <f>+ROUND(F13/VLOOKUP("Grand Total",$B$4:$F$270,5,0),4)</f>
        <v>2.9600000000000001E-2</v>
      </c>
      <c r="H13" s="89">
        <v>44914</v>
      </c>
      <c r="J13" s="14" t="s">
        <v>450</v>
      </c>
      <c r="K13" s="48">
        <f t="shared" si="0"/>
        <v>6.0199999999999997E-2</v>
      </c>
      <c r="M13" s="14"/>
      <c r="N13" s="36"/>
      <c r="P13" s="14"/>
    </row>
    <row r="14" spans="1:16" ht="12.75" customHeight="1" x14ac:dyDescent="0.2">
      <c r="A14">
        <f>+MAX($A$8:A13)+1</f>
        <v>3</v>
      </c>
      <c r="B14" t="s">
        <v>314</v>
      </c>
      <c r="C14" t="s">
        <v>294</v>
      </c>
      <c r="D14" t="s">
        <v>403</v>
      </c>
      <c r="E14" s="28">
        <v>500000</v>
      </c>
      <c r="F14" s="13">
        <v>514.5</v>
      </c>
      <c r="G14" s="14">
        <f>+ROUND(F14/VLOOKUP("Grand Total",$B$4:$F$270,5,0),4)</f>
        <v>1.49E-2</v>
      </c>
      <c r="H14" s="89">
        <v>44175</v>
      </c>
      <c r="J14" s="14" t="s">
        <v>670</v>
      </c>
      <c r="K14" s="48">
        <f t="shared" si="0"/>
        <v>5.7799999999999997E-2</v>
      </c>
      <c r="M14" s="14"/>
      <c r="N14" s="36"/>
      <c r="P14" s="14"/>
    </row>
    <row r="15" spans="1:16" ht="12.75" customHeight="1" x14ac:dyDescent="0.2">
      <c r="A15">
        <f>+MAX($A$8:A14)+1</f>
        <v>4</v>
      </c>
      <c r="B15" t="s">
        <v>543</v>
      </c>
      <c r="C15" t="s">
        <v>544</v>
      </c>
      <c r="D15" t="s">
        <v>403</v>
      </c>
      <c r="E15" s="28">
        <v>500000</v>
      </c>
      <c r="F15" s="13">
        <v>494.85</v>
      </c>
      <c r="G15" s="14">
        <f>+ROUND(F15/VLOOKUP("Grand Total",$B$4:$F$270,5,0),4)</f>
        <v>1.43E-2</v>
      </c>
      <c r="H15" s="89">
        <v>45066</v>
      </c>
      <c r="J15" s="14" t="s">
        <v>174</v>
      </c>
      <c r="K15" s="48">
        <f t="shared" si="0"/>
        <v>5.7799999999999997E-2</v>
      </c>
      <c r="M15" s="14"/>
      <c r="N15" s="36"/>
      <c r="P15" s="14"/>
    </row>
    <row r="16" spans="1:16" ht="12.75" customHeight="1" x14ac:dyDescent="0.2">
      <c r="B16" s="18" t="s">
        <v>85</v>
      </c>
      <c r="C16" s="18"/>
      <c r="D16" s="18"/>
      <c r="E16" s="29"/>
      <c r="F16" s="19">
        <f>SUM(F13:F15)</f>
        <v>2034.3711800000001</v>
      </c>
      <c r="G16" s="20">
        <f>SUM(G13:G15)</f>
        <v>5.8799999999999998E-2</v>
      </c>
      <c r="H16" s="21"/>
      <c r="J16" s="14" t="s">
        <v>578</v>
      </c>
      <c r="K16" s="48">
        <f t="shared" si="0"/>
        <v>5.1200000000000002E-2</v>
      </c>
    </row>
    <row r="17" spans="1:16" ht="12.75" customHeight="1" x14ac:dyDescent="0.2">
      <c r="F17" s="13"/>
      <c r="G17" s="14"/>
      <c r="H17" s="15"/>
      <c r="J17" s="14" t="s">
        <v>170</v>
      </c>
      <c r="K17" s="48">
        <f t="shared" si="0"/>
        <v>3.1899999999999998E-2</v>
      </c>
    </row>
    <row r="18" spans="1:16" ht="12.75" customHeight="1" x14ac:dyDescent="0.2">
      <c r="B18" s="16" t="s">
        <v>438</v>
      </c>
      <c r="C18" s="16"/>
      <c r="F18" s="13"/>
      <c r="G18" s="14"/>
      <c r="H18" s="15"/>
      <c r="J18" t="s">
        <v>535</v>
      </c>
      <c r="K18" s="48">
        <f t="shared" si="0"/>
        <v>2.9100000000000001E-2</v>
      </c>
      <c r="M18" s="14"/>
      <c r="N18" s="36"/>
      <c r="P18" s="14"/>
    </row>
    <row r="19" spans="1:16" ht="12.75" customHeight="1" x14ac:dyDescent="0.2">
      <c r="A19">
        <f>+MAX($A$8:A18)+1</f>
        <v>5</v>
      </c>
      <c r="B19" t="s">
        <v>699</v>
      </c>
      <c r="C19" t="s">
        <v>700</v>
      </c>
      <c r="D19" t="s">
        <v>403</v>
      </c>
      <c r="E19" s="28">
        <v>1000000</v>
      </c>
      <c r="F19" s="13">
        <v>952.8</v>
      </c>
      <c r="G19" s="14">
        <f>+ROUND(F19/VLOOKUP("Grand Total",$B$4:$F$270,5,0),4)</f>
        <v>2.75E-2</v>
      </c>
      <c r="H19" s="89">
        <v>46643</v>
      </c>
      <c r="J19" t="s">
        <v>540</v>
      </c>
      <c r="K19" s="48">
        <f t="shared" si="0"/>
        <v>8.6999999999999994E-3</v>
      </c>
      <c r="L19" s="54">
        <f>+SUM($K$8:K9)</f>
        <v>0.26590000000000003</v>
      </c>
      <c r="M19" s="14"/>
      <c r="N19" s="36"/>
      <c r="P19" s="14"/>
    </row>
    <row r="20" spans="1:16" ht="12.75" customHeight="1" x14ac:dyDescent="0.2">
      <c r="A20">
        <f>+MAX($A$8:A19)+1</f>
        <v>6</v>
      </c>
      <c r="B20" t="s">
        <v>701</v>
      </c>
      <c r="C20" t="s">
        <v>702</v>
      </c>
      <c r="D20" t="s">
        <v>403</v>
      </c>
      <c r="E20" s="28">
        <v>500000</v>
      </c>
      <c r="F20" s="13">
        <v>501</v>
      </c>
      <c r="G20" s="14">
        <f>+ROUND(F20/VLOOKUP("Grand Total",$B$4:$F$270,5,0),4)</f>
        <v>1.4500000000000001E-2</v>
      </c>
      <c r="H20" s="89">
        <v>46783</v>
      </c>
      <c r="J20" s="14" t="s">
        <v>64</v>
      </c>
      <c r="K20" s="48">
        <f>+SUMIFS($G$5:$G$997,$B$5:$B$997,"CBLO / Reverse Repo Investments")+SUMIFS($G$5:$G$997,$B$5:$B$997,"Net Receivable/Payable")</f>
        <v>0.1472</v>
      </c>
      <c r="L20" s="54">
        <f>+SUM($K$8:K10)</f>
        <v>0.38360000000000005</v>
      </c>
      <c r="M20" s="14"/>
      <c r="N20" s="36"/>
      <c r="P20" s="14"/>
    </row>
    <row r="21" spans="1:16" ht="12.75" customHeight="1" x14ac:dyDescent="0.2">
      <c r="B21" s="18" t="s">
        <v>85</v>
      </c>
      <c r="C21" s="18"/>
      <c r="D21" s="18"/>
      <c r="E21" s="29"/>
      <c r="F21" s="19">
        <f>SUM(F19:F20)</f>
        <v>1453.8</v>
      </c>
      <c r="G21" s="20">
        <f>SUM(G19:G20)</f>
        <v>4.2000000000000003E-2</v>
      </c>
      <c r="H21" s="21"/>
      <c r="J21" s="14"/>
      <c r="K21" s="48"/>
    </row>
    <row r="22" spans="1:16" ht="12.75" customHeight="1" x14ac:dyDescent="0.2">
      <c r="F22" s="13"/>
      <c r="G22" s="14"/>
      <c r="H22" s="15"/>
      <c r="J22" s="14"/>
      <c r="K22" s="48"/>
    </row>
    <row r="23" spans="1:16" ht="12.75" customHeight="1" x14ac:dyDescent="0.2">
      <c r="B23" s="16" t="s">
        <v>125</v>
      </c>
      <c r="C23" s="16"/>
      <c r="F23" s="13"/>
      <c r="G23" s="14"/>
      <c r="H23" s="15"/>
      <c r="J23" s="14"/>
      <c r="K23" s="48"/>
    </row>
    <row r="24" spans="1:16" ht="12.75" customHeight="1" x14ac:dyDescent="0.2">
      <c r="B24" s="31" t="s">
        <v>305</v>
      </c>
      <c r="C24" s="16"/>
      <c r="F24" s="13"/>
      <c r="G24" s="14"/>
      <c r="H24" s="15"/>
    </row>
    <row r="25" spans="1:16" ht="12.75" customHeight="1" x14ac:dyDescent="0.2">
      <c r="A25">
        <f>+MAX($A$8:A24)+1</f>
        <v>7</v>
      </c>
      <c r="B25" s="65" t="s">
        <v>451</v>
      </c>
      <c r="C25" t="s">
        <v>422</v>
      </c>
      <c r="D25" t="s">
        <v>362</v>
      </c>
      <c r="E25" s="28">
        <v>255000</v>
      </c>
      <c r="F25" s="13">
        <v>2566.9218000000001</v>
      </c>
      <c r="G25" s="14">
        <f t="shared" ref="G25:G38" si="1">+ROUND(F25/VLOOKUP("Grand Total",$B$4:$F$270,5,0),4)</f>
        <v>7.4200000000000002E-2</v>
      </c>
      <c r="H25" s="15">
        <v>43717</v>
      </c>
    </row>
    <row r="26" spans="1:16" ht="12.75" customHeight="1" x14ac:dyDescent="0.2">
      <c r="A26">
        <f>+MAX($A$8:A25)+1</f>
        <v>8</v>
      </c>
      <c r="B26" s="65" t="s">
        <v>489</v>
      </c>
      <c r="C26" t="s">
        <v>490</v>
      </c>
      <c r="D26" t="s">
        <v>292</v>
      </c>
      <c r="E26" s="28">
        <v>250</v>
      </c>
      <c r="F26" s="13">
        <v>2492.5524999999998</v>
      </c>
      <c r="G26" s="14">
        <f t="shared" si="1"/>
        <v>7.1999999999999995E-2</v>
      </c>
      <c r="H26" s="15">
        <v>43630</v>
      </c>
    </row>
    <row r="27" spans="1:16" ht="12.75" customHeight="1" x14ac:dyDescent="0.2">
      <c r="A27">
        <f>+MAX($A$8:A26)+1</f>
        <v>9</v>
      </c>
      <c r="B27" s="65" t="s">
        <v>703</v>
      </c>
      <c r="C27" t="s">
        <v>404</v>
      </c>
      <c r="D27" t="s">
        <v>108</v>
      </c>
      <c r="E27" s="28">
        <v>25</v>
      </c>
      <c r="F27" s="13">
        <v>2490.12</v>
      </c>
      <c r="G27" s="14">
        <f t="shared" si="1"/>
        <v>7.1900000000000006E-2</v>
      </c>
      <c r="H27" s="15">
        <v>43780</v>
      </c>
    </row>
    <row r="28" spans="1:16" ht="12.75" customHeight="1" x14ac:dyDescent="0.2">
      <c r="A28">
        <f>+MAX($A$8:A27)+1</f>
        <v>10</v>
      </c>
      <c r="B28" t="s">
        <v>704</v>
      </c>
      <c r="C28" t="s">
        <v>436</v>
      </c>
      <c r="D28" t="s">
        <v>167</v>
      </c>
      <c r="E28" s="28">
        <v>250</v>
      </c>
      <c r="F28" s="13">
        <v>2481.2775000000001</v>
      </c>
      <c r="G28" s="14">
        <f t="shared" si="1"/>
        <v>7.17E-2</v>
      </c>
      <c r="H28" s="15">
        <v>43951</v>
      </c>
      <c r="J28" s="46"/>
      <c r="K28" s="48"/>
    </row>
    <row r="29" spans="1:16" ht="12.75" customHeight="1" x14ac:dyDescent="0.2">
      <c r="A29">
        <f>+MAX($A$8:A28)+1</f>
        <v>11</v>
      </c>
      <c r="B29" s="65" t="s">
        <v>584</v>
      </c>
      <c r="C29" t="s">
        <v>408</v>
      </c>
      <c r="D29" t="s">
        <v>108</v>
      </c>
      <c r="E29" s="28">
        <v>240</v>
      </c>
      <c r="F29" s="13">
        <v>2430.9263999999998</v>
      </c>
      <c r="G29" s="14">
        <f t="shared" si="1"/>
        <v>7.0199999999999999E-2</v>
      </c>
      <c r="H29" s="15">
        <v>44343</v>
      </c>
    </row>
    <row r="30" spans="1:16" ht="12.75" customHeight="1" x14ac:dyDescent="0.2">
      <c r="A30">
        <f>+MAX($A$8:A29)+1</f>
        <v>12</v>
      </c>
      <c r="B30" s="65" t="s">
        <v>534</v>
      </c>
      <c r="C30" t="s">
        <v>515</v>
      </c>
      <c r="D30" t="s">
        <v>450</v>
      </c>
      <c r="E30" s="28">
        <v>210</v>
      </c>
      <c r="F30" s="13">
        <v>2082.1352999999999</v>
      </c>
      <c r="G30" s="14">
        <f t="shared" si="1"/>
        <v>6.0199999999999997E-2</v>
      </c>
      <c r="H30" s="15">
        <v>43671</v>
      </c>
    </row>
    <row r="31" spans="1:16" ht="12.75" customHeight="1" x14ac:dyDescent="0.2">
      <c r="A31">
        <f>+MAX($A$8:A30)+1</f>
        <v>13</v>
      </c>
      <c r="B31" s="65" t="s">
        <v>599</v>
      </c>
      <c r="C31" t="s">
        <v>448</v>
      </c>
      <c r="D31" t="s">
        <v>174</v>
      </c>
      <c r="E31" s="28">
        <v>200</v>
      </c>
      <c r="F31" s="13">
        <v>2001.742</v>
      </c>
      <c r="G31" s="14">
        <f t="shared" si="1"/>
        <v>5.7799999999999997E-2</v>
      </c>
      <c r="H31" s="15">
        <v>43678</v>
      </c>
    </row>
    <row r="32" spans="1:16" s="46" customFormat="1" ht="12.75" customHeight="1" x14ac:dyDescent="0.2">
      <c r="A32">
        <f>+MAX($A$8:A31)+1</f>
        <v>14</v>
      </c>
      <c r="B32" s="65" t="s">
        <v>636</v>
      </c>
      <c r="C32" t="s">
        <v>469</v>
      </c>
      <c r="D32" t="s">
        <v>670</v>
      </c>
      <c r="E32" s="28">
        <v>200</v>
      </c>
      <c r="F32" s="13">
        <v>1999.7059999999999</v>
      </c>
      <c r="G32" s="14">
        <f t="shared" si="1"/>
        <v>5.7799999999999997E-2</v>
      </c>
      <c r="H32" s="15">
        <v>43469</v>
      </c>
      <c r="I32" s="64"/>
      <c r="J32"/>
      <c r="K32" s="36"/>
    </row>
    <row r="33" spans="1:11" ht="12.75" customHeight="1" x14ac:dyDescent="0.2">
      <c r="A33">
        <f>+MAX($A$8:A32)+1</f>
        <v>15</v>
      </c>
      <c r="B33" s="65" t="s">
        <v>693</v>
      </c>
      <c r="C33" t="s">
        <v>694</v>
      </c>
      <c r="D33" t="s">
        <v>292</v>
      </c>
      <c r="E33" s="28">
        <v>180</v>
      </c>
      <c r="F33" s="13">
        <v>1794.0257999999999</v>
      </c>
      <c r="G33" s="14">
        <f t="shared" si="1"/>
        <v>5.1799999999999999E-2</v>
      </c>
      <c r="H33" s="15">
        <v>43643</v>
      </c>
      <c r="J33" s="52"/>
    </row>
    <row r="34" spans="1:11" ht="12.75" customHeight="1" x14ac:dyDescent="0.2">
      <c r="A34">
        <f>+MAX($A$8:A33)+1</f>
        <v>16</v>
      </c>
      <c r="B34" s="65" t="s">
        <v>315</v>
      </c>
      <c r="C34" t="s">
        <v>171</v>
      </c>
      <c r="D34" t="s">
        <v>170</v>
      </c>
      <c r="E34" s="28">
        <v>110</v>
      </c>
      <c r="F34" s="13">
        <v>1102.5519999999999</v>
      </c>
      <c r="G34" s="14">
        <f t="shared" si="1"/>
        <v>3.1899999999999998E-2</v>
      </c>
      <c r="H34" s="15">
        <v>43259</v>
      </c>
      <c r="J34" s="52"/>
    </row>
    <row r="35" spans="1:11" ht="12.75" customHeight="1" x14ac:dyDescent="0.2">
      <c r="A35">
        <f>+MAX($A$8:A34)+1</f>
        <v>17</v>
      </c>
      <c r="B35" s="65" t="s">
        <v>350</v>
      </c>
      <c r="C35" t="s">
        <v>351</v>
      </c>
      <c r="D35" t="s">
        <v>535</v>
      </c>
      <c r="E35" s="28">
        <v>100</v>
      </c>
      <c r="F35" s="13">
        <v>1006.0119999999999</v>
      </c>
      <c r="G35" s="14">
        <f t="shared" si="1"/>
        <v>2.9100000000000001E-2</v>
      </c>
      <c r="H35" s="15">
        <v>43309</v>
      </c>
      <c r="J35" s="52"/>
    </row>
    <row r="36" spans="1:11" ht="12.75" customHeight="1" x14ac:dyDescent="0.2">
      <c r="A36">
        <f>+MAX($A$8:A35)+1</f>
        <v>18</v>
      </c>
      <c r="B36" s="65" t="s">
        <v>634</v>
      </c>
      <c r="C36" t="s">
        <v>395</v>
      </c>
      <c r="D36" t="s">
        <v>362</v>
      </c>
      <c r="E36" s="28">
        <v>100</v>
      </c>
      <c r="F36" s="13">
        <v>1004.312</v>
      </c>
      <c r="G36" s="14">
        <f t="shared" si="1"/>
        <v>2.9000000000000001E-2</v>
      </c>
      <c r="H36" s="15">
        <v>43892</v>
      </c>
    </row>
    <row r="37" spans="1:11" ht="12.75" customHeight="1" x14ac:dyDescent="0.2">
      <c r="A37">
        <f>+MAX($A$8:A36)+1</f>
        <v>19</v>
      </c>
      <c r="B37" s="65" t="s">
        <v>360</v>
      </c>
      <c r="C37" t="s">
        <v>361</v>
      </c>
      <c r="D37" t="s">
        <v>362</v>
      </c>
      <c r="E37" s="28">
        <v>50</v>
      </c>
      <c r="F37" s="13">
        <v>503.03149999999999</v>
      </c>
      <c r="G37" s="14">
        <f t="shared" si="1"/>
        <v>1.4500000000000001E-2</v>
      </c>
      <c r="H37" s="15">
        <v>43542</v>
      </c>
      <c r="J37" s="52"/>
    </row>
    <row r="38" spans="1:11" ht="12.75" customHeight="1" x14ac:dyDescent="0.2">
      <c r="A38">
        <f>+MAX($A$8:A37)+1</f>
        <v>20</v>
      </c>
      <c r="B38" s="65" t="s">
        <v>692</v>
      </c>
      <c r="C38" t="s">
        <v>365</v>
      </c>
      <c r="D38" t="s">
        <v>540</v>
      </c>
      <c r="E38" s="28">
        <v>30</v>
      </c>
      <c r="F38" s="13">
        <v>300</v>
      </c>
      <c r="G38" s="14">
        <f t="shared" si="1"/>
        <v>8.6999999999999994E-3</v>
      </c>
      <c r="H38" s="15">
        <v>43132</v>
      </c>
      <c r="J38" s="52"/>
    </row>
    <row r="39" spans="1:11" ht="12.75" customHeight="1" x14ac:dyDescent="0.2">
      <c r="B39" s="18" t="s">
        <v>85</v>
      </c>
      <c r="C39" s="18"/>
      <c r="D39" s="18"/>
      <c r="E39" s="29"/>
      <c r="F39" s="19">
        <f>SUM(F25:F38)</f>
        <v>24255.3148</v>
      </c>
      <c r="G39" s="20">
        <f>SUM(G25:G38)</f>
        <v>0.70079999999999998</v>
      </c>
      <c r="H39" s="21"/>
      <c r="I39" s="33"/>
      <c r="J39" s="52"/>
    </row>
    <row r="40" spans="1:11" s="46" customFormat="1" ht="12.75" customHeight="1" x14ac:dyDescent="0.2">
      <c r="B40" s="67"/>
      <c r="C40" s="67"/>
      <c r="D40" s="67"/>
      <c r="E40" s="68"/>
      <c r="F40" s="69"/>
      <c r="G40" s="70"/>
      <c r="H40" s="71"/>
      <c r="I40" s="33"/>
      <c r="J40" s="97"/>
      <c r="K40" s="48"/>
    </row>
    <row r="41" spans="1:11" ht="12.75" customHeight="1" x14ac:dyDescent="0.2">
      <c r="A41" s="95" t="s">
        <v>370</v>
      </c>
      <c r="B41" s="16" t="s">
        <v>93</v>
      </c>
      <c r="C41" s="16"/>
      <c r="F41" s="13">
        <v>3571.99503</v>
      </c>
      <c r="G41" s="14">
        <f>+ROUND(F41/VLOOKUP("Grand Total",$B$4:$F$270,5,0),4)</f>
        <v>0.1032</v>
      </c>
      <c r="H41" s="15">
        <v>43132</v>
      </c>
    </row>
    <row r="42" spans="1:11" ht="12.75" customHeight="1" x14ac:dyDescent="0.2">
      <c r="B42" s="18" t="s">
        <v>85</v>
      </c>
      <c r="C42" s="18"/>
      <c r="D42" s="18"/>
      <c r="E42" s="29"/>
      <c r="F42" s="19">
        <f>SUM(F41)</f>
        <v>3571.99503</v>
      </c>
      <c r="G42" s="20">
        <f>SUM(G41)</f>
        <v>0.1032</v>
      </c>
      <c r="H42" s="21"/>
    </row>
    <row r="43" spans="1:11" ht="12.75" customHeight="1" x14ac:dyDescent="0.2">
      <c r="F43" s="13"/>
      <c r="G43" s="14"/>
      <c r="H43" s="15"/>
    </row>
    <row r="44" spans="1:11" ht="12.75" customHeight="1" x14ac:dyDescent="0.2">
      <c r="B44" s="16" t="s">
        <v>94</v>
      </c>
      <c r="C44" s="16"/>
      <c r="F44" s="13"/>
      <c r="G44" s="14"/>
      <c r="H44" s="15"/>
      <c r="I44" s="82"/>
    </row>
    <row r="45" spans="1:11" ht="12.75" customHeight="1" x14ac:dyDescent="0.2">
      <c r="B45" s="16" t="s">
        <v>95</v>
      </c>
      <c r="C45" s="16"/>
      <c r="F45" s="13">
        <v>1528.6933766000075</v>
      </c>
      <c r="G45" s="14">
        <f>+ROUND(F45/VLOOKUP("Grand Total",$B$4:$F$270,5,0),4)-0.02%</f>
        <v>4.4000000000000004E-2</v>
      </c>
      <c r="H45" s="15"/>
    </row>
    <row r="46" spans="1:11" ht="12.75" customHeight="1" x14ac:dyDescent="0.2">
      <c r="B46" s="18" t="s">
        <v>85</v>
      </c>
      <c r="C46" s="18"/>
      <c r="D46" s="18"/>
      <c r="E46" s="29"/>
      <c r="F46" s="19">
        <f>SUM(F45)</f>
        <v>1528.6933766000075</v>
      </c>
      <c r="G46" s="20">
        <f>SUM(G45)</f>
        <v>4.4000000000000004E-2</v>
      </c>
      <c r="H46" s="21"/>
    </row>
    <row r="47" spans="1:11" ht="12.75" customHeight="1" x14ac:dyDescent="0.2">
      <c r="B47" s="22" t="s">
        <v>96</v>
      </c>
      <c r="C47" s="22"/>
      <c r="D47" s="22"/>
      <c r="E47" s="30"/>
      <c r="F47" s="23">
        <f>+SUMIF($B$5:B46,"Total",$F$5:F46)</f>
        <v>34615.282186600009</v>
      </c>
      <c r="G47" s="24">
        <f>+SUMIF($B$5:B46,"Total",$G$5:G46)</f>
        <v>1</v>
      </c>
      <c r="H47" s="25"/>
      <c r="I47" s="82"/>
    </row>
    <row r="48" spans="1:11" ht="12.75" customHeight="1" x14ac:dyDescent="0.2"/>
    <row r="49" spans="2:9" ht="12.75" customHeight="1" x14ac:dyDescent="0.2">
      <c r="B49" s="16" t="s">
        <v>671</v>
      </c>
      <c r="C49" s="16"/>
    </row>
    <row r="50" spans="2:9" ht="12.75" customHeight="1" x14ac:dyDescent="0.2">
      <c r="B50" s="16" t="s">
        <v>186</v>
      </c>
      <c r="C50" s="16"/>
      <c r="F50" s="42"/>
    </row>
    <row r="51" spans="2:9" ht="12.75" customHeight="1" x14ac:dyDescent="0.2">
      <c r="B51" s="16" t="s">
        <v>771</v>
      </c>
      <c r="C51" s="16"/>
      <c r="I51" s="82"/>
    </row>
    <row r="52" spans="2:9" ht="12.75" customHeight="1" x14ac:dyDescent="0.2">
      <c r="B52" s="16" t="s">
        <v>772</v>
      </c>
      <c r="C52" s="16"/>
    </row>
    <row r="53" spans="2:9" ht="12.75" customHeight="1" x14ac:dyDescent="0.2"/>
    <row r="54" spans="2:9" ht="12.75" customHeight="1" x14ac:dyDescent="0.2"/>
    <row r="55" spans="2:9" ht="12.75" customHeight="1" x14ac:dyDescent="0.2"/>
    <row r="56" spans="2:9" ht="12.75" customHeight="1" x14ac:dyDescent="0.2"/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</sheetData>
  <sheetProtection password="EDB3" sheet="1" objects="1" scenarios="1"/>
  <sortState ref="J8:K20">
    <sortCondition descending="1" ref="K8:K20"/>
  </sortState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7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</cols>
  <sheetData>
    <row r="1" spans="1:17" ht="18.75" x14ac:dyDescent="0.2">
      <c r="A1" s="94" t="s">
        <v>384</v>
      </c>
      <c r="B1" s="127" t="s">
        <v>342</v>
      </c>
      <c r="C1" s="128"/>
      <c r="D1" s="128"/>
      <c r="E1" s="128"/>
      <c r="F1" s="128"/>
      <c r="G1" s="128"/>
      <c r="H1" s="128"/>
      <c r="I1" s="129"/>
    </row>
    <row r="2" spans="1:17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124" t="s">
        <v>725</v>
      </c>
      <c r="I4" s="32" t="s">
        <v>7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9</v>
      </c>
      <c r="C7" s="16"/>
      <c r="F7" s="13"/>
      <c r="G7" s="14"/>
      <c r="H7" s="14"/>
      <c r="I7" s="15"/>
    </row>
    <row r="8" spans="1:17" ht="12.75" customHeight="1" x14ac:dyDescent="0.2">
      <c r="B8" s="16" t="s">
        <v>406</v>
      </c>
      <c r="C8" s="16"/>
      <c r="F8" s="13"/>
      <c r="G8" s="14"/>
      <c r="H8" s="14"/>
      <c r="I8" s="60"/>
      <c r="K8" s="17" t="s">
        <v>4</v>
      </c>
      <c r="L8" s="37" t="s">
        <v>12</v>
      </c>
    </row>
    <row r="9" spans="1:17" s="65" customFormat="1" ht="12.75" customHeight="1" x14ac:dyDescent="0.2">
      <c r="A9" s="65">
        <f>+MAX($A$7:A8)+1</f>
        <v>1</v>
      </c>
      <c r="B9" s="77" t="s">
        <v>225</v>
      </c>
      <c r="C9" s="77" t="s">
        <v>71</v>
      </c>
      <c r="D9" s="77" t="s">
        <v>28</v>
      </c>
      <c r="E9" s="74">
        <v>10200</v>
      </c>
      <c r="F9" s="75">
        <v>144.483</v>
      </c>
      <c r="G9" s="76">
        <f t="shared" ref="G9:G35" si="0">+ROUND(F9/VLOOKUP("Grand Total",$B$4:$F$303,5,0),4)</f>
        <v>2.0899999999999998E-2</v>
      </c>
      <c r="H9" s="76"/>
      <c r="I9" s="91" t="s">
        <v>371</v>
      </c>
      <c r="J9" s="101"/>
      <c r="K9" s="90" t="s">
        <v>20</v>
      </c>
      <c r="L9" s="103">
        <f t="shared" ref="L9:L37" si="1">SUMIFS($G$5:$G$372,$D$5:$D$372,K9)</f>
        <v>0.1134</v>
      </c>
      <c r="M9" s="84"/>
      <c r="N9" s="90"/>
      <c r="O9" s="90"/>
      <c r="Q9" s="90"/>
    </row>
    <row r="10" spans="1:17" s="65" customFormat="1" ht="12.75" customHeight="1" x14ac:dyDescent="0.2">
      <c r="A10" s="65">
        <f>+MAX($A$7:A9)+1</f>
        <v>2</v>
      </c>
      <c r="B10" s="77" t="s">
        <v>197</v>
      </c>
      <c r="C10" s="77" t="s">
        <v>27</v>
      </c>
      <c r="D10" s="77" t="s">
        <v>24</v>
      </c>
      <c r="E10" s="74">
        <v>6600</v>
      </c>
      <c r="F10" s="75">
        <v>129.11580000000001</v>
      </c>
      <c r="G10" s="76">
        <f t="shared" si="0"/>
        <v>1.8700000000000001E-2</v>
      </c>
      <c r="H10" s="76"/>
      <c r="I10" s="91" t="s">
        <v>371</v>
      </c>
      <c r="J10" s="101"/>
      <c r="K10" s="90" t="s">
        <v>24</v>
      </c>
      <c r="L10" s="103">
        <f t="shared" si="1"/>
        <v>8.6400000000000018E-2</v>
      </c>
      <c r="M10" s="84"/>
      <c r="N10" s="90"/>
      <c r="O10" s="90"/>
      <c r="Q10" s="90"/>
    </row>
    <row r="11" spans="1:17" s="65" customFormat="1" ht="12.75" customHeight="1" x14ac:dyDescent="0.2">
      <c r="A11" s="65">
        <f>+MAX($A$7:A10)+1</f>
        <v>3</v>
      </c>
      <c r="B11" s="77" t="s">
        <v>228</v>
      </c>
      <c r="C11" s="77" t="s">
        <v>79</v>
      </c>
      <c r="D11" s="77" t="s">
        <v>51</v>
      </c>
      <c r="E11" s="74">
        <v>38030</v>
      </c>
      <c r="F11" s="75">
        <v>113.918865</v>
      </c>
      <c r="G11" s="76">
        <f t="shared" si="0"/>
        <v>1.6500000000000001E-2</v>
      </c>
      <c r="H11" s="76"/>
      <c r="I11" s="91" t="s">
        <v>371</v>
      </c>
      <c r="J11" s="101"/>
      <c r="K11" s="90" t="s">
        <v>567</v>
      </c>
      <c r="L11" s="103">
        <f t="shared" si="1"/>
        <v>7.17E-2</v>
      </c>
      <c r="M11" s="84"/>
      <c r="N11" s="90"/>
      <c r="O11" s="90"/>
      <c r="Q11" s="90"/>
    </row>
    <row r="12" spans="1:17" ht="12.75" customHeight="1" x14ac:dyDescent="0.2">
      <c r="A12" s="65">
        <f>+MAX($A$7:A11)+1</f>
        <v>4</v>
      </c>
      <c r="B12" s="77" t="s">
        <v>191</v>
      </c>
      <c r="C12" s="77" t="s">
        <v>13</v>
      </c>
      <c r="D12" s="77" t="s">
        <v>10</v>
      </c>
      <c r="E12" s="74">
        <v>5200</v>
      </c>
      <c r="F12" s="75">
        <v>104.29640000000001</v>
      </c>
      <c r="G12" s="45">
        <f t="shared" si="0"/>
        <v>1.5100000000000001E-2</v>
      </c>
      <c r="H12" s="45"/>
      <c r="I12" s="42" t="s">
        <v>371</v>
      </c>
      <c r="J12" s="41"/>
      <c r="K12" s="90" t="s">
        <v>26</v>
      </c>
      <c r="L12" s="103">
        <f t="shared" si="1"/>
        <v>7.0999999999999994E-2</v>
      </c>
      <c r="M12" s="36"/>
      <c r="N12" s="14"/>
      <c r="O12" s="14"/>
      <c r="Q12" s="14"/>
    </row>
    <row r="13" spans="1:17" s="65" customFormat="1" ht="12.75" customHeight="1" x14ac:dyDescent="0.2">
      <c r="A13" s="65">
        <f>+MAX($A$7:A12)+1</f>
        <v>5</v>
      </c>
      <c r="B13" s="77" t="s">
        <v>587</v>
      </c>
      <c r="C13" s="77" t="s">
        <v>588</v>
      </c>
      <c r="D13" s="77" t="s">
        <v>26</v>
      </c>
      <c r="E13" s="74">
        <v>1206</v>
      </c>
      <c r="F13" s="75">
        <v>80.110359000000003</v>
      </c>
      <c r="G13" s="76">
        <f t="shared" si="0"/>
        <v>1.1599999999999999E-2</v>
      </c>
      <c r="H13" s="76"/>
      <c r="I13" s="91" t="s">
        <v>371</v>
      </c>
      <c r="J13" s="101"/>
      <c r="K13" s="14" t="s">
        <v>36</v>
      </c>
      <c r="L13" s="103">
        <f t="shared" si="1"/>
        <v>5.7099999999999998E-2</v>
      </c>
      <c r="M13" s="84"/>
      <c r="N13" s="90"/>
      <c r="O13" s="90"/>
      <c r="Q13" s="90"/>
    </row>
    <row r="14" spans="1:17" ht="12.75" customHeight="1" x14ac:dyDescent="0.2">
      <c r="A14" s="65">
        <f>+MAX($A$7:A13)+1</f>
        <v>6</v>
      </c>
      <c r="B14" s="77" t="s">
        <v>585</v>
      </c>
      <c r="C14" s="77" t="s">
        <v>586</v>
      </c>
      <c r="D14" s="77" t="s">
        <v>36</v>
      </c>
      <c r="E14" s="74">
        <v>90000</v>
      </c>
      <c r="F14" s="75">
        <v>80.099999999999994</v>
      </c>
      <c r="G14" s="45">
        <f t="shared" si="0"/>
        <v>1.1599999999999999E-2</v>
      </c>
      <c r="H14" s="45"/>
      <c r="I14" s="42" t="s">
        <v>371</v>
      </c>
      <c r="J14" s="41"/>
      <c r="K14" s="90" t="s">
        <v>10</v>
      </c>
      <c r="L14" s="103">
        <f t="shared" si="1"/>
        <v>5.5199999999999999E-2</v>
      </c>
      <c r="M14" s="36"/>
      <c r="N14" s="14"/>
      <c r="O14" s="14"/>
      <c r="Q14" s="14"/>
    </row>
    <row r="15" spans="1:17" ht="12.75" customHeight="1" x14ac:dyDescent="0.2">
      <c r="A15" s="65">
        <f>+MAX($A$7:A14)+1</f>
        <v>7</v>
      </c>
      <c r="B15" s="77" t="s">
        <v>192</v>
      </c>
      <c r="C15" s="77" t="s">
        <v>15</v>
      </c>
      <c r="D15" s="77" t="s">
        <v>14</v>
      </c>
      <c r="E15" s="74">
        <v>6900</v>
      </c>
      <c r="F15" s="75">
        <v>79.367249999999999</v>
      </c>
      <c r="G15" s="45">
        <f t="shared" si="0"/>
        <v>1.15E-2</v>
      </c>
      <c r="H15" s="45"/>
      <c r="I15" s="42" t="s">
        <v>371</v>
      </c>
      <c r="J15" s="41"/>
      <c r="K15" s="90" t="s">
        <v>290</v>
      </c>
      <c r="L15" s="103">
        <f t="shared" si="1"/>
        <v>4.3200000000000002E-2</v>
      </c>
      <c r="M15" s="36"/>
      <c r="N15" s="14"/>
      <c r="O15" s="14"/>
      <c r="Q15" s="14"/>
    </row>
    <row r="16" spans="1:17" s="65" customFormat="1" ht="12.75" customHeight="1" x14ac:dyDescent="0.2">
      <c r="A16" s="65">
        <f>+MAX($A$7:A15)+1</f>
        <v>8</v>
      </c>
      <c r="B16" s="77" t="s">
        <v>394</v>
      </c>
      <c r="C16" s="77" t="s">
        <v>393</v>
      </c>
      <c r="D16" s="77" t="s">
        <v>26</v>
      </c>
      <c r="E16" s="74">
        <v>22000</v>
      </c>
      <c r="F16" s="75">
        <v>78.231999999999999</v>
      </c>
      <c r="G16" s="76">
        <f t="shared" si="0"/>
        <v>1.1299999999999999E-2</v>
      </c>
      <c r="H16" s="76"/>
      <c r="I16" s="91" t="s">
        <v>371</v>
      </c>
      <c r="J16" s="101"/>
      <c r="K16" s="90" t="s">
        <v>34</v>
      </c>
      <c r="L16" s="103">
        <f t="shared" si="1"/>
        <v>3.5700000000000003E-2</v>
      </c>
      <c r="M16" s="84"/>
      <c r="N16" s="90"/>
      <c r="O16" s="90"/>
      <c r="Q16" s="90"/>
    </row>
    <row r="17" spans="1:17" ht="12.75" customHeight="1" x14ac:dyDescent="0.2">
      <c r="A17" s="65">
        <f>+MAX($A$7:A16)+1</f>
        <v>9</v>
      </c>
      <c r="B17" s="77" t="s">
        <v>201</v>
      </c>
      <c r="C17" s="77" t="s">
        <v>46</v>
      </c>
      <c r="D17" s="77" t="s">
        <v>26</v>
      </c>
      <c r="E17" s="74">
        <v>25834</v>
      </c>
      <c r="F17" s="75">
        <v>70.113475999999991</v>
      </c>
      <c r="G17" s="45">
        <f t="shared" si="0"/>
        <v>1.0200000000000001E-2</v>
      </c>
      <c r="H17" s="45"/>
      <c r="I17" s="42" t="s">
        <v>371</v>
      </c>
      <c r="J17" s="41"/>
      <c r="K17" s="90" t="s">
        <v>32</v>
      </c>
      <c r="L17" s="103">
        <f t="shared" si="1"/>
        <v>3.0800000000000001E-2</v>
      </c>
      <c r="M17" s="36"/>
      <c r="N17" s="14"/>
      <c r="O17" s="14"/>
      <c r="Q17" s="14"/>
    </row>
    <row r="18" spans="1:17" ht="12.75" customHeight="1" x14ac:dyDescent="0.2">
      <c r="A18" s="65">
        <f>+MAX($A$7:A17)+1</f>
        <v>10</v>
      </c>
      <c r="B18" s="77" t="s">
        <v>250</v>
      </c>
      <c r="C18" s="77" t="s">
        <v>115</v>
      </c>
      <c r="D18" s="77" t="s">
        <v>36</v>
      </c>
      <c r="E18" s="74">
        <v>40514</v>
      </c>
      <c r="F18" s="75">
        <v>68.975085000000007</v>
      </c>
      <c r="G18" s="45">
        <f t="shared" si="0"/>
        <v>0.01</v>
      </c>
      <c r="H18" s="45"/>
      <c r="I18" s="42" t="s">
        <v>371</v>
      </c>
      <c r="J18" s="41"/>
      <c r="K18" s="90" t="s">
        <v>18</v>
      </c>
      <c r="L18" s="103">
        <f t="shared" si="1"/>
        <v>2.8799999999999999E-2</v>
      </c>
      <c r="M18" s="36"/>
      <c r="N18" s="14"/>
      <c r="O18" s="14"/>
      <c r="Q18" s="14"/>
    </row>
    <row r="19" spans="1:17" ht="12.75" customHeight="1" x14ac:dyDescent="0.2">
      <c r="A19" s="65">
        <f>+MAX($A$7:A18)+1</f>
        <v>11</v>
      </c>
      <c r="B19" s="77" t="s">
        <v>231</v>
      </c>
      <c r="C19" s="77" t="s">
        <v>78</v>
      </c>
      <c r="D19" s="77" t="s">
        <v>26</v>
      </c>
      <c r="E19" s="74">
        <v>1970</v>
      </c>
      <c r="F19" s="75">
        <v>64.726320000000001</v>
      </c>
      <c r="G19" s="45">
        <f t="shared" si="0"/>
        <v>9.4000000000000004E-3</v>
      </c>
      <c r="H19" s="45"/>
      <c r="I19" s="42" t="s">
        <v>371</v>
      </c>
      <c r="J19" s="41"/>
      <c r="K19" s="90" t="s">
        <v>578</v>
      </c>
      <c r="L19" s="103">
        <f t="shared" si="1"/>
        <v>2.7E-2</v>
      </c>
      <c r="M19" s="36"/>
      <c r="N19" s="14"/>
      <c r="O19" s="14"/>
      <c r="Q19" s="14"/>
    </row>
    <row r="20" spans="1:17" ht="12.75" customHeight="1" x14ac:dyDescent="0.2">
      <c r="A20" s="65">
        <f>+MAX($A$7:A19)+1</f>
        <v>12</v>
      </c>
      <c r="B20" s="77" t="s">
        <v>198</v>
      </c>
      <c r="C20" s="77" t="s">
        <v>39</v>
      </c>
      <c r="D20" s="77" t="s">
        <v>20</v>
      </c>
      <c r="E20" s="74">
        <v>1930</v>
      </c>
      <c r="F20" s="75">
        <v>64.406994999999995</v>
      </c>
      <c r="G20" s="45">
        <f t="shared" si="0"/>
        <v>9.2999999999999992E-3</v>
      </c>
      <c r="H20" s="45"/>
      <c r="I20" s="42" t="s">
        <v>371</v>
      </c>
      <c r="J20" s="41"/>
      <c r="K20" s="14" t="s">
        <v>102</v>
      </c>
      <c r="L20" s="103">
        <f t="shared" si="1"/>
        <v>2.5399999999999999E-2</v>
      </c>
      <c r="M20" s="36"/>
      <c r="N20" s="14"/>
      <c r="O20" s="14"/>
      <c r="Q20" s="14"/>
    </row>
    <row r="21" spans="1:17" s="65" customFormat="1" ht="12.75" customHeight="1" x14ac:dyDescent="0.2">
      <c r="A21" s="65">
        <f>+MAX($A$7:A20)+1</f>
        <v>13</v>
      </c>
      <c r="B21" s="77" t="s">
        <v>510</v>
      </c>
      <c r="C21" s="77" t="s">
        <v>511</v>
      </c>
      <c r="D21" s="77" t="s">
        <v>24</v>
      </c>
      <c r="E21" s="74">
        <v>13400</v>
      </c>
      <c r="F21" s="75">
        <v>62.109000000000002</v>
      </c>
      <c r="G21" s="76">
        <f t="shared" si="0"/>
        <v>8.9999999999999993E-3</v>
      </c>
      <c r="H21" s="76"/>
      <c r="I21" s="91" t="s">
        <v>371</v>
      </c>
      <c r="J21" s="101"/>
      <c r="K21" s="90" t="s">
        <v>292</v>
      </c>
      <c r="L21" s="103">
        <f t="shared" si="1"/>
        <v>2.46E-2</v>
      </c>
      <c r="M21" s="84"/>
      <c r="N21" s="90"/>
      <c r="O21" s="90"/>
      <c r="Q21" s="90"/>
    </row>
    <row r="22" spans="1:17" ht="12.75" customHeight="1" x14ac:dyDescent="0.2">
      <c r="A22" s="65">
        <f>+MAX($A$7:A21)+1</f>
        <v>14</v>
      </c>
      <c r="B22" s="77" t="s">
        <v>253</v>
      </c>
      <c r="C22" s="77" t="s">
        <v>118</v>
      </c>
      <c r="D22" s="77" t="s">
        <v>102</v>
      </c>
      <c r="E22" s="74">
        <v>10400</v>
      </c>
      <c r="F22" s="75">
        <v>61.744799999999998</v>
      </c>
      <c r="G22" s="45">
        <f t="shared" si="0"/>
        <v>8.8999999999999999E-3</v>
      </c>
      <c r="H22" s="45"/>
      <c r="I22" s="42" t="s">
        <v>371</v>
      </c>
      <c r="J22" s="41"/>
      <c r="K22" s="90" t="s">
        <v>319</v>
      </c>
      <c r="L22" s="103">
        <f t="shared" si="1"/>
        <v>2.3800000000000002E-2</v>
      </c>
      <c r="M22" s="36"/>
      <c r="N22" s="14"/>
      <c r="O22" s="14"/>
      <c r="Q22" s="14"/>
    </row>
    <row r="23" spans="1:17" ht="12.75" customHeight="1" x14ac:dyDescent="0.2">
      <c r="A23" s="65">
        <f>+MAX($A$7:A22)+1</f>
        <v>15</v>
      </c>
      <c r="B23" s="77" t="s">
        <v>589</v>
      </c>
      <c r="C23" s="77" t="s">
        <v>590</v>
      </c>
      <c r="D23" s="77" t="s">
        <v>106</v>
      </c>
      <c r="E23" s="74">
        <v>66000</v>
      </c>
      <c r="F23" s="75">
        <v>58.673999999999999</v>
      </c>
      <c r="G23" s="45">
        <f t="shared" si="0"/>
        <v>8.5000000000000006E-3</v>
      </c>
      <c r="H23" s="45"/>
      <c r="I23" s="42" t="s">
        <v>371</v>
      </c>
      <c r="J23" s="41"/>
      <c r="K23" s="90" t="s">
        <v>22</v>
      </c>
      <c r="L23" s="103">
        <f t="shared" si="1"/>
        <v>2.3699999999999999E-2</v>
      </c>
      <c r="M23" s="36"/>
      <c r="N23" s="14"/>
      <c r="O23" s="14"/>
      <c r="Q23" s="14"/>
    </row>
    <row r="24" spans="1:17" ht="12.75" customHeight="1" x14ac:dyDescent="0.2">
      <c r="A24" s="65">
        <f>+MAX($A$7:A23)+1</f>
        <v>16</v>
      </c>
      <c r="B24" s="77" t="s">
        <v>247</v>
      </c>
      <c r="C24" s="77" t="s">
        <v>114</v>
      </c>
      <c r="D24" s="77" t="s">
        <v>36</v>
      </c>
      <c r="E24" s="74">
        <v>30000</v>
      </c>
      <c r="F24" s="75">
        <v>58.14</v>
      </c>
      <c r="G24" s="45">
        <f t="shared" si="0"/>
        <v>8.3999999999999995E-3</v>
      </c>
      <c r="H24" s="45"/>
      <c r="I24" s="42" t="s">
        <v>371</v>
      </c>
      <c r="J24" s="41"/>
      <c r="K24" s="90" t="s">
        <v>108</v>
      </c>
      <c r="L24" s="103">
        <f t="shared" si="1"/>
        <v>2.1999999999999999E-2</v>
      </c>
      <c r="M24" s="36"/>
      <c r="N24" s="14"/>
      <c r="O24" s="14"/>
      <c r="Q24" s="14"/>
    </row>
    <row r="25" spans="1:17" ht="12.75" customHeight="1" x14ac:dyDescent="0.2">
      <c r="A25" s="65">
        <f>+MAX($A$7:A24)+1</f>
        <v>17</v>
      </c>
      <c r="B25" s="77" t="s">
        <v>196</v>
      </c>
      <c r="C25" s="77" t="s">
        <v>25</v>
      </c>
      <c r="D25" s="77" t="s">
        <v>14</v>
      </c>
      <c r="E25" s="74">
        <v>5650</v>
      </c>
      <c r="F25" s="75">
        <v>55.740074999999997</v>
      </c>
      <c r="G25" s="45">
        <f t="shared" si="0"/>
        <v>8.0999999999999996E-3</v>
      </c>
      <c r="H25" s="45"/>
      <c r="I25" s="42" t="s">
        <v>371</v>
      </c>
      <c r="J25" s="41"/>
      <c r="K25" s="90" t="s">
        <v>28</v>
      </c>
      <c r="L25" s="103">
        <f t="shared" si="1"/>
        <v>2.0899999999999998E-2</v>
      </c>
      <c r="M25" s="36"/>
      <c r="N25" s="14"/>
      <c r="O25" s="14"/>
      <c r="Q25" s="14"/>
    </row>
    <row r="26" spans="1:17" ht="12.75" customHeight="1" x14ac:dyDescent="0.2">
      <c r="A26" s="65">
        <f>+MAX($A$7:A25)+1</f>
        <v>18</v>
      </c>
      <c r="B26" s="77" t="s">
        <v>248</v>
      </c>
      <c r="C26" s="77" t="s">
        <v>112</v>
      </c>
      <c r="D26" s="77" t="s">
        <v>20</v>
      </c>
      <c r="E26" s="74">
        <v>1506</v>
      </c>
      <c r="F26" s="75">
        <v>55.593237000000002</v>
      </c>
      <c r="G26" s="45">
        <f t="shared" si="0"/>
        <v>8.0999999999999996E-3</v>
      </c>
      <c r="H26" s="45"/>
      <c r="I26" s="42" t="s">
        <v>371</v>
      </c>
      <c r="J26" s="41"/>
      <c r="K26" s="90" t="s">
        <v>41</v>
      </c>
      <c r="L26" s="103">
        <f t="shared" si="1"/>
        <v>2.01E-2</v>
      </c>
      <c r="M26" s="36"/>
      <c r="N26" s="14"/>
      <c r="O26" s="14"/>
      <c r="Q26" s="14"/>
    </row>
    <row r="27" spans="1:17" ht="12.75" customHeight="1" x14ac:dyDescent="0.2">
      <c r="A27" s="65">
        <f>+MAX($A$7:A26)+1</f>
        <v>19</v>
      </c>
      <c r="B27" s="77" t="s">
        <v>40</v>
      </c>
      <c r="C27" s="77" t="s">
        <v>42</v>
      </c>
      <c r="D27" s="77" t="s">
        <v>10</v>
      </c>
      <c r="E27" s="74">
        <v>34000</v>
      </c>
      <c r="F27" s="75">
        <v>53.311999999999998</v>
      </c>
      <c r="G27" s="45">
        <f t="shared" si="0"/>
        <v>7.7000000000000002E-3</v>
      </c>
      <c r="H27" s="45"/>
      <c r="I27" s="42" t="s">
        <v>371</v>
      </c>
      <c r="J27" s="41"/>
      <c r="K27" s="90" t="s">
        <v>14</v>
      </c>
      <c r="L27" s="103">
        <f t="shared" si="1"/>
        <v>1.9599999999999999E-2</v>
      </c>
      <c r="M27" s="36"/>
      <c r="N27" s="14"/>
      <c r="O27" s="14"/>
      <c r="Q27" s="14"/>
    </row>
    <row r="28" spans="1:17" ht="12.75" customHeight="1" x14ac:dyDescent="0.2">
      <c r="A28" s="65">
        <f>+MAX($A$7:A27)+1</f>
        <v>20</v>
      </c>
      <c r="B28" s="77" t="s">
        <v>194</v>
      </c>
      <c r="C28" s="77" t="s">
        <v>11</v>
      </c>
      <c r="D28" s="77" t="s">
        <v>10</v>
      </c>
      <c r="E28" s="74">
        <v>14966</v>
      </c>
      <c r="F28" s="75">
        <v>52.822496999999998</v>
      </c>
      <c r="G28" s="45">
        <f t="shared" si="0"/>
        <v>7.7000000000000002E-3</v>
      </c>
      <c r="H28" s="45"/>
      <c r="I28" s="42" t="s">
        <v>371</v>
      </c>
      <c r="J28" s="41"/>
      <c r="K28" s="90" t="s">
        <v>38</v>
      </c>
      <c r="L28" s="103">
        <f t="shared" si="1"/>
        <v>1.9400000000000001E-2</v>
      </c>
      <c r="M28" s="36"/>
      <c r="N28" s="14"/>
      <c r="O28" s="14"/>
      <c r="Q28" s="14"/>
    </row>
    <row r="29" spans="1:17" ht="12.75" customHeight="1" x14ac:dyDescent="0.2">
      <c r="A29" s="65">
        <f>+MAX($A$7:A28)+1</f>
        <v>21</v>
      </c>
      <c r="B29" s="77" t="s">
        <v>202</v>
      </c>
      <c r="C29" s="77" t="s">
        <v>44</v>
      </c>
      <c r="D29" s="77" t="s">
        <v>24</v>
      </c>
      <c r="E29" s="74">
        <v>9005</v>
      </c>
      <c r="F29" s="75">
        <v>52.427109999999999</v>
      </c>
      <c r="G29" s="45">
        <f t="shared" si="0"/>
        <v>7.6E-3</v>
      </c>
      <c r="H29" s="45"/>
      <c r="I29" s="42" t="s">
        <v>371</v>
      </c>
      <c r="J29" s="41"/>
      <c r="K29" s="90" t="s">
        <v>144</v>
      </c>
      <c r="L29" s="103">
        <f t="shared" si="1"/>
        <v>1.9099999999999999E-2</v>
      </c>
      <c r="M29" s="36"/>
      <c r="N29" s="14"/>
      <c r="O29" s="14"/>
      <c r="Q29" s="14"/>
    </row>
    <row r="30" spans="1:17" ht="12.75" customHeight="1" x14ac:dyDescent="0.2">
      <c r="A30" s="65">
        <f>+MAX($A$7:A29)+1</f>
        <v>22</v>
      </c>
      <c r="B30" s="77" t="s">
        <v>203</v>
      </c>
      <c r="C30" s="77" t="s">
        <v>48</v>
      </c>
      <c r="D30" s="77" t="s">
        <v>26</v>
      </c>
      <c r="E30" s="74">
        <v>1027</v>
      </c>
      <c r="F30" s="75">
        <v>48.106220499999999</v>
      </c>
      <c r="G30" s="45">
        <f t="shared" si="0"/>
        <v>7.0000000000000001E-3</v>
      </c>
      <c r="H30" s="45"/>
      <c r="I30" s="42" t="s">
        <v>371</v>
      </c>
      <c r="J30" s="41"/>
      <c r="K30" s="90" t="s">
        <v>362</v>
      </c>
      <c r="L30" s="103">
        <f t="shared" si="1"/>
        <v>1.89E-2</v>
      </c>
      <c r="M30" s="36"/>
      <c r="N30" s="14"/>
      <c r="O30" s="14"/>
      <c r="Q30" s="14"/>
    </row>
    <row r="31" spans="1:17" ht="12.75" customHeight="1" x14ac:dyDescent="0.2">
      <c r="A31" s="65">
        <f>+MAX($A$7:A30)+1</f>
        <v>23</v>
      </c>
      <c r="B31" s="77" t="s">
        <v>16</v>
      </c>
      <c r="C31" s="77" t="s">
        <v>17</v>
      </c>
      <c r="D31" s="77" t="s">
        <v>10</v>
      </c>
      <c r="E31" s="74">
        <v>13908</v>
      </c>
      <c r="F31" s="75">
        <v>43.566809999999997</v>
      </c>
      <c r="G31" s="45">
        <f t="shared" si="0"/>
        <v>6.3E-3</v>
      </c>
      <c r="H31" s="45"/>
      <c r="I31" s="42" t="s">
        <v>371</v>
      </c>
      <c r="J31" s="41"/>
      <c r="K31" s="90" t="s">
        <v>51</v>
      </c>
      <c r="L31" s="103">
        <f t="shared" si="1"/>
        <v>1.6500000000000001E-2</v>
      </c>
      <c r="M31" s="36"/>
      <c r="N31" s="14"/>
      <c r="O31" s="14"/>
      <c r="Q31" s="14"/>
    </row>
    <row r="32" spans="1:17" ht="12.75" customHeight="1" x14ac:dyDescent="0.2">
      <c r="A32" s="65">
        <f>+MAX($A$7:A31)+1</f>
        <v>24</v>
      </c>
      <c r="B32" s="77" t="s">
        <v>217</v>
      </c>
      <c r="C32" s="77" t="s">
        <v>29</v>
      </c>
      <c r="D32" s="77" t="s">
        <v>10</v>
      </c>
      <c r="E32" s="74">
        <v>6645</v>
      </c>
      <c r="F32" s="75">
        <v>39.444719999999997</v>
      </c>
      <c r="G32" s="45">
        <f t="shared" si="0"/>
        <v>5.7000000000000002E-3</v>
      </c>
      <c r="H32" s="45"/>
      <c r="I32" s="42" t="s">
        <v>371</v>
      </c>
      <c r="J32" s="41"/>
      <c r="K32" s="90" t="s">
        <v>669</v>
      </c>
      <c r="L32" s="103">
        <f t="shared" si="1"/>
        <v>1.3899999999999999E-2</v>
      </c>
      <c r="M32" s="36"/>
      <c r="N32" s="14"/>
      <c r="O32" s="14"/>
      <c r="Q32" s="14"/>
    </row>
    <row r="33" spans="1:17" ht="12.75" customHeight="1" x14ac:dyDescent="0.2">
      <c r="A33" s="65">
        <f>+MAX($A$7:A32)+1</f>
        <v>25</v>
      </c>
      <c r="B33" s="77" t="s">
        <v>209</v>
      </c>
      <c r="C33" s="77" t="s">
        <v>49</v>
      </c>
      <c r="D33" s="77" t="s">
        <v>20</v>
      </c>
      <c r="E33" s="74">
        <v>378</v>
      </c>
      <c r="F33" s="75">
        <v>35.946666</v>
      </c>
      <c r="G33" s="45">
        <f t="shared" si="0"/>
        <v>5.1999999999999998E-3</v>
      </c>
      <c r="H33" s="45"/>
      <c r="I33" s="42" t="s">
        <v>371</v>
      </c>
      <c r="J33" s="41"/>
      <c r="K33" s="90" t="s">
        <v>176</v>
      </c>
      <c r="L33" s="103">
        <f t="shared" si="1"/>
        <v>1.1299999999999999E-2</v>
      </c>
      <c r="M33" s="36"/>
      <c r="N33" s="14"/>
      <c r="O33" s="14"/>
      <c r="Q33" s="14"/>
    </row>
    <row r="34" spans="1:17" ht="12.75" customHeight="1" x14ac:dyDescent="0.2">
      <c r="A34" s="65">
        <f>+MAX($A$7:A33)+1</f>
        <v>26</v>
      </c>
      <c r="B34" s="77" t="s">
        <v>195</v>
      </c>
      <c r="C34" s="77" t="s">
        <v>21</v>
      </c>
      <c r="D34" s="77" t="s">
        <v>20</v>
      </c>
      <c r="E34" s="74">
        <v>6450</v>
      </c>
      <c r="F34" s="75">
        <v>25.767749999999999</v>
      </c>
      <c r="G34" s="45">
        <f t="shared" si="0"/>
        <v>3.7000000000000002E-3</v>
      </c>
      <c r="H34" s="45"/>
      <c r="I34" s="42" t="s">
        <v>371</v>
      </c>
      <c r="J34" s="41"/>
      <c r="K34" s="90" t="s">
        <v>106</v>
      </c>
      <c r="L34" s="103">
        <f t="shared" si="1"/>
        <v>8.5000000000000006E-3</v>
      </c>
      <c r="M34" s="36"/>
      <c r="N34" s="14"/>
      <c r="O34" s="14"/>
      <c r="Q34" s="14"/>
    </row>
    <row r="35" spans="1:17" ht="12.75" customHeight="1" x14ac:dyDescent="0.2">
      <c r="A35" s="65">
        <f>+MAX($A$7:A34)+1</f>
        <v>27</v>
      </c>
      <c r="B35" s="77" t="s">
        <v>215</v>
      </c>
      <c r="C35" s="77" t="s">
        <v>61</v>
      </c>
      <c r="D35" s="77" t="s">
        <v>22</v>
      </c>
      <c r="E35" s="74">
        <v>2866</v>
      </c>
      <c r="F35" s="75">
        <v>18.042902999999999</v>
      </c>
      <c r="G35" s="45">
        <f t="shared" si="0"/>
        <v>2.5999999999999999E-3</v>
      </c>
      <c r="H35" s="45"/>
      <c r="I35" s="42" t="s">
        <v>371</v>
      </c>
      <c r="J35" s="41"/>
      <c r="K35" s="90" t="s">
        <v>45</v>
      </c>
      <c r="L35" s="103">
        <f t="shared" si="1"/>
        <v>5.1999999999999998E-3</v>
      </c>
      <c r="M35" s="36"/>
      <c r="N35" s="14"/>
      <c r="O35" s="14"/>
      <c r="Q35" s="14"/>
    </row>
    <row r="36" spans="1:17" ht="12.75" customHeight="1" x14ac:dyDescent="0.2">
      <c r="B36" s="18" t="s">
        <v>85</v>
      </c>
      <c r="C36" s="18"/>
      <c r="D36" s="18"/>
      <c r="E36" s="19"/>
      <c r="F36" s="19">
        <f>SUM(F9:F35)</f>
        <v>1799.2833385000001</v>
      </c>
      <c r="G36" s="20">
        <f>SUM(G9:G35)</f>
        <v>0.2606</v>
      </c>
      <c r="H36" s="20"/>
      <c r="I36" s="21"/>
      <c r="J36" s="49"/>
      <c r="K36" s="14" t="s">
        <v>170</v>
      </c>
      <c r="L36" s="103">
        <f t="shared" si="1"/>
        <v>1.5E-3</v>
      </c>
    </row>
    <row r="37" spans="1:17" ht="12.75" customHeight="1" x14ac:dyDescent="0.2">
      <c r="F37" s="44"/>
      <c r="G37" s="14"/>
      <c r="H37" s="14"/>
      <c r="I37" s="15"/>
      <c r="K37" s="14" t="s">
        <v>322</v>
      </c>
      <c r="L37" s="103">
        <f t="shared" si="1"/>
        <v>0</v>
      </c>
    </row>
    <row r="38" spans="1:17" ht="12.75" customHeight="1" x14ac:dyDescent="0.2">
      <c r="A38" s="46"/>
      <c r="B38" s="16" t="s">
        <v>773</v>
      </c>
      <c r="C38" s="16"/>
      <c r="E38" s="38"/>
      <c r="F38" s="44"/>
      <c r="G38" s="45"/>
      <c r="H38" s="45"/>
      <c r="I38" s="47"/>
      <c r="K38" s="14" t="s">
        <v>64</v>
      </c>
      <c r="L38" s="48">
        <f>+SUMIFS($G$5:$G$997,$B$5:$B$997,"CBLO / Reverse Repo Investments")+SUMIFS($G$5:$G$997,$B$5:$B$997,"Net Receivable/Payable")</f>
        <v>8.5300000000000001E-2</v>
      </c>
      <c r="O38" s="14"/>
    </row>
    <row r="39" spans="1:17" s="65" customFormat="1" ht="12.75" customHeight="1" x14ac:dyDescent="0.2">
      <c r="A39" s="65">
        <f>+MAX($A$7:A38)+1</f>
        <v>28</v>
      </c>
      <c r="B39" s="77" t="s">
        <v>202</v>
      </c>
      <c r="C39" s="77" t="s">
        <v>44</v>
      </c>
      <c r="D39" s="77" t="s">
        <v>24</v>
      </c>
      <c r="E39" s="74">
        <v>48000</v>
      </c>
      <c r="F39" s="75">
        <v>279.45600000000002</v>
      </c>
      <c r="G39" s="76">
        <f>+ROUND(F39/VLOOKUP("Grand Total",$B$4:$F$303,5,0),4)</f>
        <v>4.0500000000000001E-2</v>
      </c>
      <c r="H39" s="76"/>
      <c r="I39" s="91" t="s">
        <v>371</v>
      </c>
      <c r="J39" s="101"/>
      <c r="K39" s="90"/>
      <c r="L39" s="103"/>
      <c r="M39" s="84"/>
      <c r="N39" s="90"/>
      <c r="O39" s="90"/>
      <c r="Q39" s="90"/>
    </row>
    <row r="40" spans="1:17" s="65" customFormat="1" ht="12.75" customHeight="1" x14ac:dyDescent="0.2">
      <c r="A40" s="65">
        <f>+A39+1</f>
        <v>29</v>
      </c>
      <c r="B40" s="77" t="s">
        <v>202</v>
      </c>
      <c r="C40" s="121" t="s">
        <v>724</v>
      </c>
      <c r="D40" s="77" t="s">
        <v>322</v>
      </c>
      <c r="E40" s="74">
        <v>-48000</v>
      </c>
      <c r="F40" s="80">
        <v>-280.87200000000001</v>
      </c>
      <c r="G40" s="130"/>
      <c r="H40" s="130">
        <f>+ROUND(F40/VLOOKUP("Grand Total",$B$4:$F$303,5,0),4)</f>
        <v>-4.07E-2</v>
      </c>
      <c r="I40" s="89">
        <v>43153</v>
      </c>
      <c r="J40" s="101"/>
      <c r="K40" s="90"/>
      <c r="L40" s="103"/>
      <c r="M40" s="84"/>
      <c r="N40" s="90"/>
      <c r="O40" s="90"/>
      <c r="Q40" s="90"/>
    </row>
    <row r="41" spans="1:17" s="65" customFormat="1" ht="12.75" customHeight="1" x14ac:dyDescent="0.2">
      <c r="A41" s="65">
        <f t="shared" ref="A41:A90" si="2">+A40+1</f>
        <v>30</v>
      </c>
      <c r="B41" s="77" t="s">
        <v>214</v>
      </c>
      <c r="C41" s="77" t="s">
        <v>65</v>
      </c>
      <c r="D41" s="77" t="s">
        <v>34</v>
      </c>
      <c r="E41" s="74">
        <v>56100</v>
      </c>
      <c r="F41" s="75">
        <v>246.75585000000001</v>
      </c>
      <c r="G41" s="76">
        <f>+ROUND(F41/VLOOKUP("Grand Total",$B$4:$F$303,5,0),4)</f>
        <v>3.5700000000000003E-2</v>
      </c>
      <c r="H41" s="76"/>
      <c r="I41" s="91" t="s">
        <v>371</v>
      </c>
      <c r="J41" s="101"/>
      <c r="K41" s="90"/>
      <c r="L41" s="103"/>
      <c r="M41" s="84"/>
      <c r="N41" s="90"/>
      <c r="O41" s="90"/>
      <c r="Q41" s="90"/>
    </row>
    <row r="42" spans="1:17" s="65" customFormat="1" ht="12.75" customHeight="1" x14ac:dyDescent="0.2">
      <c r="A42" s="65">
        <f t="shared" si="2"/>
        <v>31</v>
      </c>
      <c r="B42" s="77" t="s">
        <v>214</v>
      </c>
      <c r="C42" s="121" t="s">
        <v>724</v>
      </c>
      <c r="D42" s="77" t="s">
        <v>322</v>
      </c>
      <c r="E42" s="74">
        <v>-56100</v>
      </c>
      <c r="F42" s="80">
        <v>-247.65344999999999</v>
      </c>
      <c r="G42" s="130"/>
      <c r="H42" s="130">
        <f>+ROUND(F42/VLOOKUP("Grand Total",$B$4:$F$303,5,0),4)</f>
        <v>-3.5900000000000001E-2</v>
      </c>
      <c r="I42" s="89">
        <v>43153</v>
      </c>
      <c r="J42" s="101"/>
      <c r="K42" s="90"/>
      <c r="L42" s="103"/>
      <c r="M42" s="84"/>
      <c r="N42" s="90"/>
      <c r="O42" s="90"/>
      <c r="Q42" s="90"/>
    </row>
    <row r="43" spans="1:17" s="65" customFormat="1" ht="12.75" customHeight="1" x14ac:dyDescent="0.2">
      <c r="A43" s="65">
        <f t="shared" si="2"/>
        <v>32</v>
      </c>
      <c r="B43" s="77" t="s">
        <v>343</v>
      </c>
      <c r="C43" s="77" t="s">
        <v>344</v>
      </c>
      <c r="D43" s="77" t="s">
        <v>20</v>
      </c>
      <c r="E43" s="74">
        <v>189000</v>
      </c>
      <c r="F43" s="75">
        <v>238.32900000000001</v>
      </c>
      <c r="G43" s="76">
        <f>+ROUND(F43/VLOOKUP("Grand Total",$B$4:$F$303,5,0),4)</f>
        <v>3.4500000000000003E-2</v>
      </c>
      <c r="H43" s="76"/>
      <c r="I43" s="91" t="s">
        <v>371</v>
      </c>
      <c r="J43" s="101"/>
      <c r="K43" s="90"/>
      <c r="L43" s="103"/>
      <c r="M43" s="84"/>
      <c r="N43" s="90"/>
      <c r="O43" s="90"/>
      <c r="Q43" s="90"/>
    </row>
    <row r="44" spans="1:17" s="65" customFormat="1" ht="12.75" customHeight="1" x14ac:dyDescent="0.2">
      <c r="A44" s="65">
        <f t="shared" si="2"/>
        <v>33</v>
      </c>
      <c r="B44" s="77" t="s">
        <v>343</v>
      </c>
      <c r="C44" s="121" t="s">
        <v>724</v>
      </c>
      <c r="D44" s="77" t="s">
        <v>322</v>
      </c>
      <c r="E44" s="74">
        <v>-189000</v>
      </c>
      <c r="F44" s="80">
        <v>-238.70699999999999</v>
      </c>
      <c r="G44" s="130"/>
      <c r="H44" s="130">
        <f>+ROUND(F44/VLOOKUP("Grand Total",$B$4:$F$303,5,0),4)</f>
        <v>-3.4599999999999999E-2</v>
      </c>
      <c r="I44" s="89">
        <v>43153</v>
      </c>
      <c r="J44" s="101"/>
      <c r="K44" s="90"/>
      <c r="L44" s="103"/>
      <c r="M44" s="84"/>
      <c r="N44" s="90"/>
      <c r="O44" s="90"/>
      <c r="Q44" s="90"/>
    </row>
    <row r="45" spans="1:17" s="65" customFormat="1" ht="12.75" customHeight="1" x14ac:dyDescent="0.2">
      <c r="A45" s="65">
        <f t="shared" si="2"/>
        <v>34</v>
      </c>
      <c r="B45" s="77" t="s">
        <v>200</v>
      </c>
      <c r="C45" s="77" t="s">
        <v>35</v>
      </c>
      <c r="D45" s="77" t="s">
        <v>18</v>
      </c>
      <c r="E45" s="74">
        <v>14300</v>
      </c>
      <c r="F45" s="75">
        <v>198.51974999999999</v>
      </c>
      <c r="G45" s="76">
        <f>+ROUND(F45/VLOOKUP("Grand Total",$B$4:$F$303,5,0),4)</f>
        <v>2.8799999999999999E-2</v>
      </c>
      <c r="H45" s="76"/>
      <c r="I45" s="91" t="s">
        <v>371</v>
      </c>
      <c r="J45" s="101"/>
      <c r="K45" s="90"/>
      <c r="L45" s="103"/>
      <c r="M45" s="84"/>
      <c r="N45" s="90"/>
      <c r="O45" s="90"/>
      <c r="Q45" s="90"/>
    </row>
    <row r="46" spans="1:17" s="65" customFormat="1" ht="12.75" customHeight="1" x14ac:dyDescent="0.2">
      <c r="A46" s="65">
        <f t="shared" si="2"/>
        <v>35</v>
      </c>
      <c r="B46" s="77" t="s">
        <v>200</v>
      </c>
      <c r="C46" s="121" t="s">
        <v>724</v>
      </c>
      <c r="D46" s="77" t="s">
        <v>322</v>
      </c>
      <c r="E46" s="74">
        <v>-14300</v>
      </c>
      <c r="F46" s="80">
        <v>-199.13464999999999</v>
      </c>
      <c r="G46" s="130"/>
      <c r="H46" s="130">
        <f>+ROUND(F46/VLOOKUP("Grand Total",$B$4:$F$303,5,0),4)</f>
        <v>-2.8899999999999999E-2</v>
      </c>
      <c r="I46" s="89">
        <v>43153</v>
      </c>
      <c r="J46" s="101"/>
      <c r="K46" s="90"/>
      <c r="L46" s="103"/>
      <c r="M46" s="84"/>
      <c r="N46" s="90"/>
      <c r="O46" s="90"/>
      <c r="Q46" s="90"/>
    </row>
    <row r="47" spans="1:17" s="65" customFormat="1" ht="12.75" customHeight="1" x14ac:dyDescent="0.2">
      <c r="A47" s="65">
        <f t="shared" si="2"/>
        <v>36</v>
      </c>
      <c r="B47" s="77" t="s">
        <v>396</v>
      </c>
      <c r="C47" s="77" t="s">
        <v>130</v>
      </c>
      <c r="D47" s="77" t="s">
        <v>20</v>
      </c>
      <c r="E47" s="74">
        <v>82500</v>
      </c>
      <c r="F47" s="75">
        <v>185.25375</v>
      </c>
      <c r="G47" s="76">
        <f>+ROUND(F47/VLOOKUP("Grand Total",$B$4:$F$303,5,0),4)</f>
        <v>2.6800000000000001E-2</v>
      </c>
      <c r="H47" s="76"/>
      <c r="I47" s="91" t="s">
        <v>371</v>
      </c>
      <c r="J47" s="101"/>
      <c r="K47" s="90"/>
      <c r="L47" s="103"/>
      <c r="M47" s="84"/>
      <c r="N47" s="90"/>
      <c r="O47" s="90"/>
      <c r="Q47" s="90"/>
    </row>
    <row r="48" spans="1:17" s="65" customFormat="1" ht="12.75" customHeight="1" x14ac:dyDescent="0.2">
      <c r="A48" s="65">
        <f t="shared" si="2"/>
        <v>37</v>
      </c>
      <c r="B48" s="77" t="s">
        <v>396</v>
      </c>
      <c r="C48" s="121" t="s">
        <v>724</v>
      </c>
      <c r="D48" s="77" t="s">
        <v>322</v>
      </c>
      <c r="E48" s="74">
        <v>-82500</v>
      </c>
      <c r="F48" s="80">
        <v>-186.07875000000001</v>
      </c>
      <c r="G48" s="130"/>
      <c r="H48" s="130">
        <f>+ROUND(F48/VLOOKUP("Grand Total",$B$4:$F$303,5,0),4)</f>
        <v>-2.7E-2</v>
      </c>
      <c r="I48" s="89">
        <v>43153</v>
      </c>
      <c r="J48" s="101"/>
      <c r="K48" s="90"/>
      <c r="L48" s="103"/>
      <c r="M48" s="84"/>
      <c r="N48" s="90"/>
      <c r="O48" s="90"/>
      <c r="Q48" s="90"/>
    </row>
    <row r="49" spans="1:17" s="65" customFormat="1" ht="12.75" customHeight="1" x14ac:dyDescent="0.2">
      <c r="A49" s="65">
        <f t="shared" si="2"/>
        <v>38</v>
      </c>
      <c r="B49" s="77" t="s">
        <v>209</v>
      </c>
      <c r="C49" s="77" t="s">
        <v>49</v>
      </c>
      <c r="D49" s="77" t="s">
        <v>20</v>
      </c>
      <c r="E49" s="74">
        <v>1875</v>
      </c>
      <c r="F49" s="75">
        <v>178.30687499999999</v>
      </c>
      <c r="G49" s="76">
        <f>+ROUND(F49/VLOOKUP("Grand Total",$B$4:$F$303,5,0),4)</f>
        <v>2.58E-2</v>
      </c>
      <c r="H49" s="76"/>
      <c r="I49" s="91" t="s">
        <v>371</v>
      </c>
      <c r="J49" s="101"/>
      <c r="K49" s="90"/>
      <c r="L49" s="103"/>
      <c r="M49" s="84"/>
      <c r="N49" s="90"/>
      <c r="O49" s="90"/>
      <c r="Q49" s="90"/>
    </row>
    <row r="50" spans="1:17" s="65" customFormat="1" ht="12.75" customHeight="1" x14ac:dyDescent="0.2">
      <c r="A50" s="65">
        <f t="shared" si="2"/>
        <v>39</v>
      </c>
      <c r="B50" s="77" t="s">
        <v>209</v>
      </c>
      <c r="C50" s="121" t="s">
        <v>724</v>
      </c>
      <c r="D50" s="77" t="s">
        <v>322</v>
      </c>
      <c r="E50" s="74">
        <v>-1875</v>
      </c>
      <c r="F50" s="80">
        <v>-179.0428125</v>
      </c>
      <c r="G50" s="130"/>
      <c r="H50" s="130">
        <f>+ROUND(F50/VLOOKUP("Grand Total",$B$4:$F$303,5,0),4)</f>
        <v>-2.5899999999999999E-2</v>
      </c>
      <c r="I50" s="89">
        <v>43153</v>
      </c>
      <c r="J50" s="101"/>
      <c r="K50" s="90"/>
      <c r="L50" s="103"/>
      <c r="M50" s="84"/>
      <c r="N50" s="90"/>
      <c r="O50" s="90"/>
      <c r="Q50" s="90"/>
    </row>
    <row r="51" spans="1:17" s="65" customFormat="1" ht="12.75" customHeight="1" x14ac:dyDescent="0.2">
      <c r="A51" s="65">
        <f t="shared" si="2"/>
        <v>40</v>
      </c>
      <c r="B51" s="77" t="s">
        <v>705</v>
      </c>
      <c r="C51" s="77" t="s">
        <v>706</v>
      </c>
      <c r="D51" s="77" t="s">
        <v>36</v>
      </c>
      <c r="E51" s="74">
        <v>16500</v>
      </c>
      <c r="F51" s="75">
        <v>174.03375</v>
      </c>
      <c r="G51" s="76">
        <f>+ROUND(F51/VLOOKUP("Grand Total",$B$4:$F$303,5,0),4)</f>
        <v>2.52E-2</v>
      </c>
      <c r="H51" s="76"/>
      <c r="I51" s="91" t="s">
        <v>371</v>
      </c>
      <c r="J51" s="101"/>
      <c r="K51" s="90"/>
      <c r="L51" s="103"/>
      <c r="M51" s="84"/>
      <c r="N51" s="90"/>
      <c r="O51" s="90"/>
      <c r="Q51" s="90"/>
    </row>
    <row r="52" spans="1:17" s="65" customFormat="1" ht="12.75" customHeight="1" x14ac:dyDescent="0.2">
      <c r="A52" s="65">
        <f t="shared" si="2"/>
        <v>41</v>
      </c>
      <c r="B52" s="77" t="s">
        <v>705</v>
      </c>
      <c r="C52" s="121" t="s">
        <v>724</v>
      </c>
      <c r="D52" s="77" t="s">
        <v>322</v>
      </c>
      <c r="E52" s="74">
        <v>-16500</v>
      </c>
      <c r="F52" s="80">
        <v>-174.94125</v>
      </c>
      <c r="G52" s="130"/>
      <c r="H52" s="130">
        <f>+ROUND(F52/VLOOKUP("Grand Total",$B$4:$F$303,5,0),4)</f>
        <v>-2.53E-2</v>
      </c>
      <c r="I52" s="89">
        <v>43153</v>
      </c>
      <c r="J52" s="101"/>
      <c r="K52" s="90"/>
      <c r="L52" s="103"/>
      <c r="M52" s="84"/>
      <c r="N52" s="90"/>
      <c r="O52" s="90"/>
      <c r="Q52" s="90"/>
    </row>
    <row r="53" spans="1:17" s="65" customFormat="1" ht="12.75" customHeight="1" x14ac:dyDescent="0.2">
      <c r="A53" s="65">
        <f t="shared" si="2"/>
        <v>42</v>
      </c>
      <c r="B53" s="77" t="s">
        <v>206</v>
      </c>
      <c r="C53" s="77" t="s">
        <v>52</v>
      </c>
      <c r="D53" s="77" t="s">
        <v>41</v>
      </c>
      <c r="E53" s="74">
        <v>99000</v>
      </c>
      <c r="F53" s="75">
        <v>138.5505</v>
      </c>
      <c r="G53" s="76">
        <f>+ROUND(F53/VLOOKUP("Grand Total",$B$4:$F$303,5,0),4)</f>
        <v>2.01E-2</v>
      </c>
      <c r="H53" s="76"/>
      <c r="I53" s="91" t="s">
        <v>371</v>
      </c>
      <c r="J53" s="101"/>
      <c r="K53" s="90"/>
      <c r="L53" s="103"/>
      <c r="M53" s="84"/>
      <c r="N53" s="90"/>
      <c r="O53" s="90"/>
      <c r="Q53" s="90"/>
    </row>
    <row r="54" spans="1:17" s="65" customFormat="1" ht="12.75" customHeight="1" x14ac:dyDescent="0.2">
      <c r="A54" s="65">
        <f t="shared" si="2"/>
        <v>43</v>
      </c>
      <c r="B54" s="77" t="s">
        <v>206</v>
      </c>
      <c r="C54" s="121" t="s">
        <v>724</v>
      </c>
      <c r="D54" s="77" t="s">
        <v>322</v>
      </c>
      <c r="E54" s="74">
        <v>-99000</v>
      </c>
      <c r="F54" s="80">
        <v>-139.095</v>
      </c>
      <c r="G54" s="130"/>
      <c r="H54" s="130">
        <f>+ROUND(F54/VLOOKUP("Grand Total",$B$4:$F$303,5,0),4)</f>
        <v>-2.0199999999999999E-2</v>
      </c>
      <c r="I54" s="89">
        <v>43153</v>
      </c>
      <c r="J54" s="101"/>
      <c r="K54" s="90"/>
      <c r="L54" s="103"/>
      <c r="M54" s="84"/>
      <c r="N54" s="90"/>
      <c r="O54" s="90"/>
      <c r="Q54" s="90"/>
    </row>
    <row r="55" spans="1:17" s="65" customFormat="1" ht="12.75" customHeight="1" x14ac:dyDescent="0.2">
      <c r="A55" s="65">
        <f t="shared" si="2"/>
        <v>44</v>
      </c>
      <c r="B55" s="77" t="s">
        <v>296</v>
      </c>
      <c r="C55" s="77" t="s">
        <v>178</v>
      </c>
      <c r="D55" s="77" t="s">
        <v>38</v>
      </c>
      <c r="E55" s="74">
        <v>60000</v>
      </c>
      <c r="F55" s="75">
        <v>134.01</v>
      </c>
      <c r="G55" s="76">
        <f>+ROUND(F55/VLOOKUP("Grand Total",$B$4:$F$303,5,0),4)</f>
        <v>1.9400000000000001E-2</v>
      </c>
      <c r="H55" s="76"/>
      <c r="I55" s="91" t="s">
        <v>371</v>
      </c>
      <c r="J55" s="101"/>
      <c r="K55" s="90"/>
      <c r="L55" s="103"/>
      <c r="M55" s="84"/>
      <c r="N55" s="90"/>
      <c r="O55" s="90"/>
      <c r="Q55" s="90"/>
    </row>
    <row r="56" spans="1:17" s="65" customFormat="1" ht="12.75" customHeight="1" x14ac:dyDescent="0.2">
      <c r="A56" s="65">
        <f t="shared" si="2"/>
        <v>45</v>
      </c>
      <c r="B56" s="77" t="s">
        <v>296</v>
      </c>
      <c r="C56" s="121" t="s">
        <v>724</v>
      </c>
      <c r="D56" s="77" t="s">
        <v>322</v>
      </c>
      <c r="E56" s="74">
        <v>-60000</v>
      </c>
      <c r="F56" s="80">
        <v>-134.52000000000001</v>
      </c>
      <c r="G56" s="130"/>
      <c r="H56" s="130">
        <f>+ROUND(F56/VLOOKUP("Grand Total",$B$4:$F$303,5,0),4)</f>
        <v>-1.95E-2</v>
      </c>
      <c r="I56" s="89">
        <v>43153</v>
      </c>
      <c r="J56" s="101"/>
      <c r="K56" s="90"/>
      <c r="L56" s="103"/>
      <c r="M56" s="84"/>
      <c r="N56" s="90"/>
      <c r="O56" s="90"/>
      <c r="Q56" s="90"/>
    </row>
    <row r="57" spans="1:17" s="65" customFormat="1" ht="12.75" customHeight="1" x14ac:dyDescent="0.2">
      <c r="A57" s="65">
        <f t="shared" si="2"/>
        <v>46</v>
      </c>
      <c r="B57" s="77" t="s">
        <v>278</v>
      </c>
      <c r="C57" s="77" t="s">
        <v>154</v>
      </c>
      <c r="D57" s="77" t="s">
        <v>144</v>
      </c>
      <c r="E57" s="74">
        <v>18700</v>
      </c>
      <c r="F57" s="75">
        <v>132.01265000000001</v>
      </c>
      <c r="G57" s="76">
        <f>+ROUND(F57/VLOOKUP("Grand Total",$B$4:$F$303,5,0),4)</f>
        <v>1.9099999999999999E-2</v>
      </c>
      <c r="H57" s="76"/>
      <c r="I57" s="91" t="s">
        <v>371</v>
      </c>
      <c r="J57" s="101"/>
      <c r="K57" s="90"/>
      <c r="L57" s="103"/>
      <c r="M57" s="84"/>
      <c r="N57" s="90"/>
      <c r="O57" s="90"/>
      <c r="Q57" s="90"/>
    </row>
    <row r="58" spans="1:17" s="65" customFormat="1" ht="12.75" customHeight="1" x14ac:dyDescent="0.2">
      <c r="A58" s="65">
        <f t="shared" si="2"/>
        <v>47</v>
      </c>
      <c r="B58" s="77" t="s">
        <v>278</v>
      </c>
      <c r="C58" s="121" t="s">
        <v>724</v>
      </c>
      <c r="D58" s="77" t="s">
        <v>322</v>
      </c>
      <c r="E58" s="74">
        <v>-18700</v>
      </c>
      <c r="F58" s="80">
        <v>-132.37729999999999</v>
      </c>
      <c r="G58" s="130"/>
      <c r="H58" s="130">
        <f>+ROUND(F58/VLOOKUP("Grand Total",$B$4:$F$303,5,0),4)</f>
        <v>-1.9199999999999998E-2</v>
      </c>
      <c r="I58" s="89">
        <v>43153</v>
      </c>
      <c r="J58" s="101"/>
      <c r="K58" s="90"/>
      <c r="L58" s="103"/>
      <c r="M58" s="84"/>
      <c r="N58" s="90"/>
      <c r="O58" s="90"/>
      <c r="Q58" s="90"/>
    </row>
    <row r="59" spans="1:17" s="65" customFormat="1" ht="12.75" customHeight="1" x14ac:dyDescent="0.2">
      <c r="A59" s="65">
        <f t="shared" si="2"/>
        <v>48</v>
      </c>
      <c r="B59" s="77" t="s">
        <v>532</v>
      </c>
      <c r="C59" s="77" t="s">
        <v>533</v>
      </c>
      <c r="D59" s="77" t="s">
        <v>26</v>
      </c>
      <c r="E59" s="74">
        <v>91000</v>
      </c>
      <c r="F59" s="75">
        <v>111.15649999999999</v>
      </c>
      <c r="G59" s="76">
        <f>+ROUND(F59/VLOOKUP("Grand Total",$B$4:$F$303,5,0),4)</f>
        <v>1.61E-2</v>
      </c>
      <c r="H59" s="76"/>
      <c r="I59" s="91" t="s">
        <v>371</v>
      </c>
      <c r="J59" s="101"/>
      <c r="K59" s="90"/>
      <c r="L59" s="103"/>
      <c r="M59" s="84"/>
      <c r="N59" s="90"/>
      <c r="O59" s="90"/>
      <c r="Q59" s="90"/>
    </row>
    <row r="60" spans="1:17" s="65" customFormat="1" ht="12.75" customHeight="1" x14ac:dyDescent="0.2">
      <c r="A60" s="65">
        <f t="shared" si="2"/>
        <v>49</v>
      </c>
      <c r="B60" s="77" t="s">
        <v>532</v>
      </c>
      <c r="C60" s="121" t="s">
        <v>724</v>
      </c>
      <c r="D60" s="77" t="s">
        <v>322</v>
      </c>
      <c r="E60" s="74">
        <v>-91000</v>
      </c>
      <c r="F60" s="80">
        <v>-111.566</v>
      </c>
      <c r="G60" s="130"/>
      <c r="H60" s="130">
        <f>+ROUND(F60/VLOOKUP("Grand Total",$B$4:$F$303,5,0),4)</f>
        <v>-1.6199999999999999E-2</v>
      </c>
      <c r="I60" s="89">
        <v>43153</v>
      </c>
      <c r="J60" s="101"/>
      <c r="K60" s="90"/>
      <c r="L60" s="103"/>
      <c r="M60" s="84"/>
      <c r="N60" s="90"/>
      <c r="O60" s="90"/>
      <c r="Q60" s="90"/>
    </row>
    <row r="61" spans="1:17" s="65" customFormat="1" ht="12.75" customHeight="1" x14ac:dyDescent="0.2">
      <c r="A61" s="65">
        <f t="shared" si="2"/>
        <v>50</v>
      </c>
      <c r="B61" s="77" t="s">
        <v>340</v>
      </c>
      <c r="C61" s="77" t="s">
        <v>341</v>
      </c>
      <c r="D61" s="77" t="s">
        <v>32</v>
      </c>
      <c r="E61" s="74">
        <v>45000</v>
      </c>
      <c r="F61" s="75">
        <v>101.67749999999999</v>
      </c>
      <c r="G61" s="76">
        <f>+ROUND(F61/VLOOKUP("Grand Total",$B$4:$F$303,5,0),4)</f>
        <v>1.47E-2</v>
      </c>
      <c r="H61" s="76"/>
      <c r="I61" s="91" t="s">
        <v>371</v>
      </c>
      <c r="J61" s="101"/>
      <c r="K61" s="90"/>
      <c r="L61" s="103"/>
      <c r="M61" s="84"/>
      <c r="N61" s="90"/>
      <c r="O61" s="90"/>
      <c r="Q61" s="90"/>
    </row>
    <row r="62" spans="1:17" s="65" customFormat="1" ht="12.75" customHeight="1" x14ac:dyDescent="0.2">
      <c r="A62" s="65">
        <f t="shared" si="2"/>
        <v>51</v>
      </c>
      <c r="B62" s="77" t="s">
        <v>340</v>
      </c>
      <c r="C62" s="121" t="s">
        <v>724</v>
      </c>
      <c r="D62" s="77" t="s">
        <v>322</v>
      </c>
      <c r="E62" s="74">
        <v>-45000</v>
      </c>
      <c r="F62" s="80">
        <v>-101.97</v>
      </c>
      <c r="G62" s="130"/>
      <c r="H62" s="130">
        <f>+ROUND(F62/VLOOKUP("Grand Total",$B$4:$F$303,5,0),4)</f>
        <v>-1.4800000000000001E-2</v>
      </c>
      <c r="I62" s="89">
        <v>43153</v>
      </c>
      <c r="J62" s="101"/>
      <c r="K62" s="90"/>
      <c r="L62" s="103"/>
      <c r="M62" s="84"/>
      <c r="N62" s="90"/>
      <c r="O62" s="90"/>
      <c r="Q62" s="90"/>
    </row>
    <row r="63" spans="1:17" s="65" customFormat="1" ht="12.75" customHeight="1" x14ac:dyDescent="0.2">
      <c r="A63" s="65">
        <f t="shared" si="2"/>
        <v>52</v>
      </c>
      <c r="B63" s="77" t="s">
        <v>40</v>
      </c>
      <c r="C63" s="77" t="s">
        <v>42</v>
      </c>
      <c r="D63" s="77" t="s">
        <v>10</v>
      </c>
      <c r="E63" s="74">
        <v>56000</v>
      </c>
      <c r="F63" s="75">
        <v>87.808000000000007</v>
      </c>
      <c r="G63" s="76">
        <f>+ROUND(F63/VLOOKUP("Grand Total",$B$4:$F$303,5,0),4)</f>
        <v>1.2699999999999999E-2</v>
      </c>
      <c r="H63" s="76"/>
      <c r="I63" s="91" t="s">
        <v>371</v>
      </c>
      <c r="J63" s="101"/>
      <c r="K63" s="90"/>
      <c r="L63" s="103"/>
      <c r="M63" s="84"/>
      <c r="N63" s="90"/>
      <c r="O63" s="90"/>
      <c r="Q63" s="90"/>
    </row>
    <row r="64" spans="1:17" s="65" customFormat="1" ht="12.75" customHeight="1" x14ac:dyDescent="0.2">
      <c r="A64" s="65">
        <f t="shared" si="2"/>
        <v>53</v>
      </c>
      <c r="B64" s="77" t="s">
        <v>40</v>
      </c>
      <c r="C64" s="121" t="s">
        <v>724</v>
      </c>
      <c r="D64" s="77" t="s">
        <v>322</v>
      </c>
      <c r="E64" s="74">
        <v>-56000</v>
      </c>
      <c r="F64" s="80">
        <v>-88.284000000000006</v>
      </c>
      <c r="G64" s="130"/>
      <c r="H64" s="130">
        <f>+ROUND(F64/VLOOKUP("Grand Total",$B$4:$F$303,5,0),4)</f>
        <v>-1.2800000000000001E-2</v>
      </c>
      <c r="I64" s="89">
        <v>43153</v>
      </c>
      <c r="J64" s="101"/>
      <c r="K64" s="90"/>
      <c r="L64" s="103"/>
      <c r="M64" s="84"/>
      <c r="N64" s="90"/>
      <c r="O64" s="90"/>
      <c r="Q64" s="90"/>
    </row>
    <row r="65" spans="1:17" s="65" customFormat="1" ht="12.75" customHeight="1" x14ac:dyDescent="0.2">
      <c r="A65" s="65">
        <f t="shared" si="2"/>
        <v>54</v>
      </c>
      <c r="B65" s="77" t="s">
        <v>244</v>
      </c>
      <c r="C65" s="77" t="s">
        <v>109</v>
      </c>
      <c r="D65" s="77" t="s">
        <v>22</v>
      </c>
      <c r="E65" s="74">
        <v>3500</v>
      </c>
      <c r="F65" s="75">
        <v>77.887249999999995</v>
      </c>
      <c r="G65" s="76">
        <f>+ROUND(F65/VLOOKUP("Grand Total",$B$4:$F$303,5,0),4)</f>
        <v>1.1299999999999999E-2</v>
      </c>
      <c r="H65" s="76"/>
      <c r="I65" s="91" t="s">
        <v>371</v>
      </c>
      <c r="J65" s="101"/>
      <c r="K65" s="90"/>
      <c r="L65" s="103"/>
      <c r="M65" s="84"/>
      <c r="N65" s="90"/>
      <c r="O65" s="90"/>
      <c r="Q65" s="90"/>
    </row>
    <row r="66" spans="1:17" s="65" customFormat="1" ht="12.75" customHeight="1" x14ac:dyDescent="0.2">
      <c r="A66" s="65">
        <f t="shared" si="2"/>
        <v>55</v>
      </c>
      <c r="B66" s="77" t="s">
        <v>244</v>
      </c>
      <c r="C66" s="121" t="s">
        <v>724</v>
      </c>
      <c r="D66" s="77" t="s">
        <v>322</v>
      </c>
      <c r="E66" s="74">
        <v>-3500</v>
      </c>
      <c r="F66" s="80">
        <v>-78.291499999999999</v>
      </c>
      <c r="G66" s="130"/>
      <c r="H66" s="130">
        <f>+ROUND(F66/VLOOKUP("Grand Total",$B$4:$F$303,5,0),4)</f>
        <v>-1.1299999999999999E-2</v>
      </c>
      <c r="I66" s="89">
        <v>43153</v>
      </c>
      <c r="J66" s="101"/>
      <c r="K66" s="90"/>
      <c r="L66" s="103"/>
      <c r="M66" s="84"/>
      <c r="N66" s="90"/>
      <c r="O66" s="90"/>
      <c r="Q66" s="90"/>
    </row>
    <row r="67" spans="1:17" s="65" customFormat="1" ht="12.75" customHeight="1" x14ac:dyDescent="0.2">
      <c r="A67" s="65">
        <f t="shared" si="2"/>
        <v>56</v>
      </c>
      <c r="B67" s="77" t="s">
        <v>483</v>
      </c>
      <c r="C67" s="77" t="s">
        <v>484</v>
      </c>
      <c r="D67" s="77" t="s">
        <v>176</v>
      </c>
      <c r="E67" s="74">
        <v>56000</v>
      </c>
      <c r="F67" s="75">
        <v>77.867999999999995</v>
      </c>
      <c r="G67" s="76">
        <f>+ROUND(F67/VLOOKUP("Grand Total",$B$4:$F$303,5,0),4)</f>
        <v>1.1299999999999999E-2</v>
      </c>
      <c r="H67" s="76"/>
      <c r="I67" s="91" t="s">
        <v>371</v>
      </c>
      <c r="J67" s="101"/>
      <c r="K67" s="90"/>
      <c r="L67" s="103"/>
      <c r="M67" s="84"/>
      <c r="N67" s="90"/>
      <c r="O67" s="90"/>
      <c r="Q67" s="90"/>
    </row>
    <row r="68" spans="1:17" s="65" customFormat="1" ht="12.75" customHeight="1" x14ac:dyDescent="0.2">
      <c r="A68" s="65">
        <f t="shared" si="2"/>
        <v>57</v>
      </c>
      <c r="B68" s="77" t="s">
        <v>483</v>
      </c>
      <c r="C68" s="121" t="s">
        <v>724</v>
      </c>
      <c r="D68" s="77" t="s">
        <v>322</v>
      </c>
      <c r="E68" s="74">
        <v>-56000</v>
      </c>
      <c r="F68" s="80">
        <v>-78.203999999999994</v>
      </c>
      <c r="G68" s="130"/>
      <c r="H68" s="130">
        <f>+ROUND(F68/VLOOKUP("Grand Total",$B$4:$F$303,5,0),4)</f>
        <v>-1.1299999999999999E-2</v>
      </c>
      <c r="I68" s="89">
        <v>43153</v>
      </c>
      <c r="J68" s="101"/>
      <c r="K68" s="90"/>
      <c r="L68" s="103"/>
      <c r="M68" s="84"/>
      <c r="N68" s="90"/>
      <c r="O68" s="90"/>
      <c r="Q68" s="90"/>
    </row>
    <row r="69" spans="1:17" s="65" customFormat="1" ht="12.75" customHeight="1" x14ac:dyDescent="0.2">
      <c r="A69" s="65">
        <f t="shared" si="2"/>
        <v>58</v>
      </c>
      <c r="B69" s="77" t="s">
        <v>645</v>
      </c>
      <c r="C69" s="77" t="s">
        <v>646</v>
      </c>
      <c r="D69" s="77" t="s">
        <v>32</v>
      </c>
      <c r="E69" s="74">
        <v>25000</v>
      </c>
      <c r="F69" s="75">
        <v>62.524999999999999</v>
      </c>
      <c r="G69" s="76">
        <f>+ROUND(F69/VLOOKUP("Grand Total",$B$4:$F$303,5,0),4)</f>
        <v>9.1000000000000004E-3</v>
      </c>
      <c r="H69" s="76"/>
      <c r="I69" s="91" t="s">
        <v>371</v>
      </c>
      <c r="J69" s="101"/>
      <c r="K69" s="90"/>
      <c r="L69" s="103"/>
      <c r="M69" s="84"/>
      <c r="N69" s="90"/>
      <c r="O69" s="90"/>
      <c r="Q69" s="90"/>
    </row>
    <row r="70" spans="1:17" s="65" customFormat="1" ht="12.75" customHeight="1" x14ac:dyDescent="0.2">
      <c r="A70" s="65">
        <f t="shared" si="2"/>
        <v>59</v>
      </c>
      <c r="B70" s="77" t="s">
        <v>645</v>
      </c>
      <c r="C70" s="121" t="s">
        <v>724</v>
      </c>
      <c r="D70" s="77" t="s">
        <v>322</v>
      </c>
      <c r="E70" s="74">
        <v>-25000</v>
      </c>
      <c r="F70" s="80">
        <v>-62.862499999999997</v>
      </c>
      <c r="G70" s="130"/>
      <c r="H70" s="130">
        <f>+ROUND(F70/VLOOKUP("Grand Total",$B$4:$F$303,5,0),4)</f>
        <v>-9.1000000000000004E-3</v>
      </c>
      <c r="I70" s="89">
        <v>43153</v>
      </c>
      <c r="J70" s="101"/>
      <c r="K70" s="90"/>
      <c r="L70" s="103"/>
      <c r="M70" s="84"/>
      <c r="N70" s="90"/>
      <c r="O70" s="90"/>
      <c r="Q70" s="90"/>
    </row>
    <row r="71" spans="1:17" s="65" customFormat="1" ht="12.75" customHeight="1" x14ac:dyDescent="0.2">
      <c r="A71" s="65">
        <f t="shared" si="2"/>
        <v>60</v>
      </c>
      <c r="B71" s="77" t="s">
        <v>297</v>
      </c>
      <c r="C71" s="77" t="s">
        <v>180</v>
      </c>
      <c r="D71" s="77" t="s">
        <v>102</v>
      </c>
      <c r="E71" s="74">
        <v>6000</v>
      </c>
      <c r="F71" s="75">
        <v>61.463999999999999</v>
      </c>
      <c r="G71" s="76">
        <f>+ROUND(F71/VLOOKUP("Grand Total",$B$4:$F$303,5,0),4)</f>
        <v>8.8999999999999999E-3</v>
      </c>
      <c r="H71" s="76"/>
      <c r="I71" s="91" t="s">
        <v>371</v>
      </c>
      <c r="J71" s="101"/>
      <c r="K71" s="90"/>
      <c r="L71" s="103"/>
      <c r="M71" s="84"/>
      <c r="N71" s="90"/>
      <c r="O71" s="90"/>
      <c r="Q71" s="90"/>
    </row>
    <row r="72" spans="1:17" s="65" customFormat="1" ht="12.75" customHeight="1" x14ac:dyDescent="0.2">
      <c r="A72" s="65">
        <f t="shared" si="2"/>
        <v>61</v>
      </c>
      <c r="B72" s="77" t="s">
        <v>297</v>
      </c>
      <c r="C72" s="121" t="s">
        <v>724</v>
      </c>
      <c r="D72" s="77" t="s">
        <v>322</v>
      </c>
      <c r="E72" s="74">
        <v>-6000</v>
      </c>
      <c r="F72" s="80">
        <v>-61.356000000000002</v>
      </c>
      <c r="G72" s="130"/>
      <c r="H72" s="130">
        <f>+ROUND(F72/VLOOKUP("Grand Total",$B$4:$F$303,5,0),4)</f>
        <v>-8.8999999999999999E-3</v>
      </c>
      <c r="I72" s="89">
        <v>43153</v>
      </c>
      <c r="J72" s="101"/>
      <c r="K72" s="90"/>
      <c r="L72" s="103"/>
      <c r="M72" s="84"/>
      <c r="N72" s="90"/>
      <c r="O72" s="90"/>
      <c r="Q72" s="90"/>
    </row>
    <row r="73" spans="1:17" s="65" customFormat="1" ht="12.75" customHeight="1" x14ac:dyDescent="0.2">
      <c r="A73" s="65">
        <f t="shared" si="2"/>
        <v>62</v>
      </c>
      <c r="B73" s="77" t="s">
        <v>197</v>
      </c>
      <c r="C73" s="77" t="s">
        <v>27</v>
      </c>
      <c r="D73" s="77" t="s">
        <v>24</v>
      </c>
      <c r="E73" s="74">
        <v>3000</v>
      </c>
      <c r="F73" s="75">
        <v>58.689</v>
      </c>
      <c r="G73" s="76">
        <f>+ROUND(F73/VLOOKUP("Grand Total",$B$4:$F$303,5,0),4)</f>
        <v>8.5000000000000006E-3</v>
      </c>
      <c r="H73" s="76"/>
      <c r="I73" s="91" t="s">
        <v>371</v>
      </c>
      <c r="J73" s="101"/>
      <c r="K73" s="90"/>
      <c r="L73" s="103"/>
      <c r="M73" s="84"/>
      <c r="N73" s="90"/>
      <c r="O73" s="90"/>
      <c r="Q73" s="90"/>
    </row>
    <row r="74" spans="1:17" s="65" customFormat="1" ht="12.75" customHeight="1" x14ac:dyDescent="0.2">
      <c r="A74" s="65">
        <f t="shared" si="2"/>
        <v>63</v>
      </c>
      <c r="B74" s="77" t="s">
        <v>197</v>
      </c>
      <c r="C74" s="121" t="s">
        <v>724</v>
      </c>
      <c r="D74" s="77" t="s">
        <v>322</v>
      </c>
      <c r="E74" s="74">
        <v>-3000</v>
      </c>
      <c r="F74" s="80">
        <v>-58.968000000000004</v>
      </c>
      <c r="G74" s="130"/>
      <c r="H74" s="130">
        <f>+ROUND(F74/VLOOKUP("Grand Total",$B$4:$F$303,5,0),4)</f>
        <v>-8.5000000000000006E-3</v>
      </c>
      <c r="I74" s="89">
        <v>43153</v>
      </c>
      <c r="J74" s="101"/>
      <c r="K74" s="90"/>
      <c r="L74" s="103"/>
      <c r="M74" s="84"/>
      <c r="N74" s="90"/>
      <c r="O74" s="90"/>
      <c r="Q74" s="90"/>
    </row>
    <row r="75" spans="1:17" s="65" customFormat="1" ht="12.75" customHeight="1" x14ac:dyDescent="0.2">
      <c r="A75" s="65">
        <f t="shared" si="2"/>
        <v>64</v>
      </c>
      <c r="B75" s="77" t="s">
        <v>215</v>
      </c>
      <c r="C75" s="77" t="s">
        <v>61</v>
      </c>
      <c r="D75" s="77" t="s">
        <v>22</v>
      </c>
      <c r="E75" s="74">
        <v>8800</v>
      </c>
      <c r="F75" s="75">
        <v>55.400399999999998</v>
      </c>
      <c r="G75" s="76">
        <f>+ROUND(F75/VLOOKUP("Grand Total",$B$4:$F$303,5,0),4)</f>
        <v>8.0000000000000002E-3</v>
      </c>
      <c r="H75" s="76"/>
      <c r="I75" s="91" t="s">
        <v>371</v>
      </c>
      <c r="J75" s="101"/>
      <c r="K75" s="90"/>
      <c r="L75" s="103"/>
      <c r="M75" s="84"/>
      <c r="N75" s="90"/>
      <c r="O75" s="90"/>
      <c r="Q75" s="90"/>
    </row>
    <row r="76" spans="1:17" s="65" customFormat="1" ht="12.75" customHeight="1" x14ac:dyDescent="0.2">
      <c r="A76" s="65">
        <f t="shared" si="2"/>
        <v>65</v>
      </c>
      <c r="B76" s="77" t="s">
        <v>215</v>
      </c>
      <c r="C76" s="121" t="s">
        <v>724</v>
      </c>
      <c r="D76" s="77" t="s">
        <v>322</v>
      </c>
      <c r="E76" s="74">
        <v>-8800</v>
      </c>
      <c r="F76" s="80">
        <v>-55.356400000000001</v>
      </c>
      <c r="G76" s="130"/>
      <c r="H76" s="130">
        <f>+ROUND(F76/VLOOKUP("Grand Total",$B$4:$F$303,5,0),4)</f>
        <v>-8.0000000000000002E-3</v>
      </c>
      <c r="I76" s="89">
        <v>43153</v>
      </c>
      <c r="J76" s="101"/>
      <c r="K76" s="90"/>
      <c r="L76" s="103"/>
      <c r="M76" s="84"/>
      <c r="N76" s="90"/>
      <c r="O76" s="90"/>
      <c r="Q76" s="90"/>
    </row>
    <row r="77" spans="1:17" s="65" customFormat="1" ht="12.75" customHeight="1" x14ac:dyDescent="0.2">
      <c r="A77" s="65">
        <f t="shared" si="2"/>
        <v>66</v>
      </c>
      <c r="B77" s="77" t="s">
        <v>707</v>
      </c>
      <c r="C77" s="77" t="s">
        <v>708</v>
      </c>
      <c r="D77" s="77" t="s">
        <v>102</v>
      </c>
      <c r="E77" s="74">
        <v>70000</v>
      </c>
      <c r="F77" s="75">
        <v>52.64</v>
      </c>
      <c r="G77" s="76">
        <f>+ROUND(F77/VLOOKUP("Grand Total",$B$4:$F$303,5,0),4)</f>
        <v>7.6E-3</v>
      </c>
      <c r="H77" s="76"/>
      <c r="I77" s="91" t="s">
        <v>371</v>
      </c>
      <c r="J77" s="101"/>
      <c r="K77" s="90"/>
      <c r="L77" s="103"/>
      <c r="M77" s="84"/>
      <c r="N77" s="90"/>
      <c r="O77" s="90"/>
      <c r="Q77" s="90"/>
    </row>
    <row r="78" spans="1:17" s="65" customFormat="1" ht="12.75" customHeight="1" x14ac:dyDescent="0.2">
      <c r="A78" s="65">
        <f t="shared" si="2"/>
        <v>67</v>
      </c>
      <c r="B78" s="77" t="s">
        <v>707</v>
      </c>
      <c r="C78" s="121" t="s">
        <v>724</v>
      </c>
      <c r="D78" s="77" t="s">
        <v>322</v>
      </c>
      <c r="E78" s="74">
        <v>-70000</v>
      </c>
      <c r="F78" s="80">
        <v>-52.744999999999997</v>
      </c>
      <c r="G78" s="130"/>
      <c r="H78" s="130">
        <f>+ROUND(F78/VLOOKUP("Grand Total",$B$4:$F$303,5,0),4)</f>
        <v>-7.6E-3</v>
      </c>
      <c r="I78" s="89">
        <v>43153</v>
      </c>
      <c r="J78" s="101"/>
      <c r="K78" s="90"/>
      <c r="L78" s="103"/>
      <c r="M78" s="84"/>
      <c r="N78" s="90"/>
      <c r="O78" s="90"/>
      <c r="Q78" s="90"/>
    </row>
    <row r="79" spans="1:17" s="65" customFormat="1" ht="12.75" customHeight="1" x14ac:dyDescent="0.2">
      <c r="A79" s="65">
        <f t="shared" si="2"/>
        <v>68</v>
      </c>
      <c r="B79" s="77" t="s">
        <v>218</v>
      </c>
      <c r="C79" s="77" t="s">
        <v>73</v>
      </c>
      <c r="D79" s="77" t="s">
        <v>32</v>
      </c>
      <c r="E79" s="74">
        <v>20000</v>
      </c>
      <c r="F79" s="75">
        <v>48.24</v>
      </c>
      <c r="G79" s="76">
        <f>+ROUND(F79/VLOOKUP("Grand Total",$B$4:$F$303,5,0),4)</f>
        <v>7.0000000000000001E-3</v>
      </c>
      <c r="H79" s="76"/>
      <c r="I79" s="91" t="s">
        <v>371</v>
      </c>
      <c r="J79" s="101"/>
      <c r="K79" s="90"/>
      <c r="L79" s="103"/>
      <c r="M79" s="84"/>
      <c r="N79" s="90"/>
      <c r="O79" s="90"/>
      <c r="Q79" s="90"/>
    </row>
    <row r="80" spans="1:17" s="65" customFormat="1" ht="12.75" customHeight="1" x14ac:dyDescent="0.2">
      <c r="A80" s="65">
        <f t="shared" si="2"/>
        <v>69</v>
      </c>
      <c r="B80" s="77" t="s">
        <v>218</v>
      </c>
      <c r="C80" s="121" t="s">
        <v>724</v>
      </c>
      <c r="D80" s="77" t="s">
        <v>322</v>
      </c>
      <c r="E80" s="74">
        <v>-20000</v>
      </c>
      <c r="F80" s="80">
        <v>-48.16</v>
      </c>
      <c r="G80" s="130"/>
      <c r="H80" s="130">
        <f>+ROUND(F80/VLOOKUP("Grand Total",$B$4:$F$303,5,0),4)</f>
        <v>-7.0000000000000001E-3</v>
      </c>
      <c r="I80" s="89">
        <v>43153</v>
      </c>
      <c r="J80" s="101"/>
      <c r="K80" s="90"/>
      <c r="L80" s="103"/>
      <c r="M80" s="84"/>
      <c r="N80" s="90"/>
      <c r="O80" s="90"/>
      <c r="Q80" s="90"/>
    </row>
    <row r="81" spans="1:17" s="65" customFormat="1" ht="12.75" customHeight="1" x14ac:dyDescent="0.2">
      <c r="A81" s="65">
        <f t="shared" si="2"/>
        <v>70</v>
      </c>
      <c r="B81" s="77" t="s">
        <v>203</v>
      </c>
      <c r="C81" s="77" t="s">
        <v>48</v>
      </c>
      <c r="D81" s="77" t="s">
        <v>26</v>
      </c>
      <c r="E81" s="74">
        <v>800</v>
      </c>
      <c r="F81" s="75">
        <v>37.473199999999999</v>
      </c>
      <c r="G81" s="76">
        <f>+ROUND(F81/VLOOKUP("Grand Total",$B$4:$F$303,5,0),4)</f>
        <v>5.4000000000000003E-3</v>
      </c>
      <c r="H81" s="76"/>
      <c r="I81" s="91" t="s">
        <v>371</v>
      </c>
      <c r="J81" s="101"/>
      <c r="K81" s="90"/>
      <c r="L81" s="103"/>
      <c r="M81" s="84"/>
      <c r="N81" s="90"/>
      <c r="O81" s="90"/>
      <c r="Q81" s="90"/>
    </row>
    <row r="82" spans="1:17" s="65" customFormat="1" ht="12.75" customHeight="1" x14ac:dyDescent="0.2">
      <c r="A82" s="65">
        <f t="shared" si="2"/>
        <v>71</v>
      </c>
      <c r="B82" s="77" t="s">
        <v>203</v>
      </c>
      <c r="C82" s="121" t="s">
        <v>724</v>
      </c>
      <c r="D82" s="77" t="s">
        <v>322</v>
      </c>
      <c r="E82" s="74">
        <v>-800</v>
      </c>
      <c r="F82" s="80">
        <v>-37.5276</v>
      </c>
      <c r="G82" s="130"/>
      <c r="H82" s="130">
        <f>+ROUND(F82/VLOOKUP("Grand Total",$B$4:$F$303,5,0),4)</f>
        <v>-5.4000000000000003E-3</v>
      </c>
      <c r="I82" s="89">
        <v>43153</v>
      </c>
      <c r="J82" s="101"/>
      <c r="K82" s="90"/>
      <c r="L82" s="103"/>
      <c r="M82" s="84"/>
      <c r="N82" s="90"/>
      <c r="O82" s="90"/>
      <c r="Q82" s="90"/>
    </row>
    <row r="83" spans="1:17" s="65" customFormat="1" ht="12.75" customHeight="1" x14ac:dyDescent="0.2">
      <c r="A83" s="65">
        <f t="shared" si="2"/>
        <v>72</v>
      </c>
      <c r="B83" s="77" t="s">
        <v>260</v>
      </c>
      <c r="C83" s="77" t="s">
        <v>124</v>
      </c>
      <c r="D83" s="77" t="s">
        <v>45</v>
      </c>
      <c r="E83" s="74">
        <v>14000</v>
      </c>
      <c r="F83" s="75">
        <v>35.860999999999997</v>
      </c>
      <c r="G83" s="76">
        <f>+ROUND(F83/VLOOKUP("Grand Total",$B$4:$F$303,5,0),4)</f>
        <v>5.1999999999999998E-3</v>
      </c>
      <c r="H83" s="76"/>
      <c r="I83" s="91" t="s">
        <v>371</v>
      </c>
      <c r="J83" s="101"/>
      <c r="K83" s="90"/>
      <c r="L83" s="103"/>
      <c r="M83" s="84"/>
      <c r="N83" s="90"/>
      <c r="O83" s="90"/>
      <c r="Q83" s="90"/>
    </row>
    <row r="84" spans="1:17" s="65" customFormat="1" ht="12.75" customHeight="1" x14ac:dyDescent="0.2">
      <c r="A84" s="65">
        <f t="shared" si="2"/>
        <v>73</v>
      </c>
      <c r="B84" s="77" t="s">
        <v>260</v>
      </c>
      <c r="C84" s="121" t="s">
        <v>724</v>
      </c>
      <c r="D84" s="77" t="s">
        <v>322</v>
      </c>
      <c r="E84" s="74">
        <v>-14000</v>
      </c>
      <c r="F84" s="80">
        <v>-35.994</v>
      </c>
      <c r="G84" s="130"/>
      <c r="H84" s="130">
        <f>+ROUND(F84/VLOOKUP("Grand Total",$B$4:$F$303,5,0),4)</f>
        <v>-5.1999999999999998E-3</v>
      </c>
      <c r="I84" s="89">
        <v>43153</v>
      </c>
      <c r="J84" s="101"/>
      <c r="K84" s="90"/>
      <c r="L84" s="103"/>
      <c r="M84" s="84"/>
      <c r="N84" s="90"/>
      <c r="O84" s="90"/>
      <c r="Q84" s="90"/>
    </row>
    <row r="85" spans="1:17" s="65" customFormat="1" ht="12.75" customHeight="1" x14ac:dyDescent="0.2">
      <c r="A85" s="65">
        <f t="shared" si="2"/>
        <v>74</v>
      </c>
      <c r="B85" s="77" t="s">
        <v>647</v>
      </c>
      <c r="C85" s="77" t="s">
        <v>648</v>
      </c>
      <c r="D85" s="77" t="s">
        <v>24</v>
      </c>
      <c r="E85" s="74">
        <v>3000</v>
      </c>
      <c r="F85" s="75">
        <v>14.733000000000001</v>
      </c>
      <c r="G85" s="76">
        <f>+ROUND(F85/VLOOKUP("Grand Total",$B$4:$F$303,5,0),4)</f>
        <v>2.0999999999999999E-3</v>
      </c>
      <c r="H85" s="76"/>
      <c r="I85" s="91" t="s">
        <v>371</v>
      </c>
      <c r="J85" s="101"/>
      <c r="K85" s="90"/>
      <c r="L85" s="103"/>
      <c r="M85" s="84"/>
      <c r="N85" s="90"/>
      <c r="O85" s="90"/>
      <c r="Q85" s="90"/>
    </row>
    <row r="86" spans="1:17" s="65" customFormat="1" ht="12.75" customHeight="1" x14ac:dyDescent="0.2">
      <c r="A86" s="65">
        <f t="shared" si="2"/>
        <v>75</v>
      </c>
      <c r="B86" s="77" t="s">
        <v>647</v>
      </c>
      <c r="C86" s="121" t="s">
        <v>724</v>
      </c>
      <c r="D86" s="77" t="s">
        <v>322</v>
      </c>
      <c r="E86" s="74">
        <v>-3000</v>
      </c>
      <c r="F86" s="80">
        <v>-14.721</v>
      </c>
      <c r="G86" s="130"/>
      <c r="H86" s="130">
        <f>+ROUND(F86/VLOOKUP("Grand Total",$B$4:$F$303,5,0),4)</f>
        <v>-2.0999999999999999E-3</v>
      </c>
      <c r="I86" s="89">
        <v>43153</v>
      </c>
      <c r="J86" s="101"/>
      <c r="K86" s="90"/>
      <c r="L86" s="103"/>
      <c r="M86" s="84"/>
      <c r="N86" s="90"/>
      <c r="O86" s="90"/>
      <c r="Q86" s="90"/>
    </row>
    <row r="87" spans="1:17" s="65" customFormat="1" ht="12.75" customHeight="1" x14ac:dyDescent="0.2">
      <c r="A87" s="65">
        <f t="shared" si="2"/>
        <v>76</v>
      </c>
      <c r="B87" s="77" t="s">
        <v>295</v>
      </c>
      <c r="C87" s="77" t="s">
        <v>179</v>
      </c>
      <c r="D87" s="77" t="s">
        <v>36</v>
      </c>
      <c r="E87" s="74">
        <v>2600</v>
      </c>
      <c r="F87" s="75">
        <v>12.905099999999999</v>
      </c>
      <c r="G87" s="76">
        <f>+ROUND(F87/VLOOKUP("Grand Total",$B$4:$F$303,5,0),4)</f>
        <v>1.9E-3</v>
      </c>
      <c r="H87" s="76"/>
      <c r="I87" s="91" t="s">
        <v>371</v>
      </c>
      <c r="J87" s="101"/>
      <c r="K87" s="90"/>
      <c r="L87" s="103"/>
      <c r="M87" s="84"/>
      <c r="N87" s="90"/>
      <c r="O87" s="90"/>
      <c r="Q87" s="90"/>
    </row>
    <row r="88" spans="1:17" s="65" customFormat="1" ht="12.75" customHeight="1" x14ac:dyDescent="0.2">
      <c r="A88" s="65">
        <f t="shared" si="2"/>
        <v>77</v>
      </c>
      <c r="B88" s="77" t="s">
        <v>295</v>
      </c>
      <c r="C88" s="121" t="s">
        <v>724</v>
      </c>
      <c r="D88" s="77" t="s">
        <v>322</v>
      </c>
      <c r="E88" s="74">
        <v>-2600</v>
      </c>
      <c r="F88" s="80">
        <v>-12.979200000000001</v>
      </c>
      <c r="G88" s="130"/>
      <c r="H88" s="130">
        <f>+ROUND(F88/VLOOKUP("Grand Total",$B$4:$F$303,5,0),4)</f>
        <v>-1.9E-3</v>
      </c>
      <c r="I88" s="89">
        <v>43153</v>
      </c>
      <c r="J88" s="101"/>
      <c r="K88" s="90"/>
      <c r="L88" s="103"/>
      <c r="M88" s="84"/>
      <c r="N88" s="90"/>
      <c r="O88" s="90"/>
      <c r="Q88" s="90"/>
    </row>
    <row r="89" spans="1:17" s="65" customFormat="1" ht="12.75" customHeight="1" x14ac:dyDescent="0.2">
      <c r="A89" s="65">
        <f t="shared" si="2"/>
        <v>78</v>
      </c>
      <c r="B89" s="77" t="s">
        <v>430</v>
      </c>
      <c r="C89" s="77" t="s">
        <v>68</v>
      </c>
      <c r="D89" s="77" t="s">
        <v>22</v>
      </c>
      <c r="E89" s="74">
        <v>2200</v>
      </c>
      <c r="F89" s="75">
        <v>12.7578</v>
      </c>
      <c r="G89" s="76">
        <f>+ROUND(F89/VLOOKUP("Grand Total",$B$4:$F$303,5,0),4)</f>
        <v>1.8E-3</v>
      </c>
      <c r="H89" s="76"/>
      <c r="I89" s="91" t="s">
        <v>371</v>
      </c>
      <c r="J89" s="101"/>
      <c r="K89" s="90"/>
      <c r="L89" s="103"/>
      <c r="M89" s="84"/>
      <c r="N89" s="90"/>
      <c r="O89" s="90"/>
      <c r="Q89" s="90"/>
    </row>
    <row r="90" spans="1:17" s="65" customFormat="1" ht="12.75" customHeight="1" x14ac:dyDescent="0.2">
      <c r="A90" s="65">
        <f t="shared" si="2"/>
        <v>79</v>
      </c>
      <c r="B90" s="77" t="s">
        <v>430</v>
      </c>
      <c r="C90" s="121" t="s">
        <v>724</v>
      </c>
      <c r="D90" s="77" t="s">
        <v>322</v>
      </c>
      <c r="E90" s="74">
        <v>-2200</v>
      </c>
      <c r="F90" s="80">
        <v>-12.783099999999999</v>
      </c>
      <c r="G90" s="130"/>
      <c r="H90" s="130">
        <f>+ROUND(F90/VLOOKUP("Grand Total",$B$4:$F$303,5,0),4)</f>
        <v>-1.9E-3</v>
      </c>
      <c r="I90" s="89">
        <v>43153</v>
      </c>
      <c r="J90" s="101"/>
      <c r="K90" s="90"/>
      <c r="L90" s="103"/>
      <c r="M90" s="84"/>
      <c r="N90" s="90"/>
      <c r="O90" s="90"/>
      <c r="Q90" s="90"/>
    </row>
    <row r="91" spans="1:17" s="46" customFormat="1" x14ac:dyDescent="0.2">
      <c r="A91"/>
      <c r="B91" s="18" t="s">
        <v>85</v>
      </c>
      <c r="C91" s="18"/>
      <c r="D91" s="18"/>
      <c r="E91" s="19"/>
      <c r="F91" s="19">
        <f>+F39+F41+F43+F45+F47+F49+F51+F53+F55+F57+F59+F61+F63+F65+F67+F69+F71+F73+F75+F77+F79+F81+F83+F85+F87+F89</f>
        <v>2814.3138749999994</v>
      </c>
      <c r="G91" s="20">
        <f>+G39+G41+G43+G45+G47+G49+G51+G53+G55+G57+G59+G61+G63+G65+G67+G69+G71+G73+G75+G77+G79+G81+G83+G85+G87+G89</f>
        <v>0.40750000000000003</v>
      </c>
      <c r="H91" s="20">
        <f>SUM(H39:H90)</f>
        <v>-0.40919999999999995</v>
      </c>
      <c r="I91" s="21"/>
      <c r="J91" s="55"/>
      <c r="K91"/>
      <c r="L91" s="36"/>
      <c r="M91"/>
    </row>
    <row r="92" spans="1:17" s="46" customFormat="1" x14ac:dyDescent="0.2">
      <c r="A92"/>
      <c r="B92"/>
      <c r="C92"/>
      <c r="D92"/>
      <c r="E92" s="28"/>
      <c r="F92" s="28"/>
      <c r="G92" s="28"/>
      <c r="H92" s="14"/>
      <c r="I92" s="15"/>
      <c r="J92" s="56"/>
      <c r="L92" s="48"/>
    </row>
    <row r="93" spans="1:17" s="46" customFormat="1" x14ac:dyDescent="0.2">
      <c r="A93"/>
      <c r="B93" s="16" t="s">
        <v>91</v>
      </c>
      <c r="C93"/>
      <c r="D93"/>
      <c r="E93" s="28"/>
      <c r="F93" s="44"/>
      <c r="G93" s="14"/>
      <c r="H93" s="14"/>
      <c r="I93" s="15"/>
      <c r="J93" s="56"/>
      <c r="L93" s="48"/>
    </row>
    <row r="94" spans="1:17" ht="12.75" customHeight="1" x14ac:dyDescent="0.2">
      <c r="B94" s="16" t="s">
        <v>306</v>
      </c>
      <c r="F94" s="13"/>
      <c r="G94" s="14"/>
      <c r="H94" s="14"/>
      <c r="I94" s="33"/>
      <c r="J94"/>
      <c r="K94" s="36"/>
      <c r="L94"/>
    </row>
    <row r="95" spans="1:17" ht="12.75" customHeight="1" x14ac:dyDescent="0.2">
      <c r="A95" s="65">
        <f>+MAX($A$7:A94)+1</f>
        <v>80</v>
      </c>
      <c r="B95" t="s">
        <v>566</v>
      </c>
      <c r="C95" t="s">
        <v>633</v>
      </c>
      <c r="D95" t="s">
        <v>567</v>
      </c>
      <c r="E95" s="28">
        <v>60</v>
      </c>
      <c r="F95" s="13">
        <v>297.81479999999999</v>
      </c>
      <c r="G95" s="14">
        <f>+ROUND(F95/VLOOKUP("Grand Total",$B$4:$F$332,5,0),4)</f>
        <v>4.3099999999999999E-2</v>
      </c>
      <c r="H95" s="14"/>
      <c r="I95" s="15">
        <v>43158</v>
      </c>
      <c r="J95"/>
      <c r="K95" s="36"/>
      <c r="L95"/>
    </row>
    <row r="96" spans="1:17" ht="12.75" customHeight="1" x14ac:dyDescent="0.2">
      <c r="A96" s="65">
        <f>+MAX($A$7:A95)+1</f>
        <v>81</v>
      </c>
      <c r="B96" t="s">
        <v>579</v>
      </c>
      <c r="C96" t="s">
        <v>684</v>
      </c>
      <c r="D96" t="s">
        <v>290</v>
      </c>
      <c r="E96" s="28">
        <v>40</v>
      </c>
      <c r="F96" s="13">
        <v>198.79</v>
      </c>
      <c r="G96" s="14">
        <f>+ROUND(F96/VLOOKUP("Grand Total",$B$4:$F$332,5,0),4)</f>
        <v>2.8799999999999999E-2</v>
      </c>
      <c r="H96" s="14"/>
      <c r="I96" s="15">
        <v>43164</v>
      </c>
      <c r="J96"/>
      <c r="K96" s="36"/>
      <c r="L96"/>
    </row>
    <row r="97" spans="1:13" ht="12.75" customHeight="1" x14ac:dyDescent="0.2">
      <c r="A97" s="65">
        <f>+MAX($A$7:A96)+1</f>
        <v>82</v>
      </c>
      <c r="B97" t="s">
        <v>566</v>
      </c>
      <c r="C97" t="s">
        <v>687</v>
      </c>
      <c r="D97" t="s">
        <v>567</v>
      </c>
      <c r="E97" s="28">
        <v>40</v>
      </c>
      <c r="F97" s="13">
        <v>197.27379999999999</v>
      </c>
      <c r="G97" s="14">
        <f>+ROUND(F97/VLOOKUP("Grand Total",$B$4:$F$332,5,0),4)</f>
        <v>2.86E-2</v>
      </c>
      <c r="H97" s="14"/>
      <c r="I97" s="15">
        <v>43181</v>
      </c>
      <c r="J97"/>
      <c r="K97" s="36"/>
      <c r="L97"/>
    </row>
    <row r="98" spans="1:13" ht="12.75" customHeight="1" x14ac:dyDescent="0.2">
      <c r="A98" s="65">
        <f>+MAX($A$7:A97)+1</f>
        <v>83</v>
      </c>
      <c r="B98" t="s">
        <v>291</v>
      </c>
      <c r="C98" t="s">
        <v>605</v>
      </c>
      <c r="D98" t="s">
        <v>578</v>
      </c>
      <c r="E98" s="28">
        <v>40</v>
      </c>
      <c r="F98" s="13">
        <v>186.4324</v>
      </c>
      <c r="G98" s="14">
        <f>+ROUND(F98/VLOOKUP("Grand Total",$B$4:$F$332,5,0),4)</f>
        <v>2.7E-2</v>
      </c>
      <c r="H98" s="14"/>
      <c r="I98" s="15">
        <v>43426</v>
      </c>
      <c r="J98"/>
      <c r="K98" s="36"/>
      <c r="L98"/>
    </row>
    <row r="99" spans="1:13" ht="12.75" customHeight="1" x14ac:dyDescent="0.2">
      <c r="A99" s="65">
        <f>+MAX($A$7:A98)+1</f>
        <v>84</v>
      </c>
      <c r="B99" t="s">
        <v>512</v>
      </c>
      <c r="C99" t="s">
        <v>649</v>
      </c>
      <c r="D99" t="s">
        <v>290</v>
      </c>
      <c r="E99" s="28">
        <v>20</v>
      </c>
      <c r="F99" s="13">
        <v>99.7273</v>
      </c>
      <c r="G99" s="14">
        <f>+ROUND(F99/VLOOKUP("Grand Total",$B$4:$F$332,5,0),4)</f>
        <v>1.44E-2</v>
      </c>
      <c r="H99" s="14"/>
      <c r="I99" s="15">
        <v>43145</v>
      </c>
      <c r="J99"/>
      <c r="K99" s="36"/>
      <c r="L99"/>
    </row>
    <row r="100" spans="1:13" ht="12.75" customHeight="1" x14ac:dyDescent="0.2">
      <c r="B100" s="18" t="s">
        <v>85</v>
      </c>
      <c r="C100" s="18"/>
      <c r="D100" s="18"/>
      <c r="E100" s="29"/>
      <c r="F100" s="19">
        <f>SUM(F95:F99)</f>
        <v>980.03830000000005</v>
      </c>
      <c r="G100" s="20">
        <f>SUM(G95:G99)</f>
        <v>0.1419</v>
      </c>
      <c r="H100" s="20"/>
      <c r="I100" s="21"/>
      <c r="J100"/>
      <c r="K100" s="36"/>
      <c r="L100"/>
    </row>
    <row r="101" spans="1:13" x14ac:dyDescent="0.2">
      <c r="F101" s="44"/>
      <c r="G101" s="14"/>
      <c r="H101" s="14"/>
      <c r="I101" s="15"/>
      <c r="J101" s="56"/>
      <c r="K101" s="48"/>
      <c r="L101" s="46"/>
      <c r="M101" s="46"/>
    </row>
    <row r="102" spans="1:13" x14ac:dyDescent="0.2">
      <c r="B102" s="16" t="s">
        <v>125</v>
      </c>
      <c r="F102" s="44"/>
      <c r="G102" s="14"/>
      <c r="H102" s="14"/>
      <c r="I102" s="15"/>
      <c r="J102" s="56"/>
      <c r="K102" s="48"/>
      <c r="L102" s="46"/>
      <c r="M102" s="46"/>
    </row>
    <row r="103" spans="1:13" ht="12.75" customHeight="1" x14ac:dyDescent="0.2">
      <c r="B103" s="31" t="s">
        <v>305</v>
      </c>
      <c r="F103" s="13"/>
      <c r="G103" s="14"/>
      <c r="H103" s="14"/>
      <c r="I103" s="33"/>
      <c r="J103"/>
      <c r="K103" s="36"/>
      <c r="L103"/>
    </row>
    <row r="104" spans="1:13" ht="12.75" customHeight="1" x14ac:dyDescent="0.2">
      <c r="A104">
        <f>+MAX($A$7:A103)+1</f>
        <v>85</v>
      </c>
      <c r="B104" s="65" t="s">
        <v>489</v>
      </c>
      <c r="C104" t="s">
        <v>490</v>
      </c>
      <c r="D104" t="s">
        <v>292</v>
      </c>
      <c r="E104" s="28">
        <v>17</v>
      </c>
      <c r="F104" s="13">
        <v>169.49357000000001</v>
      </c>
      <c r="G104" s="14">
        <f t="shared" ref="G104:G109" si="3">+ROUND(F104/VLOOKUP("Grand Total",$B$4:$F$332,5,0),4)</f>
        <v>2.46E-2</v>
      </c>
      <c r="H104" s="14"/>
      <c r="I104" s="15">
        <v>43630</v>
      </c>
      <c r="J104"/>
      <c r="K104" s="36"/>
      <c r="L104"/>
    </row>
    <row r="105" spans="1:13" ht="12.75" customHeight="1" x14ac:dyDescent="0.2">
      <c r="A105">
        <f>+MAX($A$7:A104)+1</f>
        <v>86</v>
      </c>
      <c r="B105" s="65" t="s">
        <v>420</v>
      </c>
      <c r="C105" t="s">
        <v>421</v>
      </c>
      <c r="D105" t="s">
        <v>362</v>
      </c>
      <c r="E105" s="28">
        <v>13</v>
      </c>
      <c r="F105" s="13">
        <v>130.19331</v>
      </c>
      <c r="G105" s="14">
        <f t="shared" si="3"/>
        <v>1.89E-2</v>
      </c>
      <c r="H105" s="14"/>
      <c r="I105" s="15">
        <v>43322</v>
      </c>
      <c r="J105"/>
      <c r="K105" s="36"/>
      <c r="L105"/>
    </row>
    <row r="106" spans="1:13" ht="12.75" customHeight="1" x14ac:dyDescent="0.2">
      <c r="A106">
        <f>+MAX($A$7:A105)+1</f>
        <v>87</v>
      </c>
      <c r="B106" s="65" t="s">
        <v>516</v>
      </c>
      <c r="C106" s="121" t="s">
        <v>517</v>
      </c>
      <c r="D106" t="s">
        <v>108</v>
      </c>
      <c r="E106" s="28">
        <v>10</v>
      </c>
      <c r="F106" s="13">
        <v>99.48</v>
      </c>
      <c r="G106" s="14">
        <f t="shared" si="3"/>
        <v>1.44E-2</v>
      </c>
      <c r="H106" s="14"/>
      <c r="I106" s="15">
        <v>44091</v>
      </c>
      <c r="J106"/>
      <c r="K106" s="36"/>
      <c r="L106"/>
    </row>
    <row r="107" spans="1:13" ht="12.75" customHeight="1" x14ac:dyDescent="0.2">
      <c r="A107">
        <f>+MAX($A$7:A106)+1</f>
        <v>88</v>
      </c>
      <c r="B107" s="65" t="s">
        <v>688</v>
      </c>
      <c r="C107" t="s">
        <v>689</v>
      </c>
      <c r="D107" t="s">
        <v>669</v>
      </c>
      <c r="E107" s="28">
        <v>10.000000000000002</v>
      </c>
      <c r="F107" s="13">
        <v>95.818200000000004</v>
      </c>
      <c r="G107" s="14">
        <f t="shared" si="3"/>
        <v>1.3899999999999999E-2</v>
      </c>
      <c r="H107" s="14"/>
      <c r="I107" s="15">
        <v>43826</v>
      </c>
      <c r="J107"/>
      <c r="K107" s="36"/>
      <c r="L107"/>
    </row>
    <row r="108" spans="1:13" ht="12.75" customHeight="1" x14ac:dyDescent="0.2">
      <c r="A108">
        <f>+MAX($A$7:A107)+1</f>
        <v>89</v>
      </c>
      <c r="B108" s="65" t="s">
        <v>613</v>
      </c>
      <c r="C108" t="s">
        <v>614</v>
      </c>
      <c r="D108" t="s">
        <v>108</v>
      </c>
      <c r="E108" s="28">
        <v>4</v>
      </c>
      <c r="F108" s="13">
        <v>52.308399999999999</v>
      </c>
      <c r="G108" s="14">
        <f t="shared" si="3"/>
        <v>7.6E-3</v>
      </c>
      <c r="H108" s="14"/>
      <c r="I108" s="15">
        <v>44401</v>
      </c>
      <c r="J108"/>
      <c r="K108" s="36"/>
      <c r="L108"/>
    </row>
    <row r="109" spans="1:13" ht="12.75" customHeight="1" x14ac:dyDescent="0.2">
      <c r="A109">
        <f>+MAX($A$7:A108)+1</f>
        <v>90</v>
      </c>
      <c r="B109" s="65" t="s">
        <v>315</v>
      </c>
      <c r="C109" t="s">
        <v>171</v>
      </c>
      <c r="D109" t="s">
        <v>170</v>
      </c>
      <c r="E109" s="28">
        <v>1</v>
      </c>
      <c r="F109" s="13">
        <v>10.023199999999999</v>
      </c>
      <c r="G109" s="14">
        <f t="shared" si="3"/>
        <v>1.5E-3</v>
      </c>
      <c r="H109" s="14"/>
      <c r="I109" s="15">
        <v>43259</v>
      </c>
      <c r="J109"/>
      <c r="K109" s="36"/>
      <c r="L109"/>
    </row>
    <row r="110" spans="1:13" ht="12.75" customHeight="1" x14ac:dyDescent="0.2">
      <c r="B110" s="18" t="s">
        <v>85</v>
      </c>
      <c r="C110" s="18"/>
      <c r="D110" s="18"/>
      <c r="E110" s="29"/>
      <c r="F110" s="19">
        <f>SUM(F104:F109)</f>
        <v>557.31667999999991</v>
      </c>
      <c r="G110" s="20">
        <f>SUM(G104:G109)</f>
        <v>8.0899999999999986E-2</v>
      </c>
      <c r="H110" s="20"/>
      <c r="I110" s="21"/>
      <c r="J110"/>
      <c r="K110" s="36"/>
      <c r="L110"/>
    </row>
    <row r="111" spans="1:13" x14ac:dyDescent="0.2">
      <c r="F111" s="44"/>
      <c r="G111" s="14"/>
      <c r="H111" s="14"/>
      <c r="I111" s="15"/>
      <c r="J111" s="56"/>
      <c r="K111" s="48"/>
      <c r="L111" s="46"/>
      <c r="M111" s="46"/>
    </row>
    <row r="112" spans="1:13" ht="12.75" customHeight="1" x14ac:dyDescent="0.2">
      <c r="B112" s="16" t="s">
        <v>92</v>
      </c>
      <c r="F112" s="13"/>
      <c r="G112" s="14"/>
      <c r="H112" s="14"/>
      <c r="I112" s="33"/>
      <c r="J112"/>
      <c r="K112" s="36"/>
      <c r="L112"/>
    </row>
    <row r="113" spans="1:13" ht="12.75" customHeight="1" x14ac:dyDescent="0.2">
      <c r="A113">
        <f>+MAX($A$7:A112)+1</f>
        <v>91</v>
      </c>
      <c r="B113" t="s">
        <v>447</v>
      </c>
      <c r="C113" t="s">
        <v>353</v>
      </c>
      <c r="D113" t="s">
        <v>319</v>
      </c>
      <c r="E113" s="28">
        <v>9842.8194000000003</v>
      </c>
      <c r="F113" s="13">
        <v>164.06031060000001</v>
      </c>
      <c r="G113" s="14">
        <f>+ROUND(F113/VLOOKUP("Grand Total",$B$4:$F$332,5,0),4)</f>
        <v>2.3800000000000002E-2</v>
      </c>
      <c r="H113" s="14"/>
      <c r="I113" s="33" t="s">
        <v>371</v>
      </c>
      <c r="J113"/>
      <c r="K113" s="36"/>
      <c r="L113"/>
    </row>
    <row r="114" spans="1:13" ht="12.75" customHeight="1" x14ac:dyDescent="0.2">
      <c r="B114" s="18" t="s">
        <v>85</v>
      </c>
      <c r="C114" s="18"/>
      <c r="D114" s="18"/>
      <c r="E114" s="29"/>
      <c r="F114" s="19">
        <f>SUM(F113)</f>
        <v>164.06031060000001</v>
      </c>
      <c r="G114" s="20">
        <f>SUM(G113)</f>
        <v>2.3800000000000002E-2</v>
      </c>
      <c r="H114" s="20"/>
      <c r="I114" s="21"/>
      <c r="J114"/>
      <c r="K114" s="36"/>
      <c r="L114"/>
    </row>
    <row r="115" spans="1:13" x14ac:dyDescent="0.2">
      <c r="F115" s="44"/>
      <c r="G115" s="14"/>
      <c r="H115" s="14"/>
      <c r="I115" s="15"/>
      <c r="J115" s="56"/>
      <c r="K115" s="48"/>
      <c r="L115" s="46"/>
      <c r="M115" s="46"/>
    </row>
    <row r="116" spans="1:13" x14ac:dyDescent="0.2">
      <c r="A116" s="95" t="s">
        <v>370</v>
      </c>
      <c r="B116" s="16" t="s">
        <v>93</v>
      </c>
      <c r="C116" s="16"/>
      <c r="F116" s="13">
        <v>250.68207000000001</v>
      </c>
      <c r="G116" s="14">
        <f>+ROUND(F116/VLOOKUP("Grand Total",$B$4:$F$308,5,0),4)</f>
        <v>3.6299999999999999E-2</v>
      </c>
      <c r="H116" s="14"/>
      <c r="I116" s="15">
        <v>43132</v>
      </c>
      <c r="J116" s="56"/>
      <c r="K116" s="36"/>
      <c r="L116"/>
    </row>
    <row r="117" spans="1:13" x14ac:dyDescent="0.2">
      <c r="B117" s="18" t="s">
        <v>85</v>
      </c>
      <c r="C117" s="18"/>
      <c r="D117" s="18"/>
      <c r="E117" s="29"/>
      <c r="F117" s="19">
        <f>SUM(F116)</f>
        <v>250.68207000000001</v>
      </c>
      <c r="G117" s="20">
        <f>SUM(G116)</f>
        <v>3.6299999999999999E-2</v>
      </c>
      <c r="H117" s="20"/>
      <c r="I117" s="21"/>
      <c r="J117" s="55"/>
    </row>
    <row r="118" spans="1:13" x14ac:dyDescent="0.2">
      <c r="F118" s="13"/>
      <c r="G118" s="14"/>
      <c r="H118" s="14"/>
      <c r="I118" s="15"/>
      <c r="J118" s="56"/>
    </row>
    <row r="119" spans="1:13" x14ac:dyDescent="0.2">
      <c r="B119" s="16" t="s">
        <v>94</v>
      </c>
      <c r="C119" s="16"/>
      <c r="F119" s="13"/>
      <c r="G119" s="14"/>
      <c r="H119" s="14"/>
      <c r="I119" s="15"/>
      <c r="J119" s="56"/>
    </row>
    <row r="120" spans="1:13" x14ac:dyDescent="0.2">
      <c r="B120" s="16" t="s">
        <v>95</v>
      </c>
      <c r="C120" s="16"/>
      <c r="F120" s="44">
        <f>+F122-SUMIF($B$5:B119,"Total",$F$5:F119)</f>
        <v>336.65433320000466</v>
      </c>
      <c r="G120" s="45">
        <f>+ROUND(F120/VLOOKUP("Grand Total",$B$4:$F$308,5,0),4)+0.02%</f>
        <v>4.9000000000000002E-2</v>
      </c>
      <c r="H120" s="45"/>
      <c r="I120" s="15"/>
      <c r="J120" s="56"/>
    </row>
    <row r="121" spans="1:13" x14ac:dyDescent="0.2">
      <c r="B121" s="18" t="s">
        <v>85</v>
      </c>
      <c r="C121" s="18"/>
      <c r="D121" s="18"/>
      <c r="E121" s="29"/>
      <c r="F121" s="19">
        <f>SUM(F120)</f>
        <v>336.65433320000466</v>
      </c>
      <c r="G121" s="20">
        <f>SUM(G120)</f>
        <v>4.9000000000000002E-2</v>
      </c>
      <c r="H121" s="20"/>
      <c r="I121" s="21"/>
      <c r="J121" s="55"/>
    </row>
    <row r="122" spans="1:13" x14ac:dyDescent="0.2">
      <c r="B122" s="22" t="s">
        <v>96</v>
      </c>
      <c r="C122" s="22"/>
      <c r="D122" s="22"/>
      <c r="E122" s="30"/>
      <c r="F122" s="23">
        <v>6902.3489073000037</v>
      </c>
      <c r="G122" s="24">
        <f>+SUMIF($B$5:B121,"Total",$G$5:G121)</f>
        <v>1</v>
      </c>
      <c r="H122" s="24"/>
      <c r="I122" s="25"/>
      <c r="J122" s="39"/>
    </row>
    <row r="123" spans="1:13" x14ac:dyDescent="0.2">
      <c r="F123" s="40"/>
      <c r="L123"/>
    </row>
    <row r="124" spans="1:13" x14ac:dyDescent="0.2">
      <c r="B124" s="16" t="s">
        <v>671</v>
      </c>
      <c r="C124" s="16"/>
      <c r="L124"/>
    </row>
    <row r="125" spans="1:13" x14ac:dyDescent="0.2">
      <c r="B125" s="16" t="s">
        <v>186</v>
      </c>
      <c r="C125" s="16"/>
      <c r="L125"/>
    </row>
    <row r="126" spans="1:13" x14ac:dyDescent="0.2">
      <c r="B126" s="53"/>
      <c r="L126"/>
    </row>
    <row r="127" spans="1:13" x14ac:dyDescent="0.2">
      <c r="L127"/>
    </row>
    <row r="128" spans="1:13" x14ac:dyDescent="0.2">
      <c r="L128"/>
    </row>
    <row r="129" spans="5:12" x14ac:dyDescent="0.2">
      <c r="L129"/>
    </row>
    <row r="130" spans="5:12" x14ac:dyDescent="0.2">
      <c r="L130"/>
    </row>
    <row r="131" spans="5:12" x14ac:dyDescent="0.2">
      <c r="L131"/>
    </row>
    <row r="132" spans="5:12" x14ac:dyDescent="0.2">
      <c r="L132"/>
    </row>
    <row r="133" spans="5:12" x14ac:dyDescent="0.2">
      <c r="L133"/>
    </row>
    <row r="134" spans="5:12" x14ac:dyDescent="0.2">
      <c r="L134"/>
    </row>
    <row r="135" spans="5:12" x14ac:dyDescent="0.2">
      <c r="E135"/>
      <c r="J135"/>
      <c r="L135"/>
    </row>
    <row r="136" spans="5:12" x14ac:dyDescent="0.2">
      <c r="E136"/>
      <c r="J136"/>
      <c r="L136"/>
    </row>
    <row r="137" spans="5:12" x14ac:dyDescent="0.2">
      <c r="E137"/>
      <c r="J137"/>
      <c r="L137"/>
    </row>
    <row r="138" spans="5:12" x14ac:dyDescent="0.2">
      <c r="E138"/>
      <c r="J138"/>
      <c r="L138"/>
    </row>
    <row r="139" spans="5:12" x14ac:dyDescent="0.2">
      <c r="E139"/>
      <c r="J139"/>
      <c r="L139"/>
    </row>
    <row r="140" spans="5:12" x14ac:dyDescent="0.2">
      <c r="E140"/>
      <c r="J140"/>
      <c r="L140"/>
    </row>
    <row r="141" spans="5:12" x14ac:dyDescent="0.2">
      <c r="E141"/>
      <c r="J141"/>
      <c r="L141"/>
    </row>
    <row r="142" spans="5:12" x14ac:dyDescent="0.2">
      <c r="E142"/>
      <c r="J142"/>
      <c r="L142"/>
    </row>
    <row r="143" spans="5:12" x14ac:dyDescent="0.2">
      <c r="E143"/>
      <c r="J143"/>
      <c r="L143"/>
    </row>
    <row r="144" spans="5:12" x14ac:dyDescent="0.2">
      <c r="E144"/>
      <c r="J144"/>
      <c r="L144"/>
    </row>
    <row r="145" spans="5:12" x14ac:dyDescent="0.2">
      <c r="E145"/>
      <c r="J145"/>
      <c r="L145"/>
    </row>
    <row r="146" spans="5:12" x14ac:dyDescent="0.2">
      <c r="E146"/>
      <c r="J146"/>
      <c r="L146"/>
    </row>
    <row r="147" spans="5:12" x14ac:dyDescent="0.2">
      <c r="E147"/>
      <c r="J147"/>
      <c r="L147"/>
    </row>
    <row r="148" spans="5:12" x14ac:dyDescent="0.2">
      <c r="E148"/>
      <c r="J148"/>
      <c r="L148"/>
    </row>
    <row r="149" spans="5:12" x14ac:dyDescent="0.2">
      <c r="E149"/>
      <c r="J149"/>
      <c r="L149"/>
    </row>
    <row r="150" spans="5:12" x14ac:dyDescent="0.2">
      <c r="E150"/>
      <c r="J150"/>
      <c r="L150"/>
    </row>
    <row r="151" spans="5:12" x14ac:dyDescent="0.2">
      <c r="E151"/>
      <c r="J151"/>
      <c r="L151"/>
    </row>
    <row r="152" spans="5:12" x14ac:dyDescent="0.2">
      <c r="E152"/>
      <c r="J152"/>
      <c r="L152"/>
    </row>
    <row r="153" spans="5:12" x14ac:dyDescent="0.2">
      <c r="E153"/>
      <c r="J153"/>
      <c r="L153"/>
    </row>
    <row r="154" spans="5:12" x14ac:dyDescent="0.2">
      <c r="E154"/>
      <c r="J154"/>
      <c r="L154"/>
    </row>
    <row r="155" spans="5:12" x14ac:dyDescent="0.2">
      <c r="E155"/>
      <c r="J155"/>
      <c r="L155"/>
    </row>
    <row r="156" spans="5:12" x14ac:dyDescent="0.2">
      <c r="E156"/>
      <c r="J156"/>
      <c r="L156"/>
    </row>
    <row r="157" spans="5:12" x14ac:dyDescent="0.2">
      <c r="E157"/>
      <c r="J157"/>
      <c r="L157"/>
    </row>
    <row r="158" spans="5:12" x14ac:dyDescent="0.2">
      <c r="E158"/>
      <c r="J158"/>
      <c r="L158"/>
    </row>
    <row r="159" spans="5:12" x14ac:dyDescent="0.2">
      <c r="E159"/>
      <c r="J159"/>
      <c r="L159"/>
    </row>
    <row r="160" spans="5:12" x14ac:dyDescent="0.2">
      <c r="E160"/>
      <c r="J160"/>
      <c r="L160"/>
    </row>
    <row r="161" spans="5:12" x14ac:dyDescent="0.2">
      <c r="E161"/>
      <c r="J161"/>
      <c r="L161"/>
    </row>
    <row r="162" spans="5:12" x14ac:dyDescent="0.2">
      <c r="E162"/>
      <c r="J162"/>
      <c r="L162"/>
    </row>
    <row r="163" spans="5:12" x14ac:dyDescent="0.2">
      <c r="E163"/>
      <c r="J163"/>
      <c r="L163"/>
    </row>
    <row r="164" spans="5:12" x14ac:dyDescent="0.2">
      <c r="E164"/>
      <c r="J164"/>
      <c r="L164"/>
    </row>
    <row r="165" spans="5:12" x14ac:dyDescent="0.2">
      <c r="E165"/>
      <c r="J165"/>
      <c r="L165"/>
    </row>
    <row r="166" spans="5:12" x14ac:dyDescent="0.2">
      <c r="E166"/>
      <c r="J166"/>
      <c r="L166"/>
    </row>
    <row r="167" spans="5:12" x14ac:dyDescent="0.2">
      <c r="E167"/>
      <c r="J167"/>
      <c r="L167"/>
    </row>
    <row r="168" spans="5:12" x14ac:dyDescent="0.2">
      <c r="E168"/>
      <c r="J168"/>
      <c r="L168"/>
    </row>
    <row r="169" spans="5:12" x14ac:dyDescent="0.2">
      <c r="E169"/>
      <c r="J169"/>
      <c r="L169"/>
    </row>
    <row r="170" spans="5:12" x14ac:dyDescent="0.2">
      <c r="E170"/>
      <c r="J170"/>
      <c r="L170"/>
    </row>
    <row r="171" spans="5:12" x14ac:dyDescent="0.2">
      <c r="E171"/>
      <c r="J171"/>
      <c r="L171"/>
    </row>
    <row r="172" spans="5:12" x14ac:dyDescent="0.2">
      <c r="E172"/>
      <c r="J172"/>
      <c r="L172"/>
    </row>
    <row r="173" spans="5:12" x14ac:dyDescent="0.2">
      <c r="E173"/>
      <c r="J173"/>
      <c r="L173"/>
    </row>
  </sheetData>
  <sheetProtection password="EDB3" sheet="1" objects="1" scenarios="1"/>
  <sortState ref="K9:L37">
    <sortCondition descending="1" ref="L9:L37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7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385</v>
      </c>
      <c r="B1" s="127" t="s">
        <v>460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91</v>
      </c>
      <c r="C7" s="16"/>
      <c r="F7" s="13"/>
      <c r="G7" s="14"/>
      <c r="H7" s="15"/>
    </row>
    <row r="8" spans="1:16" ht="12.75" customHeight="1" x14ac:dyDescent="0.2">
      <c r="B8" s="16" t="s">
        <v>168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597</v>
      </c>
      <c r="C9" t="s">
        <v>598</v>
      </c>
      <c r="D9" t="s">
        <v>403</v>
      </c>
      <c r="E9" s="28">
        <v>18000</v>
      </c>
      <c r="F9" s="13">
        <v>17.880192000000001</v>
      </c>
      <c r="G9" s="14">
        <f>+ROUND(F9/VLOOKUP("Grand Total",$B$4:$F$290,5,0),4)</f>
        <v>8.3999999999999995E-3</v>
      </c>
      <c r="H9" s="15">
        <v>43172</v>
      </c>
      <c r="J9" s="14" t="s">
        <v>403</v>
      </c>
      <c r="K9" s="48">
        <f t="shared" ref="K9:K16" si="0">SUMIFS($G$5:$G$320,$D$5:$D$320,J9)</f>
        <v>0.45719999999999994</v>
      </c>
    </row>
    <row r="10" spans="1:16" ht="12.75" customHeight="1" x14ac:dyDescent="0.2">
      <c r="B10" s="18" t="s">
        <v>85</v>
      </c>
      <c r="C10" s="18"/>
      <c r="D10" s="18"/>
      <c r="E10" s="29"/>
      <c r="F10" s="19">
        <f>SUM(F9:F9)</f>
        <v>17.880192000000001</v>
      </c>
      <c r="G10" s="20">
        <f>SUM(G9:G9)</f>
        <v>8.3999999999999995E-3</v>
      </c>
      <c r="H10" s="21"/>
      <c r="J10" t="s">
        <v>170</v>
      </c>
      <c r="K10" s="48">
        <f t="shared" si="0"/>
        <v>9.3799999999999994E-2</v>
      </c>
    </row>
    <row r="11" spans="1:16" ht="12.75" customHeight="1" x14ac:dyDescent="0.2">
      <c r="B11" s="16"/>
      <c r="C11" s="16"/>
      <c r="F11" s="13"/>
      <c r="G11" s="14"/>
      <c r="H11" s="15"/>
      <c r="J11" t="s">
        <v>292</v>
      </c>
      <c r="K11" s="48">
        <f t="shared" si="0"/>
        <v>8.4000000000000005E-2</v>
      </c>
    </row>
    <row r="12" spans="1:16" ht="12.75" customHeight="1" x14ac:dyDescent="0.2">
      <c r="B12" s="16" t="s">
        <v>169</v>
      </c>
      <c r="C12" s="16"/>
      <c r="F12" s="13"/>
      <c r="G12" s="14"/>
      <c r="H12" s="15"/>
      <c r="J12" s="46" t="s">
        <v>491</v>
      </c>
      <c r="K12" s="48">
        <f t="shared" si="0"/>
        <v>8.3199999999999996E-2</v>
      </c>
      <c r="M12" s="14"/>
      <c r="N12" s="36"/>
      <c r="P12" s="14"/>
    </row>
    <row r="13" spans="1:16" ht="12.75" customHeight="1" x14ac:dyDescent="0.2">
      <c r="A13">
        <f>+MAX($A$7:A12)+1</f>
        <v>2</v>
      </c>
      <c r="B13" s="1" t="s">
        <v>568</v>
      </c>
      <c r="C13" t="s">
        <v>569</v>
      </c>
      <c r="D13" t="s">
        <v>403</v>
      </c>
      <c r="E13" s="28">
        <v>500000</v>
      </c>
      <c r="F13" s="13">
        <v>457.9</v>
      </c>
      <c r="G13" s="14">
        <f>+ROUND(F13/VLOOKUP("Grand Total",$B$4:$F$288,5,0),4)</f>
        <v>0.21429999999999999</v>
      </c>
      <c r="H13" s="15">
        <v>48108</v>
      </c>
      <c r="J13" s="14" t="s">
        <v>535</v>
      </c>
      <c r="K13" s="48">
        <f t="shared" si="0"/>
        <v>7.0599999999999996E-2</v>
      </c>
      <c r="M13" s="14"/>
      <c r="N13" s="36"/>
      <c r="P13" s="14"/>
    </row>
    <row r="14" spans="1:16" ht="12.75" customHeight="1" x14ac:dyDescent="0.2">
      <c r="B14" s="18" t="s">
        <v>85</v>
      </c>
      <c r="C14" s="18"/>
      <c r="D14" s="18"/>
      <c r="E14" s="29"/>
      <c r="F14" s="19">
        <f>SUM(F13:F13)</f>
        <v>457.9</v>
      </c>
      <c r="G14" s="20">
        <f>SUM(G13:G13)</f>
        <v>0.21429999999999999</v>
      </c>
      <c r="H14" s="21"/>
      <c r="I14" s="35"/>
      <c r="J14" t="s">
        <v>174</v>
      </c>
      <c r="K14" s="48">
        <f t="shared" si="0"/>
        <v>7.0300000000000001E-2</v>
      </c>
      <c r="L14" s="54"/>
      <c r="M14" s="14"/>
      <c r="N14" s="36"/>
      <c r="P14" s="14"/>
    </row>
    <row r="15" spans="1:16" ht="12.75" customHeight="1" x14ac:dyDescent="0.2">
      <c r="F15" s="13"/>
      <c r="G15" s="14"/>
      <c r="H15" s="15"/>
      <c r="J15" t="s">
        <v>362</v>
      </c>
      <c r="K15" s="48">
        <f t="shared" si="0"/>
        <v>5.1900000000000002E-2</v>
      </c>
      <c r="L15" s="54"/>
      <c r="M15" s="14"/>
      <c r="N15" s="36"/>
      <c r="P15" s="14"/>
    </row>
    <row r="16" spans="1:16" ht="12.75" customHeight="1" x14ac:dyDescent="0.2">
      <c r="B16" s="16" t="s">
        <v>438</v>
      </c>
      <c r="C16" s="16"/>
      <c r="F16" s="13"/>
      <c r="G16" s="14"/>
      <c r="H16" s="15"/>
      <c r="J16" s="46" t="s">
        <v>108</v>
      </c>
      <c r="K16" s="48">
        <f t="shared" si="0"/>
        <v>4.7399999999999998E-2</v>
      </c>
      <c r="M16" s="14"/>
      <c r="N16" s="36"/>
      <c r="P16" s="14"/>
    </row>
    <row r="17" spans="1:16" ht="12.75" customHeight="1" x14ac:dyDescent="0.2">
      <c r="A17">
        <f>+MAX($A$7:A16)+1</f>
        <v>3</v>
      </c>
      <c r="B17" s="1" t="s">
        <v>701</v>
      </c>
      <c r="C17" t="s">
        <v>702</v>
      </c>
      <c r="D17" t="s">
        <v>403</v>
      </c>
      <c r="E17" s="28">
        <v>500000</v>
      </c>
      <c r="F17" s="13">
        <v>501</v>
      </c>
      <c r="G17" s="14">
        <f>+ROUND(F17/VLOOKUP("Grand Total",$B$4:$F$288,5,0),4)</f>
        <v>0.23449999999999999</v>
      </c>
      <c r="H17" s="15">
        <v>46783</v>
      </c>
      <c r="J17" s="14" t="s">
        <v>64</v>
      </c>
      <c r="K17" s="48">
        <f>+SUMIFS($G$5:$G$997,$B$5:$B$997,"CBLO / Reverse Repo Investments")+SUMIFS($G$5:$G$997,$B$5:$B$997,"Net Receivable/Payable")</f>
        <v>4.159999999999997E-2</v>
      </c>
      <c r="M17" s="14"/>
      <c r="N17" s="36"/>
      <c r="P17" s="14"/>
    </row>
    <row r="18" spans="1:16" ht="12.75" customHeight="1" x14ac:dyDescent="0.2">
      <c r="B18" s="18" t="s">
        <v>85</v>
      </c>
      <c r="C18" s="18"/>
      <c r="D18" s="18"/>
      <c r="E18" s="29"/>
      <c r="F18" s="19">
        <f>SUM(F17:F17)</f>
        <v>501</v>
      </c>
      <c r="G18" s="20">
        <f>SUM(G17:G17)</f>
        <v>0.23449999999999999</v>
      </c>
      <c r="H18" s="21"/>
      <c r="I18" s="35"/>
      <c r="K18" s="48"/>
      <c r="L18" s="54"/>
      <c r="M18" s="14"/>
      <c r="N18" s="36"/>
      <c r="P18" s="14"/>
    </row>
    <row r="19" spans="1:16" ht="12.75" customHeight="1" x14ac:dyDescent="0.2">
      <c r="F19" s="13"/>
      <c r="G19" s="14"/>
      <c r="H19" s="15"/>
      <c r="K19" s="48"/>
      <c r="L19" s="54"/>
      <c r="M19" s="14"/>
      <c r="N19" s="36"/>
      <c r="P19" s="14"/>
    </row>
    <row r="20" spans="1:16" ht="12.75" customHeight="1" x14ac:dyDescent="0.2">
      <c r="B20" s="16" t="s">
        <v>125</v>
      </c>
      <c r="C20" s="16"/>
      <c r="F20" s="13"/>
      <c r="G20" s="14"/>
      <c r="H20" s="15"/>
      <c r="J20" s="14"/>
      <c r="K20" s="48"/>
      <c r="L20" s="54">
        <f>+SUM($K$12:K20)</f>
        <v>0.36499999999999999</v>
      </c>
      <c r="M20" s="14"/>
      <c r="N20" s="36"/>
      <c r="P20" s="14"/>
    </row>
    <row r="21" spans="1:16" ht="12.75" customHeight="1" x14ac:dyDescent="0.2">
      <c r="B21" s="31" t="s">
        <v>305</v>
      </c>
      <c r="C21" s="16"/>
      <c r="F21" s="13"/>
      <c r="G21" s="14"/>
      <c r="H21" s="15"/>
      <c r="J21" s="14"/>
      <c r="K21" s="48"/>
    </row>
    <row r="22" spans="1:16" ht="12.75" customHeight="1" x14ac:dyDescent="0.2">
      <c r="A22">
        <f>+MAX($A$7:A21)+1</f>
        <v>4</v>
      </c>
      <c r="B22" s="1" t="s">
        <v>315</v>
      </c>
      <c r="C22" t="s">
        <v>171</v>
      </c>
      <c r="D22" t="s">
        <v>170</v>
      </c>
      <c r="E22" s="28">
        <v>20</v>
      </c>
      <c r="F22" s="13">
        <v>200.464</v>
      </c>
      <c r="G22" s="14">
        <f t="shared" ref="G22:G29" si="1">+ROUND(F22/VLOOKUP("Grand Total",$B$4:$F$288,5,0),4)</f>
        <v>9.3799999999999994E-2</v>
      </c>
      <c r="H22" s="15">
        <v>43259</v>
      </c>
      <c r="J22" s="52"/>
    </row>
    <row r="23" spans="1:16" ht="12.75" customHeight="1" x14ac:dyDescent="0.2">
      <c r="A23">
        <f>+MAX($A$7:A22)+1</f>
        <v>5</v>
      </c>
      <c r="B23" t="s">
        <v>489</v>
      </c>
      <c r="C23" t="s">
        <v>490</v>
      </c>
      <c r="D23" t="s">
        <v>292</v>
      </c>
      <c r="E23" s="28">
        <v>18</v>
      </c>
      <c r="F23" s="13">
        <v>179.46378000000001</v>
      </c>
      <c r="G23" s="14">
        <f t="shared" si="1"/>
        <v>8.4000000000000005E-2</v>
      </c>
      <c r="H23" s="15">
        <v>43630</v>
      </c>
    </row>
    <row r="24" spans="1:16" ht="12.75" customHeight="1" x14ac:dyDescent="0.2">
      <c r="A24">
        <f>+MAX($A$7:A23)+1</f>
        <v>6</v>
      </c>
      <c r="B24" t="s">
        <v>539</v>
      </c>
      <c r="C24" t="s">
        <v>518</v>
      </c>
      <c r="D24" t="s">
        <v>491</v>
      </c>
      <c r="E24" s="28">
        <v>18</v>
      </c>
      <c r="F24" s="13">
        <v>177.80706000000001</v>
      </c>
      <c r="G24" s="14">
        <f t="shared" si="1"/>
        <v>8.3199999999999996E-2</v>
      </c>
      <c r="H24" s="15">
        <v>44026</v>
      </c>
      <c r="J24" s="52"/>
    </row>
    <row r="25" spans="1:16" ht="12.75" customHeight="1" x14ac:dyDescent="0.2">
      <c r="A25">
        <f>+MAX($A$7:A24)+1</f>
        <v>7</v>
      </c>
      <c r="B25" s="65" t="s">
        <v>350</v>
      </c>
      <c r="C25" t="s">
        <v>351</v>
      </c>
      <c r="D25" t="s">
        <v>535</v>
      </c>
      <c r="E25" s="28">
        <v>15</v>
      </c>
      <c r="F25" s="13">
        <v>150.90180000000001</v>
      </c>
      <c r="G25" s="14">
        <f t="shared" si="1"/>
        <v>7.0599999999999996E-2</v>
      </c>
      <c r="H25" s="15">
        <v>43309</v>
      </c>
      <c r="J25" s="52"/>
    </row>
    <row r="26" spans="1:16" ht="12.75" customHeight="1" x14ac:dyDescent="0.2">
      <c r="A26">
        <f>+MAX($A$7:A25)+1</f>
        <v>8</v>
      </c>
      <c r="B26" t="s">
        <v>583</v>
      </c>
      <c r="C26" t="s">
        <v>352</v>
      </c>
      <c r="D26" t="s">
        <v>174</v>
      </c>
      <c r="E26" s="28">
        <v>15</v>
      </c>
      <c r="F26" s="13">
        <v>150.10679999999999</v>
      </c>
      <c r="G26" s="14">
        <f t="shared" si="1"/>
        <v>7.0300000000000001E-2</v>
      </c>
      <c r="H26" s="15">
        <v>43299</v>
      </c>
      <c r="J26" s="52"/>
    </row>
    <row r="27" spans="1:16" ht="12.75" customHeight="1" x14ac:dyDescent="0.2">
      <c r="A27">
        <f>+MAX($A$7:A26)+1</f>
        <v>9</v>
      </c>
      <c r="B27" t="s">
        <v>584</v>
      </c>
      <c r="C27" t="s">
        <v>408</v>
      </c>
      <c r="D27" t="s">
        <v>108</v>
      </c>
      <c r="E27" s="28">
        <v>10</v>
      </c>
      <c r="F27" s="13">
        <v>101.2886</v>
      </c>
      <c r="G27" s="14">
        <f t="shared" si="1"/>
        <v>4.7399999999999998E-2</v>
      </c>
      <c r="H27" s="15">
        <v>44343</v>
      </c>
      <c r="J27" s="52"/>
    </row>
    <row r="28" spans="1:16" ht="12.75" customHeight="1" x14ac:dyDescent="0.2">
      <c r="A28">
        <f>+MAX($A$7:A27)+1</f>
        <v>10</v>
      </c>
      <c r="B28" t="s">
        <v>360</v>
      </c>
      <c r="C28" t="s">
        <v>536</v>
      </c>
      <c r="D28" t="s">
        <v>362</v>
      </c>
      <c r="E28" s="28">
        <v>10000</v>
      </c>
      <c r="F28" s="13">
        <v>100.73520000000001</v>
      </c>
      <c r="G28" s="14">
        <f t="shared" si="1"/>
        <v>4.7199999999999999E-2</v>
      </c>
      <c r="H28" s="15">
        <v>43717</v>
      </c>
      <c r="J28" s="52"/>
    </row>
    <row r="29" spans="1:16" ht="12.75" customHeight="1" x14ac:dyDescent="0.2">
      <c r="A29">
        <f>+MAX($A$7:A28)+1</f>
        <v>11</v>
      </c>
      <c r="B29" t="s">
        <v>451</v>
      </c>
      <c r="C29" t="s">
        <v>422</v>
      </c>
      <c r="D29" t="s">
        <v>362</v>
      </c>
      <c r="E29" s="28">
        <v>1000</v>
      </c>
      <c r="F29" s="13">
        <v>10.06636</v>
      </c>
      <c r="G29" s="14">
        <f t="shared" si="1"/>
        <v>4.7000000000000002E-3</v>
      </c>
      <c r="H29" s="15">
        <v>43717</v>
      </c>
      <c r="J29" s="52"/>
    </row>
    <row r="30" spans="1:16" ht="12.75" customHeight="1" x14ac:dyDescent="0.2">
      <c r="B30" s="18" t="s">
        <v>85</v>
      </c>
      <c r="C30" s="18"/>
      <c r="D30" s="18"/>
      <c r="E30" s="29"/>
      <c r="F30" s="19">
        <f>SUM(F22:F29)</f>
        <v>1070.8335999999999</v>
      </c>
      <c r="G30" s="20">
        <f>SUM(G22:G29)</f>
        <v>0.50120000000000009</v>
      </c>
      <c r="H30" s="21"/>
      <c r="J30" s="52"/>
    </row>
    <row r="31" spans="1:16" ht="12.75" customHeight="1" x14ac:dyDescent="0.2">
      <c r="F31" s="13"/>
      <c r="G31" s="14"/>
      <c r="H31" s="15"/>
    </row>
    <row r="32" spans="1:16" ht="12.75" customHeight="1" x14ac:dyDescent="0.2">
      <c r="A32" s="95" t="s">
        <v>370</v>
      </c>
      <c r="B32" s="16" t="s">
        <v>93</v>
      </c>
      <c r="C32" s="16"/>
      <c r="F32" s="13">
        <v>643.11472000000003</v>
      </c>
      <c r="G32" s="14">
        <f>+ROUND(F32/VLOOKUP("Grand Total",$B$4:$F$288,5,0),4)</f>
        <v>0.30099999999999999</v>
      </c>
      <c r="H32" s="15">
        <v>43132</v>
      </c>
    </row>
    <row r="33" spans="2:9" ht="12.75" customHeight="1" x14ac:dyDescent="0.2">
      <c r="B33" s="18" t="s">
        <v>85</v>
      </c>
      <c r="C33" s="18"/>
      <c r="D33" s="18"/>
      <c r="E33" s="29"/>
      <c r="F33" s="19">
        <f>SUM(F32)</f>
        <v>643.11472000000003</v>
      </c>
      <c r="G33" s="20">
        <f>SUM(G32)</f>
        <v>0.30099999999999999</v>
      </c>
      <c r="H33" s="21"/>
      <c r="I33" s="35"/>
    </row>
    <row r="34" spans="2:9" ht="12.75" customHeight="1" x14ac:dyDescent="0.2">
      <c r="F34" s="13"/>
      <c r="G34" s="14"/>
      <c r="H34" s="15"/>
    </row>
    <row r="35" spans="2:9" ht="12.75" customHeight="1" x14ac:dyDescent="0.2">
      <c r="B35" s="16" t="s">
        <v>94</v>
      </c>
      <c r="C35" s="16"/>
      <c r="F35" s="13"/>
      <c r="G35" s="14"/>
      <c r="H35" s="15"/>
    </row>
    <row r="36" spans="2:9" ht="12.75" customHeight="1" x14ac:dyDescent="0.2">
      <c r="B36" s="16" t="s">
        <v>95</v>
      </c>
      <c r="C36" s="16"/>
      <c r="F36" s="13">
        <v>-554.25645430000031</v>
      </c>
      <c r="G36" s="125">
        <f>+ROUND(F36/VLOOKUP("Grand Total",$B$4:$F$288,5,0),4)</f>
        <v>-0.25940000000000002</v>
      </c>
      <c r="H36" s="15"/>
    </row>
    <row r="37" spans="2:9" ht="12.75" customHeight="1" x14ac:dyDescent="0.2">
      <c r="B37" s="18" t="s">
        <v>85</v>
      </c>
      <c r="C37" s="18"/>
      <c r="D37" s="18"/>
      <c r="E37" s="29"/>
      <c r="F37" s="19">
        <f>SUM(F36)</f>
        <v>-554.25645430000031</v>
      </c>
      <c r="G37" s="126">
        <f>SUM(G36)</f>
        <v>-0.25940000000000002</v>
      </c>
      <c r="H37" s="21"/>
      <c r="I37" s="35"/>
    </row>
    <row r="38" spans="2:9" ht="12.75" customHeight="1" x14ac:dyDescent="0.2">
      <c r="B38" s="22" t="s">
        <v>96</v>
      </c>
      <c r="C38" s="22"/>
      <c r="D38" s="22"/>
      <c r="E38" s="30"/>
      <c r="F38" s="23">
        <f>+SUMIF($B$5:B37,"Total",$F$5:F37)</f>
        <v>2136.4720576999994</v>
      </c>
      <c r="G38" s="24">
        <f>+SUMIF($B$5:B37,"Total",$G$5:G37)</f>
        <v>1</v>
      </c>
      <c r="H38" s="25"/>
      <c r="I38" s="35"/>
    </row>
    <row r="39" spans="2:9" ht="12.75" customHeight="1" x14ac:dyDescent="0.2"/>
    <row r="40" spans="2:9" ht="12.75" customHeight="1" x14ac:dyDescent="0.2">
      <c r="B40" s="16" t="s">
        <v>671</v>
      </c>
      <c r="C40" s="16"/>
    </row>
    <row r="41" spans="2:9" ht="12.75" customHeight="1" x14ac:dyDescent="0.2">
      <c r="B41" s="16" t="s">
        <v>186</v>
      </c>
      <c r="C41" s="16"/>
    </row>
    <row r="42" spans="2:9" ht="12.75" customHeight="1" x14ac:dyDescent="0.2">
      <c r="B42" s="16"/>
      <c r="C42" s="16"/>
    </row>
    <row r="43" spans="2:9" ht="12.75" customHeight="1" x14ac:dyDescent="0.2">
      <c r="B43" s="16"/>
      <c r="C43" s="16"/>
    </row>
    <row r="44" spans="2:9" ht="12.75" customHeight="1" x14ac:dyDescent="0.2">
      <c r="B44" s="16"/>
      <c r="C44" s="16"/>
    </row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</sheetData>
  <sheetProtection password="EDB3" sheet="1" objects="1" scenarios="1"/>
  <sortState ref="J11:K17">
    <sortCondition descending="1" ref="K11:K17"/>
  </sortState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19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386</v>
      </c>
      <c r="B1" s="127" t="s">
        <v>172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406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191</v>
      </c>
      <c r="C9" t="s">
        <v>13</v>
      </c>
      <c r="D9" t="s">
        <v>10</v>
      </c>
      <c r="E9" s="28">
        <v>144203</v>
      </c>
      <c r="F9" s="13">
        <v>2892.279571</v>
      </c>
      <c r="G9" s="14">
        <f>+ROUND(F9/VLOOKUP("Grand Total",$B$4:$F$336,5,0),4)</f>
        <v>2.8400000000000002E-2</v>
      </c>
      <c r="H9" s="15" t="s">
        <v>371</v>
      </c>
      <c r="I9" s="107"/>
      <c r="J9" s="14" t="s">
        <v>10</v>
      </c>
      <c r="K9" s="48">
        <f t="shared" ref="K9:K50" si="0">SUMIFS($G$5:$G$374,$D$5:$D$374,J9)</f>
        <v>0.10440000000000002</v>
      </c>
    </row>
    <row r="10" spans="1:16" ht="12.75" customHeight="1" x14ac:dyDescent="0.2">
      <c r="A10">
        <f>+MAX($A$7:A9)+1</f>
        <v>2</v>
      </c>
      <c r="B10" t="s">
        <v>201</v>
      </c>
      <c r="C10" t="s">
        <v>46</v>
      </c>
      <c r="D10" t="s">
        <v>26</v>
      </c>
      <c r="E10" s="28">
        <v>931277</v>
      </c>
      <c r="F10" s="13">
        <v>2527.4857780000002</v>
      </c>
      <c r="G10" s="14">
        <f t="shared" ref="G10:G71" si="1">+ROUND(F10/VLOOKUP("Grand Total",$B$4:$F$336,5,0),4)</f>
        <v>2.4799999999999999E-2</v>
      </c>
      <c r="H10" s="15" t="s">
        <v>371</v>
      </c>
      <c r="I10" s="107"/>
      <c r="J10" s="14" t="s">
        <v>403</v>
      </c>
      <c r="K10" s="48">
        <f t="shared" si="0"/>
        <v>0.10210000000000001</v>
      </c>
    </row>
    <row r="11" spans="1:16" ht="12.75" customHeight="1" x14ac:dyDescent="0.2">
      <c r="A11">
        <f>+MAX($A$7:A10)+1</f>
        <v>3</v>
      </c>
      <c r="B11" t="s">
        <v>225</v>
      </c>
      <c r="C11" t="s">
        <v>71</v>
      </c>
      <c r="D11" t="s">
        <v>28</v>
      </c>
      <c r="E11" s="28">
        <v>167626</v>
      </c>
      <c r="F11" s="13">
        <v>2374.42229</v>
      </c>
      <c r="G11" s="14">
        <f t="shared" si="1"/>
        <v>2.3300000000000001E-2</v>
      </c>
      <c r="H11" s="15" t="s">
        <v>371</v>
      </c>
      <c r="I11" s="107"/>
      <c r="J11" s="14" t="s">
        <v>26</v>
      </c>
      <c r="K11" s="48">
        <f t="shared" si="0"/>
        <v>9.0499999999999997E-2</v>
      </c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231</v>
      </c>
      <c r="C12" t="s">
        <v>78</v>
      </c>
      <c r="D12" t="s">
        <v>26</v>
      </c>
      <c r="E12" s="28">
        <v>66025</v>
      </c>
      <c r="F12" s="13">
        <v>2169.3173999999999</v>
      </c>
      <c r="G12" s="14">
        <f t="shared" si="1"/>
        <v>2.1299999999999999E-2</v>
      </c>
      <c r="H12" s="15" t="s">
        <v>371</v>
      </c>
      <c r="I12" s="107"/>
      <c r="J12" t="s">
        <v>108</v>
      </c>
      <c r="K12" s="48">
        <f t="shared" si="0"/>
        <v>7.0300000000000001E-2</v>
      </c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192</v>
      </c>
      <c r="C13" t="s">
        <v>15</v>
      </c>
      <c r="D13" t="s">
        <v>14</v>
      </c>
      <c r="E13" s="28">
        <v>176500</v>
      </c>
      <c r="F13" s="13">
        <v>2030.1912500000001</v>
      </c>
      <c r="G13" s="14">
        <f t="shared" si="1"/>
        <v>1.9900000000000001E-2</v>
      </c>
      <c r="H13" s="15" t="s">
        <v>371</v>
      </c>
      <c r="I13" s="107"/>
      <c r="J13" s="14" t="s">
        <v>14</v>
      </c>
      <c r="K13" s="48">
        <f t="shared" si="0"/>
        <v>6.7999999999999991E-2</v>
      </c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228</v>
      </c>
      <c r="C14" t="s">
        <v>79</v>
      </c>
      <c r="D14" t="s">
        <v>51</v>
      </c>
      <c r="E14" s="28">
        <v>654568</v>
      </c>
      <c r="F14" s="13">
        <v>1960.7584440000001</v>
      </c>
      <c r="G14" s="14">
        <f t="shared" si="1"/>
        <v>1.9300000000000001E-2</v>
      </c>
      <c r="H14" s="15" t="s">
        <v>371</v>
      </c>
      <c r="I14" s="107"/>
      <c r="J14" s="14" t="s">
        <v>24</v>
      </c>
      <c r="K14" s="48">
        <f t="shared" si="0"/>
        <v>5.8299999999999998E-2</v>
      </c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197</v>
      </c>
      <c r="C15" t="s">
        <v>27</v>
      </c>
      <c r="D15" t="s">
        <v>24</v>
      </c>
      <c r="E15" s="28">
        <v>100000</v>
      </c>
      <c r="F15" s="13">
        <v>1956.3</v>
      </c>
      <c r="G15" s="14">
        <f t="shared" si="1"/>
        <v>1.9199999999999998E-2</v>
      </c>
      <c r="H15" s="15" t="s">
        <v>371</v>
      </c>
      <c r="I15" s="107"/>
      <c r="J15" s="14" t="s">
        <v>36</v>
      </c>
      <c r="K15" s="48">
        <f t="shared" si="0"/>
        <v>3.6499999999999998E-2</v>
      </c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510</v>
      </c>
      <c r="C16" t="s">
        <v>511</v>
      </c>
      <c r="D16" t="s">
        <v>24</v>
      </c>
      <c r="E16" s="28">
        <v>403000</v>
      </c>
      <c r="F16" s="13">
        <v>1867.905</v>
      </c>
      <c r="G16" s="14">
        <f t="shared" si="1"/>
        <v>1.83E-2</v>
      </c>
      <c r="H16" s="15" t="s">
        <v>371</v>
      </c>
      <c r="I16" s="107"/>
      <c r="J16" s="14" t="s">
        <v>41</v>
      </c>
      <c r="K16" s="48">
        <f t="shared" si="0"/>
        <v>3.61E-2</v>
      </c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194</v>
      </c>
      <c r="C17" t="s">
        <v>11</v>
      </c>
      <c r="D17" t="s">
        <v>10</v>
      </c>
      <c r="E17" s="28">
        <v>509976</v>
      </c>
      <c r="F17" s="13">
        <v>1799.960292</v>
      </c>
      <c r="G17" s="14">
        <f t="shared" si="1"/>
        <v>1.77E-2</v>
      </c>
      <c r="H17" s="15" t="s">
        <v>371</v>
      </c>
      <c r="I17" s="107"/>
      <c r="J17" s="14" t="s">
        <v>28</v>
      </c>
      <c r="K17" s="48">
        <f t="shared" si="0"/>
        <v>3.1399999999999997E-2</v>
      </c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585</v>
      </c>
      <c r="C18" t="s">
        <v>586</v>
      </c>
      <c r="D18" t="s">
        <v>36</v>
      </c>
      <c r="E18" s="28">
        <v>1930000</v>
      </c>
      <c r="F18" s="13">
        <v>1717.7</v>
      </c>
      <c r="G18" s="14">
        <f t="shared" si="1"/>
        <v>1.6899999999999998E-2</v>
      </c>
      <c r="H18" s="15" t="s">
        <v>371</v>
      </c>
      <c r="I18" s="107"/>
      <c r="J18" s="14" t="s">
        <v>22</v>
      </c>
      <c r="K18" s="48">
        <f t="shared" si="0"/>
        <v>2.8699999999999996E-2</v>
      </c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316</v>
      </c>
      <c r="C19" t="s">
        <v>317</v>
      </c>
      <c r="D19" t="s">
        <v>144</v>
      </c>
      <c r="E19" s="28">
        <v>337043</v>
      </c>
      <c r="F19" s="13">
        <v>1645.1068830000002</v>
      </c>
      <c r="G19" s="14">
        <f t="shared" si="1"/>
        <v>1.6199999999999999E-2</v>
      </c>
      <c r="H19" s="15" t="s">
        <v>371</v>
      </c>
      <c r="I19" s="107"/>
      <c r="J19" s="14" t="s">
        <v>134</v>
      </c>
      <c r="K19" s="48">
        <f t="shared" si="0"/>
        <v>2.7200000000000002E-2</v>
      </c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346</v>
      </c>
      <c r="C20" t="s">
        <v>412</v>
      </c>
      <c r="D20" t="s">
        <v>134</v>
      </c>
      <c r="E20" s="28">
        <v>135699</v>
      </c>
      <c r="F20" s="13">
        <v>1637.6155319999998</v>
      </c>
      <c r="G20" s="14">
        <f t="shared" si="1"/>
        <v>1.61E-2</v>
      </c>
      <c r="H20" s="15" t="s">
        <v>371</v>
      </c>
      <c r="I20" s="107"/>
      <c r="J20" s="14" t="s">
        <v>20</v>
      </c>
      <c r="K20" s="48">
        <f t="shared" si="0"/>
        <v>2.6600000000000002E-2</v>
      </c>
      <c r="M20" s="14"/>
      <c r="N20" s="36"/>
      <c r="P20" s="14"/>
    </row>
    <row r="21" spans="1:16" ht="12.75" customHeight="1" x14ac:dyDescent="0.2">
      <c r="A21">
        <f>+MAX($A$7:A20)+1</f>
        <v>13</v>
      </c>
      <c r="B21" s="65" t="s">
        <v>216</v>
      </c>
      <c r="C21" t="s">
        <v>19</v>
      </c>
      <c r="D21" t="s">
        <v>14</v>
      </c>
      <c r="E21" s="28">
        <v>49759</v>
      </c>
      <c r="F21" s="13">
        <v>1548.6742365</v>
      </c>
      <c r="G21" s="14">
        <f t="shared" si="1"/>
        <v>1.52E-2</v>
      </c>
      <c r="H21" s="15" t="s">
        <v>371</v>
      </c>
      <c r="I21" s="107"/>
      <c r="J21" s="14" t="s">
        <v>18</v>
      </c>
      <c r="K21" s="48">
        <f t="shared" si="0"/>
        <v>2.4399999999999998E-2</v>
      </c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409</v>
      </c>
      <c r="C22" t="s">
        <v>410</v>
      </c>
      <c r="D22" t="s">
        <v>411</v>
      </c>
      <c r="E22" s="28">
        <v>941943</v>
      </c>
      <c r="F22" s="13">
        <v>1510.4056005000002</v>
      </c>
      <c r="G22" s="14">
        <f t="shared" si="1"/>
        <v>1.4800000000000001E-2</v>
      </c>
      <c r="H22" s="15" t="s">
        <v>371</v>
      </c>
      <c r="I22" s="107"/>
      <c r="J22" s="14" t="s">
        <v>106</v>
      </c>
      <c r="K22" s="48">
        <f t="shared" si="0"/>
        <v>2.18E-2</v>
      </c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212</v>
      </c>
      <c r="C23" t="s">
        <v>98</v>
      </c>
      <c r="D23" t="s">
        <v>10</v>
      </c>
      <c r="E23" s="28">
        <v>132716</v>
      </c>
      <c r="F23" s="13">
        <v>1471.7540819999999</v>
      </c>
      <c r="G23" s="14">
        <f t="shared" si="1"/>
        <v>1.4500000000000001E-2</v>
      </c>
      <c r="H23" s="15" t="s">
        <v>371</v>
      </c>
      <c r="I23" s="107"/>
      <c r="J23" s="14" t="s">
        <v>51</v>
      </c>
      <c r="K23" s="48">
        <f t="shared" si="0"/>
        <v>1.9300000000000001E-2</v>
      </c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16</v>
      </c>
      <c r="C24" t="s">
        <v>17</v>
      </c>
      <c r="D24" t="s">
        <v>10</v>
      </c>
      <c r="E24" s="28">
        <v>462536</v>
      </c>
      <c r="F24" s="13">
        <v>1448.89402</v>
      </c>
      <c r="G24" s="14">
        <f t="shared" si="1"/>
        <v>1.4200000000000001E-2</v>
      </c>
      <c r="H24" s="15" t="s">
        <v>371</v>
      </c>
      <c r="I24" s="107"/>
      <c r="J24" s="14" t="s">
        <v>45</v>
      </c>
      <c r="K24" s="48">
        <f t="shared" si="0"/>
        <v>1.7399999999999999E-2</v>
      </c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587</v>
      </c>
      <c r="C25" t="s">
        <v>588</v>
      </c>
      <c r="D25" t="s">
        <v>26</v>
      </c>
      <c r="E25" s="28">
        <v>20988</v>
      </c>
      <c r="F25" s="13">
        <v>1394.1593819999998</v>
      </c>
      <c r="G25" s="14">
        <f t="shared" si="1"/>
        <v>1.37E-2</v>
      </c>
      <c r="H25" s="15" t="s">
        <v>371</v>
      </c>
      <c r="I25" s="107"/>
      <c r="J25" s="14" t="s">
        <v>174</v>
      </c>
      <c r="K25" s="48">
        <f t="shared" si="0"/>
        <v>1.6500000000000001E-2</v>
      </c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206</v>
      </c>
      <c r="C26" t="s">
        <v>52</v>
      </c>
      <c r="D26" t="s">
        <v>41</v>
      </c>
      <c r="E26" s="28">
        <v>993614</v>
      </c>
      <c r="F26" s="13">
        <v>1390.5627930000001</v>
      </c>
      <c r="G26" s="14">
        <f t="shared" si="1"/>
        <v>1.37E-2</v>
      </c>
      <c r="H26" s="15" t="s">
        <v>371</v>
      </c>
      <c r="I26" s="107"/>
      <c r="J26" s="14" t="s">
        <v>144</v>
      </c>
      <c r="K26" s="48">
        <f t="shared" si="0"/>
        <v>1.6199999999999999E-2</v>
      </c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269</v>
      </c>
      <c r="C27" t="s">
        <v>82</v>
      </c>
      <c r="D27" t="s">
        <v>14</v>
      </c>
      <c r="E27" s="28">
        <v>202500</v>
      </c>
      <c r="F27" s="13">
        <v>1299.7462499999999</v>
      </c>
      <c r="G27" s="14">
        <f t="shared" si="1"/>
        <v>1.2800000000000001E-2</v>
      </c>
      <c r="H27" s="15" t="s">
        <v>371</v>
      </c>
      <c r="I27" s="107"/>
      <c r="J27" s="14" t="s">
        <v>362</v>
      </c>
      <c r="K27" s="48">
        <f t="shared" si="0"/>
        <v>1.5099999999999999E-2</v>
      </c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430</v>
      </c>
      <c r="C28" t="s">
        <v>68</v>
      </c>
      <c r="D28" t="s">
        <v>22</v>
      </c>
      <c r="E28" s="28">
        <v>215514</v>
      </c>
      <c r="F28" s="13">
        <v>1249.765686</v>
      </c>
      <c r="G28" s="14">
        <f t="shared" si="1"/>
        <v>1.23E-2</v>
      </c>
      <c r="H28" s="15" t="s">
        <v>371</v>
      </c>
      <c r="I28" s="107"/>
      <c r="J28" s="14" t="s">
        <v>411</v>
      </c>
      <c r="K28" s="48">
        <f t="shared" si="0"/>
        <v>1.4800000000000001E-2</v>
      </c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394</v>
      </c>
      <c r="C29" t="s">
        <v>393</v>
      </c>
      <c r="D29" t="s">
        <v>26</v>
      </c>
      <c r="E29" s="28">
        <v>324109</v>
      </c>
      <c r="F29" s="13">
        <v>1152.531604</v>
      </c>
      <c r="G29" s="14">
        <f t="shared" si="1"/>
        <v>1.1299999999999999E-2</v>
      </c>
      <c r="H29" s="15" t="s">
        <v>371</v>
      </c>
      <c r="I29" s="107"/>
      <c r="J29" s="14" t="s">
        <v>319</v>
      </c>
      <c r="K29" s="48">
        <f t="shared" si="0"/>
        <v>1.4800000000000001E-2</v>
      </c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618</v>
      </c>
      <c r="C30" t="s">
        <v>619</v>
      </c>
      <c r="D30" t="s">
        <v>106</v>
      </c>
      <c r="E30" s="28">
        <v>1150000</v>
      </c>
      <c r="F30" s="13">
        <v>1145.9749999999999</v>
      </c>
      <c r="G30" s="14">
        <f t="shared" si="1"/>
        <v>1.1299999999999999E-2</v>
      </c>
      <c r="H30" s="15" t="s">
        <v>371</v>
      </c>
      <c r="I30" s="107"/>
      <c r="J30" t="s">
        <v>290</v>
      </c>
      <c r="K30" s="48">
        <f t="shared" si="0"/>
        <v>1.1699999999999999E-2</v>
      </c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550</v>
      </c>
      <c r="C31" t="s">
        <v>551</v>
      </c>
      <c r="D31" t="s">
        <v>134</v>
      </c>
      <c r="E31" s="28">
        <v>296291</v>
      </c>
      <c r="F31" s="13">
        <v>1127.5354004999999</v>
      </c>
      <c r="G31" s="14">
        <f t="shared" si="1"/>
        <v>1.11E-2</v>
      </c>
      <c r="H31" s="15" t="s">
        <v>371</v>
      </c>
      <c r="I31" s="107"/>
      <c r="J31" t="s">
        <v>47</v>
      </c>
      <c r="K31" s="48">
        <f t="shared" si="0"/>
        <v>1.0800000000000001E-2</v>
      </c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250</v>
      </c>
      <c r="C32" t="s">
        <v>115</v>
      </c>
      <c r="D32" t="s">
        <v>36</v>
      </c>
      <c r="E32" s="28">
        <v>658080</v>
      </c>
      <c r="F32" s="13">
        <v>1120.3812</v>
      </c>
      <c r="G32" s="14">
        <f t="shared" si="1"/>
        <v>1.0999999999999999E-2</v>
      </c>
      <c r="H32" s="15" t="s">
        <v>371</v>
      </c>
      <c r="I32" s="107"/>
      <c r="J32" t="s">
        <v>578</v>
      </c>
      <c r="K32" s="48">
        <f t="shared" si="0"/>
        <v>1.06E-2</v>
      </c>
      <c r="L32" s="54">
        <f>+SUM($K$9:K37)</f>
        <v>0.91550000000000031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255</v>
      </c>
      <c r="C33" t="s">
        <v>119</v>
      </c>
      <c r="D33" t="s">
        <v>47</v>
      </c>
      <c r="E33" s="28">
        <v>230000</v>
      </c>
      <c r="F33" s="13">
        <v>1100.78</v>
      </c>
      <c r="G33" s="14">
        <f t="shared" si="1"/>
        <v>1.0800000000000001E-2</v>
      </c>
      <c r="H33" s="15" t="s">
        <v>371</v>
      </c>
      <c r="I33" s="107"/>
      <c r="J33" s="14" t="s">
        <v>473</v>
      </c>
      <c r="K33" s="48">
        <f t="shared" si="0"/>
        <v>9.7999999999999997E-3</v>
      </c>
      <c r="M33" s="14"/>
      <c r="N33" s="36"/>
      <c r="P33" s="14"/>
    </row>
    <row r="34" spans="1:16" ht="12.75" customHeight="1" x14ac:dyDescent="0.2">
      <c r="A34">
        <f>+MAX($A$7:A33)+1</f>
        <v>26</v>
      </c>
      <c r="B34" t="s">
        <v>248</v>
      </c>
      <c r="C34" t="s">
        <v>112</v>
      </c>
      <c r="D34" t="s">
        <v>20</v>
      </c>
      <c r="E34" s="28">
        <v>29440</v>
      </c>
      <c r="F34" s="13">
        <v>1086.76288</v>
      </c>
      <c r="G34" s="14">
        <f t="shared" si="1"/>
        <v>1.0699999999999999E-2</v>
      </c>
      <c r="H34" s="15" t="s">
        <v>371</v>
      </c>
      <c r="I34" s="107"/>
      <c r="J34" s="14" t="s">
        <v>162</v>
      </c>
      <c r="K34" s="48">
        <f t="shared" si="0"/>
        <v>9.5999999999999992E-3</v>
      </c>
      <c r="M34" s="14"/>
      <c r="N34" s="36"/>
      <c r="P34" s="14"/>
    </row>
    <row r="35" spans="1:16" ht="12.75" customHeight="1" x14ac:dyDescent="0.2">
      <c r="A35">
        <f>+MAX($A$7:A34)+1</f>
        <v>27</v>
      </c>
      <c r="B35" t="s">
        <v>196</v>
      </c>
      <c r="C35" t="s">
        <v>25</v>
      </c>
      <c r="D35" t="s">
        <v>14</v>
      </c>
      <c r="E35" s="28">
        <v>109437</v>
      </c>
      <c r="F35" s="13">
        <v>1079.6507234999999</v>
      </c>
      <c r="G35" s="14">
        <f t="shared" si="1"/>
        <v>1.06E-2</v>
      </c>
      <c r="H35" s="15" t="s">
        <v>371</v>
      </c>
      <c r="I35" s="107"/>
      <c r="J35" s="14" t="s">
        <v>495</v>
      </c>
      <c r="K35" s="48">
        <f t="shared" si="0"/>
        <v>8.3999999999999995E-3</v>
      </c>
      <c r="M35" s="14"/>
      <c r="N35" s="36"/>
      <c r="P35" s="14"/>
    </row>
    <row r="36" spans="1:16" ht="12.75" customHeight="1" x14ac:dyDescent="0.2">
      <c r="A36">
        <f>+MAX($A$7:A35)+1</f>
        <v>28</v>
      </c>
      <c r="B36" t="s">
        <v>589</v>
      </c>
      <c r="C36" t="s">
        <v>590</v>
      </c>
      <c r="D36" t="s">
        <v>106</v>
      </c>
      <c r="E36" s="28">
        <v>1200000</v>
      </c>
      <c r="F36" s="13">
        <v>1066.8</v>
      </c>
      <c r="G36" s="14">
        <f t="shared" si="1"/>
        <v>1.0500000000000001E-2</v>
      </c>
      <c r="H36" s="15" t="s">
        <v>371</v>
      </c>
      <c r="I36" s="107"/>
      <c r="J36" s="14" t="s">
        <v>34</v>
      </c>
      <c r="K36" s="48">
        <f t="shared" si="0"/>
        <v>7.6E-3</v>
      </c>
      <c r="M36" s="14"/>
      <c r="N36" s="36"/>
      <c r="P36" s="14"/>
    </row>
    <row r="37" spans="1:16" ht="12.75" customHeight="1" x14ac:dyDescent="0.2">
      <c r="A37">
        <f>+MAX($A$7:A36)+1</f>
        <v>29</v>
      </c>
      <c r="B37" t="s">
        <v>239</v>
      </c>
      <c r="C37" t="s">
        <v>101</v>
      </c>
      <c r="D37" t="s">
        <v>26</v>
      </c>
      <c r="E37" s="28">
        <v>74235</v>
      </c>
      <c r="F37" s="13">
        <v>1016.5369725</v>
      </c>
      <c r="G37" s="14">
        <f t="shared" si="1"/>
        <v>0.01</v>
      </c>
      <c r="H37" s="15" t="s">
        <v>371</v>
      </c>
      <c r="I37" s="107"/>
      <c r="J37" t="s">
        <v>669</v>
      </c>
      <c r="K37" s="48">
        <f t="shared" si="0"/>
        <v>6.6E-3</v>
      </c>
      <c r="M37" s="14"/>
      <c r="N37" s="36"/>
      <c r="P37" s="14"/>
    </row>
    <row r="38" spans="1:16" ht="12.75" customHeight="1" x14ac:dyDescent="0.2">
      <c r="A38">
        <f>+MAX($A$7:A37)+1</f>
        <v>30</v>
      </c>
      <c r="B38" t="s">
        <v>230</v>
      </c>
      <c r="C38" t="s">
        <v>81</v>
      </c>
      <c r="D38" t="s">
        <v>45</v>
      </c>
      <c r="E38" s="28">
        <v>322378</v>
      </c>
      <c r="F38" s="13">
        <v>1000.177745</v>
      </c>
      <c r="G38" s="14">
        <f t="shared" si="1"/>
        <v>9.7999999999999997E-3</v>
      </c>
      <c r="H38" s="15" t="s">
        <v>371</v>
      </c>
      <c r="I38" s="107"/>
      <c r="J38" s="14" t="s">
        <v>43</v>
      </c>
      <c r="K38" s="48">
        <f t="shared" si="0"/>
        <v>6.1999999999999998E-3</v>
      </c>
    </row>
    <row r="39" spans="1:16" ht="12.75" customHeight="1" x14ac:dyDescent="0.2">
      <c r="A39">
        <f>+MAX($A$7:A38)+1</f>
        <v>31</v>
      </c>
      <c r="B39" t="s">
        <v>249</v>
      </c>
      <c r="C39" t="s">
        <v>113</v>
      </c>
      <c r="D39" t="s">
        <v>14</v>
      </c>
      <c r="E39" s="28">
        <v>157852</v>
      </c>
      <c r="F39" s="13">
        <v>967.08027800000002</v>
      </c>
      <c r="G39" s="14">
        <f t="shared" si="1"/>
        <v>9.4999999999999998E-3</v>
      </c>
      <c r="H39" s="15" t="s">
        <v>371</v>
      </c>
      <c r="I39" s="107"/>
      <c r="J39" s="14" t="s">
        <v>32</v>
      </c>
      <c r="K39" s="48">
        <f t="shared" si="0"/>
        <v>6.1000000000000004E-3</v>
      </c>
    </row>
    <row r="40" spans="1:16" ht="12.75" customHeight="1" x14ac:dyDescent="0.2">
      <c r="A40">
        <f>+MAX($A$7:A39)+1</f>
        <v>32</v>
      </c>
      <c r="B40" t="s">
        <v>452</v>
      </c>
      <c r="C40" t="s">
        <v>453</v>
      </c>
      <c r="D40" t="s">
        <v>24</v>
      </c>
      <c r="E40" s="28">
        <v>572097</v>
      </c>
      <c r="F40" s="13">
        <v>906.77374499999996</v>
      </c>
      <c r="G40" s="14">
        <f t="shared" si="1"/>
        <v>8.8999999999999999E-3</v>
      </c>
      <c r="H40" s="15" t="s">
        <v>371</v>
      </c>
      <c r="I40" s="107"/>
      <c r="J40" t="s">
        <v>567</v>
      </c>
      <c r="K40" s="48">
        <f t="shared" si="0"/>
        <v>5.7999999999999996E-3</v>
      </c>
    </row>
    <row r="41" spans="1:16" ht="12.75" customHeight="1" x14ac:dyDescent="0.2">
      <c r="A41">
        <f>+MAX($A$7:A40)+1</f>
        <v>33</v>
      </c>
      <c r="B41" t="s">
        <v>549</v>
      </c>
      <c r="C41" t="s">
        <v>475</v>
      </c>
      <c r="D41" t="s">
        <v>22</v>
      </c>
      <c r="E41" s="28">
        <v>236994</v>
      </c>
      <c r="F41" s="13">
        <v>890.62345200000004</v>
      </c>
      <c r="G41" s="14">
        <f t="shared" si="1"/>
        <v>8.6999999999999994E-3</v>
      </c>
      <c r="H41" s="15" t="s">
        <v>371</v>
      </c>
      <c r="I41" s="107"/>
      <c r="J41" s="90" t="s">
        <v>366</v>
      </c>
      <c r="K41" s="48">
        <f t="shared" si="0"/>
        <v>5.1000000000000004E-3</v>
      </c>
    </row>
    <row r="42" spans="1:16" ht="12.75" customHeight="1" x14ac:dyDescent="0.2">
      <c r="A42">
        <f>+MAX($A$7:A41)+1</f>
        <v>34</v>
      </c>
      <c r="B42" t="s">
        <v>40</v>
      </c>
      <c r="C42" t="s">
        <v>42</v>
      </c>
      <c r="D42" t="s">
        <v>10</v>
      </c>
      <c r="E42" s="28">
        <v>561699</v>
      </c>
      <c r="F42" s="13">
        <v>880.74403200000006</v>
      </c>
      <c r="G42" s="14">
        <f t="shared" si="1"/>
        <v>8.6E-3</v>
      </c>
      <c r="H42" s="15" t="s">
        <v>371</v>
      </c>
      <c r="I42" s="107"/>
      <c r="J42" t="s">
        <v>30</v>
      </c>
      <c r="K42" s="48">
        <f t="shared" si="0"/>
        <v>5.1000000000000004E-3</v>
      </c>
    </row>
    <row r="43" spans="1:16" ht="12.75" customHeight="1" x14ac:dyDescent="0.2">
      <c r="A43">
        <f>+MAX($A$7:A42)+1</f>
        <v>35</v>
      </c>
      <c r="B43" s="65" t="s">
        <v>247</v>
      </c>
      <c r="C43" s="65" t="s">
        <v>114</v>
      </c>
      <c r="D43" t="s">
        <v>36</v>
      </c>
      <c r="E43" s="28">
        <v>450000</v>
      </c>
      <c r="F43" s="13">
        <v>872.1</v>
      </c>
      <c r="G43" s="14">
        <f t="shared" si="1"/>
        <v>8.6E-3</v>
      </c>
      <c r="H43" s="15" t="s">
        <v>371</v>
      </c>
      <c r="I43" s="107"/>
      <c r="J43" t="s">
        <v>292</v>
      </c>
      <c r="K43" s="48">
        <f t="shared" si="0"/>
        <v>4.8999999999999998E-3</v>
      </c>
    </row>
    <row r="44" spans="1:16" ht="12.75" customHeight="1" x14ac:dyDescent="0.2">
      <c r="A44">
        <f>+MAX($A$7:A43)+1</f>
        <v>36</v>
      </c>
      <c r="B44" t="s">
        <v>195</v>
      </c>
      <c r="C44" t="s">
        <v>21</v>
      </c>
      <c r="D44" t="s">
        <v>20</v>
      </c>
      <c r="E44" s="28">
        <v>217228</v>
      </c>
      <c r="F44" s="13">
        <v>867.82586000000003</v>
      </c>
      <c r="G44" s="14">
        <f t="shared" si="1"/>
        <v>8.5000000000000006E-3</v>
      </c>
      <c r="H44" s="15" t="s">
        <v>371</v>
      </c>
      <c r="I44" s="107"/>
      <c r="J44" s="14" t="s">
        <v>326</v>
      </c>
      <c r="K44" s="48">
        <f t="shared" si="0"/>
        <v>4.8999999999999998E-3</v>
      </c>
    </row>
    <row r="45" spans="1:16" ht="12.75" customHeight="1" x14ac:dyDescent="0.2">
      <c r="A45">
        <f>+MAX($A$7:A44)+1</f>
        <v>37</v>
      </c>
      <c r="B45" t="s">
        <v>211</v>
      </c>
      <c r="C45" t="s">
        <v>74</v>
      </c>
      <c r="D45" t="s">
        <v>495</v>
      </c>
      <c r="E45" s="28">
        <v>615888</v>
      </c>
      <c r="F45" s="13">
        <v>851.15721599999995</v>
      </c>
      <c r="G45" s="14">
        <f t="shared" si="1"/>
        <v>8.3999999999999995E-3</v>
      </c>
      <c r="H45" s="15" t="s">
        <v>371</v>
      </c>
      <c r="I45" s="107"/>
      <c r="J45" s="14" t="s">
        <v>38</v>
      </c>
      <c r="K45" s="48">
        <f t="shared" si="0"/>
        <v>4.8999999999999998E-3</v>
      </c>
    </row>
    <row r="46" spans="1:16" ht="12.75" customHeight="1" x14ac:dyDescent="0.2">
      <c r="A46">
        <f>+MAX($A$7:A45)+1</f>
        <v>38</v>
      </c>
      <c r="B46" t="s">
        <v>202</v>
      </c>
      <c r="C46" t="s">
        <v>44</v>
      </c>
      <c r="D46" t="s">
        <v>24</v>
      </c>
      <c r="E46" s="28">
        <v>145008</v>
      </c>
      <c r="F46" s="13">
        <v>844.2365759999999</v>
      </c>
      <c r="G46" s="14">
        <f t="shared" si="1"/>
        <v>8.3000000000000001E-3</v>
      </c>
      <c r="H46" s="15" t="s">
        <v>371</v>
      </c>
      <c r="I46" s="107"/>
      <c r="J46" t="s">
        <v>491</v>
      </c>
      <c r="K46" s="48">
        <f t="shared" si="0"/>
        <v>4.7999999999999996E-3</v>
      </c>
    </row>
    <row r="47" spans="1:16" ht="12.75" customHeight="1" x14ac:dyDescent="0.2">
      <c r="A47">
        <f>+MAX($A$7:A46)+1</f>
        <v>39</v>
      </c>
      <c r="B47" t="s">
        <v>224</v>
      </c>
      <c r="C47" t="s">
        <v>66</v>
      </c>
      <c r="D47" t="s">
        <v>28</v>
      </c>
      <c r="E47" s="28">
        <v>233862</v>
      </c>
      <c r="F47" s="13">
        <v>822.14186099999995</v>
      </c>
      <c r="G47" s="14">
        <f t="shared" si="1"/>
        <v>8.0999999999999996E-3</v>
      </c>
      <c r="H47" s="15" t="s">
        <v>371</v>
      </c>
      <c r="I47" s="107"/>
      <c r="J47" s="14" t="s">
        <v>670</v>
      </c>
      <c r="K47" s="48">
        <f t="shared" si="0"/>
        <v>2.8999999999999998E-3</v>
      </c>
    </row>
    <row r="48" spans="1:16" ht="12.75" customHeight="1" x14ac:dyDescent="0.2">
      <c r="A48">
        <f>+MAX($A$7:A47)+1</f>
        <v>40</v>
      </c>
      <c r="B48" t="s">
        <v>630</v>
      </c>
      <c r="C48" t="s">
        <v>650</v>
      </c>
      <c r="D48" t="s">
        <v>10</v>
      </c>
      <c r="E48" s="28">
        <v>476190</v>
      </c>
      <c r="F48" s="13">
        <v>815.95156499999996</v>
      </c>
      <c r="G48" s="14">
        <f t="shared" si="1"/>
        <v>8.0000000000000002E-3</v>
      </c>
      <c r="H48" s="15" t="s">
        <v>371</v>
      </c>
      <c r="I48" s="107"/>
      <c r="J48" t="s">
        <v>293</v>
      </c>
      <c r="K48" s="48">
        <f t="shared" si="0"/>
        <v>1E-3</v>
      </c>
    </row>
    <row r="49" spans="1:11" ht="12.75" customHeight="1" x14ac:dyDescent="0.2">
      <c r="A49">
        <f>+MAX($A$7:A48)+1</f>
        <v>41</v>
      </c>
      <c r="B49" t="s">
        <v>525</v>
      </c>
      <c r="C49" t="s">
        <v>526</v>
      </c>
      <c r="D49" t="s">
        <v>41</v>
      </c>
      <c r="E49" s="28">
        <v>30000</v>
      </c>
      <c r="F49" s="13">
        <v>814.53</v>
      </c>
      <c r="G49" s="14">
        <f t="shared" si="1"/>
        <v>8.0000000000000002E-3</v>
      </c>
      <c r="H49" s="15" t="s">
        <v>371</v>
      </c>
      <c r="I49" s="107"/>
      <c r="J49" t="s">
        <v>433</v>
      </c>
      <c r="K49" s="48">
        <f t="shared" si="0"/>
        <v>5.0000000000000001E-4</v>
      </c>
    </row>
    <row r="50" spans="1:11" ht="12.75" customHeight="1" x14ac:dyDescent="0.2">
      <c r="A50">
        <f>+MAX($A$7:A49)+1</f>
        <v>42</v>
      </c>
      <c r="B50" t="s">
        <v>204</v>
      </c>
      <c r="C50" t="s">
        <v>53</v>
      </c>
      <c r="D50" t="s">
        <v>18</v>
      </c>
      <c r="E50" s="28">
        <v>18538</v>
      </c>
      <c r="F50" s="13">
        <v>812.33515999999997</v>
      </c>
      <c r="G50" s="14">
        <f t="shared" si="1"/>
        <v>8.0000000000000002E-3</v>
      </c>
      <c r="H50" s="15" t="s">
        <v>371</v>
      </c>
      <c r="I50" s="107"/>
      <c r="J50" s="14" t="s">
        <v>102</v>
      </c>
      <c r="K50" s="48">
        <f t="shared" si="0"/>
        <v>0</v>
      </c>
    </row>
    <row r="51" spans="1:11" ht="12.75" customHeight="1" x14ac:dyDescent="0.2">
      <c r="A51">
        <f>+MAX($A$7:A50)+1</f>
        <v>43</v>
      </c>
      <c r="B51" t="s">
        <v>215</v>
      </c>
      <c r="C51" t="s">
        <v>61</v>
      </c>
      <c r="D51" t="s">
        <v>22</v>
      </c>
      <c r="E51" s="28">
        <v>124760</v>
      </c>
      <c r="F51" s="13">
        <v>785.42657999999994</v>
      </c>
      <c r="G51" s="14">
        <f t="shared" si="1"/>
        <v>7.7000000000000002E-3</v>
      </c>
      <c r="H51" s="15" t="s">
        <v>371</v>
      </c>
      <c r="I51" s="107"/>
      <c r="J51" s="14" t="s">
        <v>64</v>
      </c>
      <c r="K51" s="48">
        <f>+SUMIFS($G$5:$G$997,$B$5:$B$997,"CBLO / Reverse Repo Investments")+SUMIFS($G$5:$G$997,$B$5:$B$997,"Net Receivable/Payable")</f>
        <v>3.2300000000000002E-2</v>
      </c>
    </row>
    <row r="52" spans="1:11" ht="12.75" customHeight="1" x14ac:dyDescent="0.2">
      <c r="A52">
        <f>+MAX($A$7:A51)+1</f>
        <v>44</v>
      </c>
      <c r="B52" t="s">
        <v>277</v>
      </c>
      <c r="C52" t="s">
        <v>147</v>
      </c>
      <c r="D52" t="s">
        <v>41</v>
      </c>
      <c r="E52" s="28">
        <v>100000</v>
      </c>
      <c r="F52" s="13">
        <v>778.9</v>
      </c>
      <c r="G52" s="14">
        <f t="shared" si="1"/>
        <v>7.6E-3</v>
      </c>
      <c r="H52" s="15" t="s">
        <v>371</v>
      </c>
      <c r="I52" s="107"/>
    </row>
    <row r="53" spans="1:11" ht="12.75" customHeight="1" x14ac:dyDescent="0.2">
      <c r="A53">
        <f>+MAX($A$7:A52)+1</f>
        <v>45</v>
      </c>
      <c r="B53" t="s">
        <v>552</v>
      </c>
      <c r="C53" t="s">
        <v>553</v>
      </c>
      <c r="D53" t="s">
        <v>45</v>
      </c>
      <c r="E53" s="28">
        <v>1021430</v>
      </c>
      <c r="F53" s="13">
        <v>769.13679000000002</v>
      </c>
      <c r="G53" s="14">
        <f t="shared" si="1"/>
        <v>7.6E-3</v>
      </c>
      <c r="H53" s="15" t="s">
        <v>371</v>
      </c>
      <c r="I53" s="107"/>
    </row>
    <row r="54" spans="1:11" ht="12.75" customHeight="1" x14ac:dyDescent="0.2">
      <c r="A54">
        <f>+MAX($A$7:A53)+1</f>
        <v>46</v>
      </c>
      <c r="B54" t="s">
        <v>214</v>
      </c>
      <c r="C54" t="s">
        <v>65</v>
      </c>
      <c r="D54" t="s">
        <v>34</v>
      </c>
      <c r="E54" s="28">
        <v>174829</v>
      </c>
      <c r="F54" s="13">
        <v>768.98535650000008</v>
      </c>
      <c r="G54" s="14">
        <f t="shared" si="1"/>
        <v>7.6E-3</v>
      </c>
      <c r="H54" s="15" t="s">
        <v>371</v>
      </c>
      <c r="I54" s="107"/>
    </row>
    <row r="55" spans="1:11" ht="12.75" customHeight="1" x14ac:dyDescent="0.2">
      <c r="A55">
        <f>+MAX($A$7:A54)+1</f>
        <v>47</v>
      </c>
      <c r="B55" t="s">
        <v>209</v>
      </c>
      <c r="C55" t="s">
        <v>49</v>
      </c>
      <c r="D55" t="s">
        <v>20</v>
      </c>
      <c r="E55" s="28">
        <v>7924</v>
      </c>
      <c r="F55" s="13">
        <v>753.54862800000001</v>
      </c>
      <c r="G55" s="14">
        <f t="shared" si="1"/>
        <v>7.4000000000000003E-3</v>
      </c>
      <c r="H55" s="15" t="s">
        <v>371</v>
      </c>
      <c r="I55" s="107"/>
    </row>
    <row r="56" spans="1:11" ht="12.75" customHeight="1" x14ac:dyDescent="0.2">
      <c r="A56">
        <f>+MAX($A$7:A55)+1</f>
        <v>48</v>
      </c>
      <c r="B56" t="s">
        <v>478</v>
      </c>
      <c r="C56" t="s">
        <v>479</v>
      </c>
      <c r="D56" t="s">
        <v>41</v>
      </c>
      <c r="E56" s="28">
        <v>165000</v>
      </c>
      <c r="F56" s="13">
        <v>695.5575</v>
      </c>
      <c r="G56" s="14">
        <f t="shared" si="1"/>
        <v>6.7999999999999996E-3</v>
      </c>
      <c r="H56" s="15" t="s">
        <v>371</v>
      </c>
      <c r="I56" s="107"/>
    </row>
    <row r="57" spans="1:11" ht="12.75" customHeight="1" x14ac:dyDescent="0.2">
      <c r="A57">
        <f>+MAX($A$7:A56)+1</f>
        <v>49</v>
      </c>
      <c r="B57" t="s">
        <v>496</v>
      </c>
      <c r="C57" t="s">
        <v>497</v>
      </c>
      <c r="D57" t="s">
        <v>43</v>
      </c>
      <c r="E57" s="28">
        <v>59992</v>
      </c>
      <c r="F57" s="13">
        <v>629.73602399999993</v>
      </c>
      <c r="G57" s="14">
        <f t="shared" si="1"/>
        <v>6.1999999999999998E-3</v>
      </c>
      <c r="H57" s="15" t="s">
        <v>371</v>
      </c>
      <c r="I57" s="107"/>
    </row>
    <row r="58" spans="1:11" ht="12.75" customHeight="1" x14ac:dyDescent="0.2">
      <c r="A58">
        <f>+MAX($A$7:A57)+1</f>
        <v>50</v>
      </c>
      <c r="B58" t="s">
        <v>519</v>
      </c>
      <c r="C58" t="s">
        <v>520</v>
      </c>
      <c r="D58" t="s">
        <v>32</v>
      </c>
      <c r="E58" s="28">
        <v>305000</v>
      </c>
      <c r="F58" s="13">
        <v>626.3175</v>
      </c>
      <c r="G58" s="14">
        <f t="shared" si="1"/>
        <v>6.1000000000000004E-3</v>
      </c>
      <c r="H58" s="15" t="s">
        <v>371</v>
      </c>
      <c r="I58" s="107"/>
    </row>
    <row r="59" spans="1:11" ht="12.75" customHeight="1" x14ac:dyDescent="0.2">
      <c r="A59">
        <f>+MAX($A$7:A58)+1</f>
        <v>51</v>
      </c>
      <c r="B59" t="s">
        <v>193</v>
      </c>
      <c r="C59" t="s">
        <v>31</v>
      </c>
      <c r="D59" t="s">
        <v>30</v>
      </c>
      <c r="E59" s="28">
        <v>54300</v>
      </c>
      <c r="F59" s="13">
        <v>521.98590000000002</v>
      </c>
      <c r="G59" s="14">
        <f t="shared" si="1"/>
        <v>5.1000000000000004E-3</v>
      </c>
      <c r="H59" s="15" t="s">
        <v>371</v>
      </c>
      <c r="I59" s="107"/>
    </row>
    <row r="60" spans="1:11" ht="12.75" customHeight="1" x14ac:dyDescent="0.2">
      <c r="A60">
        <f>+MAX($A$7:A59)+1</f>
        <v>52</v>
      </c>
      <c r="B60" t="s">
        <v>308</v>
      </c>
      <c r="C60" t="s">
        <v>57</v>
      </c>
      <c r="D60" t="s">
        <v>26</v>
      </c>
      <c r="E60" s="28">
        <v>37027</v>
      </c>
      <c r="F60" s="13">
        <v>518.3594865</v>
      </c>
      <c r="G60" s="14">
        <f t="shared" si="1"/>
        <v>5.1000000000000004E-3</v>
      </c>
      <c r="H60" s="15" t="s">
        <v>371</v>
      </c>
      <c r="I60" s="107"/>
    </row>
    <row r="61" spans="1:11" ht="12.75" customHeight="1" x14ac:dyDescent="0.2">
      <c r="A61">
        <f>+MAX($A$7:A60)+1</f>
        <v>53</v>
      </c>
      <c r="B61" t="s">
        <v>217</v>
      </c>
      <c r="C61" t="s">
        <v>29</v>
      </c>
      <c r="D61" t="s">
        <v>10</v>
      </c>
      <c r="E61" s="28">
        <v>85419</v>
      </c>
      <c r="F61" s="13">
        <v>507.04718399999996</v>
      </c>
      <c r="G61" s="14">
        <f t="shared" si="1"/>
        <v>5.0000000000000001E-3</v>
      </c>
      <c r="H61" s="15" t="s">
        <v>371</v>
      </c>
      <c r="I61" s="107"/>
    </row>
    <row r="62" spans="1:11" ht="12.75" customHeight="1" x14ac:dyDescent="0.2">
      <c r="A62">
        <f>+MAX($A$7:A61)+1</f>
        <v>54</v>
      </c>
      <c r="B62" t="s">
        <v>309</v>
      </c>
      <c r="C62" t="s">
        <v>76</v>
      </c>
      <c r="D62" t="s">
        <v>38</v>
      </c>
      <c r="E62" s="28">
        <v>146336</v>
      </c>
      <c r="F62" s="13">
        <v>504.05435200000005</v>
      </c>
      <c r="G62" s="14">
        <f t="shared" si="1"/>
        <v>4.8999999999999998E-3</v>
      </c>
      <c r="H62" s="15" t="s">
        <v>371</v>
      </c>
      <c r="I62" s="107"/>
    </row>
    <row r="63" spans="1:11" ht="12.75" customHeight="1" x14ac:dyDescent="0.2">
      <c r="A63">
        <f>+MAX($A$7:A62)+1</f>
        <v>55</v>
      </c>
      <c r="B63" t="s">
        <v>200</v>
      </c>
      <c r="C63" t="s">
        <v>35</v>
      </c>
      <c r="D63" t="s">
        <v>18</v>
      </c>
      <c r="E63" s="28">
        <v>36110</v>
      </c>
      <c r="F63" s="13">
        <v>501.29707500000001</v>
      </c>
      <c r="G63" s="14">
        <f t="shared" si="1"/>
        <v>4.8999999999999998E-3</v>
      </c>
      <c r="H63" s="15" t="s">
        <v>371</v>
      </c>
      <c r="I63" s="107"/>
    </row>
    <row r="64" spans="1:11" ht="12.75" customHeight="1" x14ac:dyDescent="0.2">
      <c r="A64">
        <f>+MAX($A$7:A63)+1</f>
        <v>56</v>
      </c>
      <c r="B64" t="s">
        <v>338</v>
      </c>
      <c r="C64" t="s">
        <v>339</v>
      </c>
      <c r="D64" t="s">
        <v>18</v>
      </c>
      <c r="E64" s="28">
        <v>39494</v>
      </c>
      <c r="F64" s="13">
        <v>445.41333200000003</v>
      </c>
      <c r="G64" s="14">
        <f t="shared" si="1"/>
        <v>4.4000000000000003E-3</v>
      </c>
      <c r="H64" s="15" t="s">
        <v>371</v>
      </c>
      <c r="I64" s="107"/>
    </row>
    <row r="65" spans="1:9" ht="12.75" customHeight="1" x14ac:dyDescent="0.2">
      <c r="A65">
        <f>+MAX($A$7:A64)+1</f>
        <v>57</v>
      </c>
      <c r="B65" t="s">
        <v>203</v>
      </c>
      <c r="C65" t="s">
        <v>48</v>
      </c>
      <c r="D65" t="s">
        <v>26</v>
      </c>
      <c r="E65" s="28">
        <v>9276</v>
      </c>
      <c r="F65" s="13">
        <v>434.50175400000001</v>
      </c>
      <c r="G65" s="14">
        <f t="shared" si="1"/>
        <v>4.3E-3</v>
      </c>
      <c r="H65" s="15" t="s">
        <v>371</v>
      </c>
      <c r="I65" s="107"/>
    </row>
    <row r="66" spans="1:9" ht="12.75" customHeight="1" x14ac:dyDescent="0.2">
      <c r="A66">
        <f>+MAX($A$7:A65)+1</f>
        <v>58</v>
      </c>
      <c r="B66" t="s">
        <v>554</v>
      </c>
      <c r="C66" t="s">
        <v>555</v>
      </c>
      <c r="D66" t="s">
        <v>10</v>
      </c>
      <c r="E66" s="28">
        <v>645520</v>
      </c>
      <c r="F66" s="13">
        <v>412.16451999999998</v>
      </c>
      <c r="G66" s="14">
        <f t="shared" si="1"/>
        <v>4.0000000000000001E-3</v>
      </c>
      <c r="H66" s="15" t="s">
        <v>371</v>
      </c>
      <c r="I66" s="107"/>
    </row>
    <row r="67" spans="1:9" ht="12.75" customHeight="1" x14ac:dyDescent="0.2">
      <c r="A67">
        <f>+MAX($A$7:A66)+1</f>
        <v>59</v>
      </c>
      <c r="B67" t="s">
        <v>223</v>
      </c>
      <c r="C67" t="s">
        <v>70</v>
      </c>
      <c r="D67" t="s">
        <v>10</v>
      </c>
      <c r="E67" s="28">
        <v>406552</v>
      </c>
      <c r="F67" s="13">
        <v>408.381484</v>
      </c>
      <c r="G67" s="14">
        <f t="shared" si="1"/>
        <v>4.0000000000000001E-3</v>
      </c>
      <c r="H67" s="15" t="s">
        <v>371</v>
      </c>
      <c r="I67" s="107"/>
    </row>
    <row r="68" spans="1:9" ht="12.75" customHeight="1" x14ac:dyDescent="0.2">
      <c r="A68">
        <f>+MAX($A$7:A67)+1</f>
        <v>60</v>
      </c>
      <c r="B68" t="s">
        <v>259</v>
      </c>
      <c r="C68" t="s">
        <v>123</v>
      </c>
      <c r="D68" t="s">
        <v>18</v>
      </c>
      <c r="E68" s="28">
        <v>21646</v>
      </c>
      <c r="F68" s="13">
        <v>371.28301499999998</v>
      </c>
      <c r="G68" s="14">
        <f t="shared" si="1"/>
        <v>3.5999999999999999E-3</v>
      </c>
      <c r="H68" s="15" t="s">
        <v>371</v>
      </c>
      <c r="I68" s="107"/>
    </row>
    <row r="69" spans="1:9" ht="12.75" customHeight="1" x14ac:dyDescent="0.2">
      <c r="A69">
        <f>+MAX($A$7:A68)+1</f>
        <v>61</v>
      </c>
      <c r="B69" t="s">
        <v>498</v>
      </c>
      <c r="C69" t="s">
        <v>499</v>
      </c>
      <c r="D69" t="s">
        <v>24</v>
      </c>
      <c r="E69" s="28">
        <v>26499</v>
      </c>
      <c r="F69" s="13">
        <v>365.61995250000001</v>
      </c>
      <c r="G69" s="14">
        <f t="shared" si="1"/>
        <v>3.5999999999999999E-3</v>
      </c>
      <c r="H69" s="15" t="s">
        <v>371</v>
      </c>
      <c r="I69" s="107"/>
    </row>
    <row r="70" spans="1:9" ht="12.75" customHeight="1" x14ac:dyDescent="0.2">
      <c r="A70">
        <f>+MAX($A$7:A69)+1</f>
        <v>62</v>
      </c>
      <c r="B70" t="s">
        <v>258</v>
      </c>
      <c r="C70" t="s">
        <v>121</v>
      </c>
      <c r="D70" t="s">
        <v>18</v>
      </c>
      <c r="E70" s="28">
        <v>135300</v>
      </c>
      <c r="F70" s="13">
        <v>354.21539999999999</v>
      </c>
      <c r="G70" s="14">
        <f t="shared" si="1"/>
        <v>3.5000000000000001E-3</v>
      </c>
      <c r="H70" s="15" t="s">
        <v>371</v>
      </c>
      <c r="I70" s="107"/>
    </row>
    <row r="71" spans="1:9" ht="12.75" customHeight="1" x14ac:dyDescent="0.2">
      <c r="A71">
        <f>+MAX($A$7:A70)+1</f>
        <v>63</v>
      </c>
      <c r="B71" t="s">
        <v>431</v>
      </c>
      <c r="C71" t="s">
        <v>432</v>
      </c>
      <c r="D71" t="s">
        <v>433</v>
      </c>
      <c r="E71" s="28">
        <v>17235</v>
      </c>
      <c r="F71" s="13">
        <v>46.017449999999997</v>
      </c>
      <c r="G71" s="14">
        <f t="shared" si="1"/>
        <v>5.0000000000000001E-4</v>
      </c>
      <c r="H71" s="15" t="s">
        <v>371</v>
      </c>
      <c r="I71" s="107"/>
    </row>
    <row r="72" spans="1:9" ht="12.75" customHeight="1" x14ac:dyDescent="0.2">
      <c r="A72">
        <f>+MAX($A$7:A71)+1</f>
        <v>64</v>
      </c>
      <c r="B72" t="s">
        <v>575</v>
      </c>
      <c r="C72" t="s">
        <v>84</v>
      </c>
      <c r="D72" t="s">
        <v>102</v>
      </c>
      <c r="E72" s="28">
        <v>30579</v>
      </c>
      <c r="F72" s="13">
        <v>0</v>
      </c>
      <c r="G72" s="108" t="s">
        <v>546</v>
      </c>
      <c r="H72" s="15" t="s">
        <v>371</v>
      </c>
      <c r="I72" s="107"/>
    </row>
    <row r="73" spans="1:9" ht="12.75" customHeight="1" x14ac:dyDescent="0.2">
      <c r="B73" s="18" t="s">
        <v>85</v>
      </c>
      <c r="C73" s="18"/>
      <c r="D73" s="18"/>
      <c r="E73" s="29"/>
      <c r="F73" s="19">
        <f>SUM(F9:F72)</f>
        <v>68333.585043999978</v>
      </c>
      <c r="G73" s="20">
        <f>SUM(G9:G72)</f>
        <v>0.67119999999999991</v>
      </c>
      <c r="H73" s="21"/>
      <c r="I73" s="35"/>
    </row>
    <row r="74" spans="1:9" ht="12.75" customHeight="1" x14ac:dyDescent="0.2">
      <c r="F74" s="13"/>
      <c r="G74" s="14"/>
      <c r="H74" s="15"/>
    </row>
    <row r="75" spans="1:9" ht="12.75" customHeight="1" x14ac:dyDescent="0.2">
      <c r="B75" s="16" t="s">
        <v>91</v>
      </c>
      <c r="C75" s="16"/>
      <c r="F75" s="13"/>
      <c r="G75" s="14"/>
      <c r="H75" s="15"/>
    </row>
    <row r="76" spans="1:9" ht="12.75" customHeight="1" x14ac:dyDescent="0.2">
      <c r="B76" s="16" t="s">
        <v>726</v>
      </c>
      <c r="C76" s="16"/>
      <c r="F76" s="13"/>
      <c r="G76" s="14"/>
      <c r="H76" s="15"/>
    </row>
    <row r="77" spans="1:9" ht="12.75" customHeight="1" x14ac:dyDescent="0.2">
      <c r="A77">
        <f>+MAX($A$7:A76)+1</f>
        <v>65</v>
      </c>
      <c r="B77" s="65" t="s">
        <v>194</v>
      </c>
      <c r="C77" t="s">
        <v>709</v>
      </c>
      <c r="D77" t="s">
        <v>162</v>
      </c>
      <c r="E77" s="28">
        <v>1000</v>
      </c>
      <c r="F77" s="13">
        <v>976.93299999999999</v>
      </c>
      <c r="G77" s="14">
        <f>+ROUND(F77/VLOOKUP("Grand Total",$B$4:$F$336,5,0),4)</f>
        <v>9.5999999999999992E-3</v>
      </c>
      <c r="H77" s="15">
        <v>43251</v>
      </c>
      <c r="I77" s="107"/>
    </row>
    <row r="78" spans="1:9" ht="12.75" customHeight="1" x14ac:dyDescent="0.2">
      <c r="B78" s="18" t="s">
        <v>85</v>
      </c>
      <c r="C78" s="18"/>
      <c r="D78" s="18"/>
      <c r="E78" s="29"/>
      <c r="F78" s="19">
        <f>SUM(F77:F77)</f>
        <v>976.93299999999999</v>
      </c>
      <c r="G78" s="20">
        <f>SUM(G77:G77)</f>
        <v>9.5999999999999992E-3</v>
      </c>
      <c r="H78" s="21"/>
    </row>
    <row r="79" spans="1:9" ht="12.75" customHeight="1" x14ac:dyDescent="0.2">
      <c r="B79" s="16"/>
      <c r="C79" s="16"/>
      <c r="F79" s="13"/>
      <c r="G79" s="14"/>
      <c r="H79" s="15"/>
    </row>
    <row r="80" spans="1:9" ht="12.75" customHeight="1" x14ac:dyDescent="0.2">
      <c r="B80" s="16" t="s">
        <v>306</v>
      </c>
      <c r="C80" s="16"/>
      <c r="F80" s="13"/>
      <c r="G80" s="14"/>
      <c r="H80" s="15"/>
    </row>
    <row r="81" spans="1:9" ht="12.75" customHeight="1" x14ac:dyDescent="0.2">
      <c r="A81">
        <f>+MAX($A$7:A80)+1</f>
        <v>66</v>
      </c>
      <c r="B81" s="65" t="s">
        <v>579</v>
      </c>
      <c r="C81" t="s">
        <v>684</v>
      </c>
      <c r="D81" t="s">
        <v>290</v>
      </c>
      <c r="E81" s="28">
        <v>140</v>
      </c>
      <c r="F81" s="13">
        <v>695.76499999999999</v>
      </c>
      <c r="G81" s="14">
        <f t="shared" ref="G81:G86" si="2">+ROUND(F81/VLOOKUP("Grand Total",$B$4:$F$336,5,0),4)</f>
        <v>6.7999999999999996E-3</v>
      </c>
      <c r="H81" s="15">
        <v>43164</v>
      </c>
      <c r="I81" s="107"/>
    </row>
    <row r="82" spans="1:9" ht="12.75" customHeight="1" x14ac:dyDescent="0.2">
      <c r="A82">
        <f>+MAX($A$7:A81)+1</f>
        <v>67</v>
      </c>
      <c r="B82" s="65" t="s">
        <v>291</v>
      </c>
      <c r="C82" t="s">
        <v>596</v>
      </c>
      <c r="D82" t="s">
        <v>578</v>
      </c>
      <c r="E82" s="28">
        <v>120</v>
      </c>
      <c r="F82" s="13">
        <v>597.63840000000005</v>
      </c>
      <c r="G82" s="14">
        <f t="shared" si="2"/>
        <v>5.8999999999999999E-3</v>
      </c>
      <c r="H82" s="15">
        <v>43152</v>
      </c>
      <c r="I82" s="107"/>
    </row>
    <row r="83" spans="1:9" ht="12.75" customHeight="1" x14ac:dyDescent="0.2">
      <c r="A83">
        <f>+MAX($A$7:A82)+1</f>
        <v>68</v>
      </c>
      <c r="B83" s="65" t="s">
        <v>566</v>
      </c>
      <c r="C83" t="s">
        <v>687</v>
      </c>
      <c r="D83" t="s">
        <v>567</v>
      </c>
      <c r="E83" s="28">
        <v>120</v>
      </c>
      <c r="F83" s="13">
        <v>591.82140000000004</v>
      </c>
      <c r="G83" s="14">
        <f t="shared" si="2"/>
        <v>5.7999999999999996E-3</v>
      </c>
      <c r="H83" s="15">
        <v>43181</v>
      </c>
      <c r="I83" s="107"/>
    </row>
    <row r="84" spans="1:9" ht="12.75" customHeight="1" x14ac:dyDescent="0.2">
      <c r="A84">
        <f>+MAX($A$7:A83)+1</f>
        <v>69</v>
      </c>
      <c r="B84" s="65" t="s">
        <v>512</v>
      </c>
      <c r="C84" t="s">
        <v>649</v>
      </c>
      <c r="D84" t="s">
        <v>290</v>
      </c>
      <c r="E84" s="28">
        <v>100</v>
      </c>
      <c r="F84" s="13">
        <v>498.63650000000001</v>
      </c>
      <c r="G84" s="14">
        <f t="shared" si="2"/>
        <v>4.8999999999999998E-3</v>
      </c>
      <c r="H84" s="15">
        <v>43145</v>
      </c>
      <c r="I84" s="107"/>
    </row>
    <row r="85" spans="1:9" ht="12.75" customHeight="1" x14ac:dyDescent="0.2">
      <c r="A85">
        <f>+MAX($A$7:A84)+1</f>
        <v>70</v>
      </c>
      <c r="B85" s="65" t="s">
        <v>690</v>
      </c>
      <c r="C85" t="s">
        <v>691</v>
      </c>
      <c r="D85" t="s">
        <v>326</v>
      </c>
      <c r="E85" s="28">
        <v>100</v>
      </c>
      <c r="F85" s="13">
        <v>494.90449999999998</v>
      </c>
      <c r="G85" s="14">
        <f t="shared" si="2"/>
        <v>4.8999999999999998E-3</v>
      </c>
      <c r="H85" s="15">
        <v>43185</v>
      </c>
      <c r="I85" s="107"/>
    </row>
    <row r="86" spans="1:9" ht="12.75" customHeight="1" x14ac:dyDescent="0.2">
      <c r="A86">
        <f>+MAX($A$7:A85)+1</f>
        <v>71</v>
      </c>
      <c r="B86" s="65" t="s">
        <v>291</v>
      </c>
      <c r="C86" t="s">
        <v>563</v>
      </c>
      <c r="D86" t="s">
        <v>578</v>
      </c>
      <c r="E86" s="28">
        <v>100</v>
      </c>
      <c r="F86" s="13">
        <v>474.53500000000003</v>
      </c>
      <c r="G86" s="14">
        <f t="shared" si="2"/>
        <v>4.7000000000000002E-3</v>
      </c>
      <c r="H86" s="15">
        <v>43350</v>
      </c>
      <c r="I86" s="107"/>
    </row>
    <row r="87" spans="1:9" ht="12.75" customHeight="1" x14ac:dyDescent="0.2">
      <c r="B87" s="18" t="s">
        <v>85</v>
      </c>
      <c r="C87" s="18"/>
      <c r="D87" s="18"/>
      <c r="E87" s="29"/>
      <c r="F87" s="19">
        <f>SUM(F81:F86)</f>
        <v>3353.3008</v>
      </c>
      <c r="G87" s="20">
        <f>SUM(G81:G86)</f>
        <v>3.3000000000000002E-2</v>
      </c>
      <c r="H87" s="21"/>
    </row>
    <row r="88" spans="1:9" ht="12.75" customHeight="1" x14ac:dyDescent="0.2">
      <c r="F88" s="13"/>
      <c r="G88" s="14"/>
      <c r="H88" s="15"/>
    </row>
    <row r="89" spans="1:9" ht="12.75" customHeight="1" x14ac:dyDescent="0.2">
      <c r="B89" s="16" t="s">
        <v>125</v>
      </c>
      <c r="C89" s="16"/>
      <c r="F89" s="13"/>
      <c r="G89" s="14"/>
      <c r="H89" s="15"/>
    </row>
    <row r="90" spans="1:9" ht="12.75" customHeight="1" x14ac:dyDescent="0.2">
      <c r="B90" s="31" t="s">
        <v>406</v>
      </c>
      <c r="C90" s="16"/>
      <c r="F90" s="13"/>
      <c r="G90" s="14"/>
      <c r="H90" s="15"/>
    </row>
    <row r="91" spans="1:9" ht="12.75" customHeight="1" x14ac:dyDescent="0.2">
      <c r="A91">
        <f>+MAX($A$7:A90)+1</f>
        <v>72</v>
      </c>
      <c r="B91" s="65" t="s">
        <v>739</v>
      </c>
      <c r="C91" t="s">
        <v>570</v>
      </c>
      <c r="D91" t="s">
        <v>108</v>
      </c>
      <c r="E91" s="28">
        <v>150</v>
      </c>
      <c r="F91" s="13">
        <v>1476.1935000000001</v>
      </c>
      <c r="G91" s="14">
        <f t="shared" ref="G91:G110" si="3">+ROUND(F91/VLOOKUP("Grand Total",$B$4:$F$336,5,0),4)</f>
        <v>1.4500000000000001E-2</v>
      </c>
      <c r="H91" s="15">
        <v>44104</v>
      </c>
      <c r="I91" s="107"/>
    </row>
    <row r="92" spans="1:9" ht="12.75" customHeight="1" x14ac:dyDescent="0.2">
      <c r="A92">
        <f>+MAX($A$7:A91)+1</f>
        <v>73</v>
      </c>
      <c r="B92" s="65" t="s">
        <v>734</v>
      </c>
      <c r="C92" t="s">
        <v>545</v>
      </c>
      <c r="D92" t="s">
        <v>174</v>
      </c>
      <c r="E92" s="28">
        <v>150</v>
      </c>
      <c r="F92" s="13">
        <v>1471.7370000000001</v>
      </c>
      <c r="G92" s="14">
        <f t="shared" si="3"/>
        <v>1.4500000000000001E-2</v>
      </c>
      <c r="H92" s="15">
        <v>44376</v>
      </c>
      <c r="I92" s="107"/>
    </row>
    <row r="93" spans="1:9" ht="12.75" customHeight="1" x14ac:dyDescent="0.2">
      <c r="A93">
        <f>+MAX($A$7:A92)+1</f>
        <v>74</v>
      </c>
      <c r="B93" s="65" t="s">
        <v>698</v>
      </c>
      <c r="C93" t="s">
        <v>571</v>
      </c>
      <c r="D93" t="s">
        <v>108</v>
      </c>
      <c r="E93" s="28">
        <v>150</v>
      </c>
      <c r="F93" s="13">
        <v>1454.0744999999999</v>
      </c>
      <c r="G93" s="14">
        <f t="shared" si="3"/>
        <v>1.43E-2</v>
      </c>
      <c r="H93" s="15">
        <v>44804</v>
      </c>
      <c r="I93" s="107"/>
    </row>
    <row r="94" spans="1:9" ht="12.75" customHeight="1" x14ac:dyDescent="0.2">
      <c r="A94">
        <f>+MAX($A$7:A93)+1</f>
        <v>75</v>
      </c>
      <c r="B94" s="65" t="s">
        <v>740</v>
      </c>
      <c r="C94" t="s">
        <v>517</v>
      </c>
      <c r="D94" t="s">
        <v>108</v>
      </c>
      <c r="E94" s="28">
        <v>110</v>
      </c>
      <c r="F94" s="13">
        <v>1094.28</v>
      </c>
      <c r="G94" s="14">
        <f t="shared" si="3"/>
        <v>1.0699999999999999E-2</v>
      </c>
      <c r="H94" s="15">
        <v>44091</v>
      </c>
      <c r="I94" s="107"/>
    </row>
    <row r="95" spans="1:9" ht="12.75" customHeight="1" x14ac:dyDescent="0.2">
      <c r="A95">
        <f>+MAX($A$7:A94)+1</f>
        <v>76</v>
      </c>
      <c r="B95" s="65" t="s">
        <v>728</v>
      </c>
      <c r="C95" t="s">
        <v>609</v>
      </c>
      <c r="D95" t="s">
        <v>108</v>
      </c>
      <c r="E95" s="28">
        <v>100</v>
      </c>
      <c r="F95" s="13">
        <v>1024.3969999999999</v>
      </c>
      <c r="G95" s="14">
        <f t="shared" si="3"/>
        <v>1.01E-2</v>
      </c>
      <c r="H95" s="15">
        <v>45042</v>
      </c>
      <c r="I95" s="107"/>
    </row>
    <row r="96" spans="1:9" ht="12.75" customHeight="1" x14ac:dyDescent="0.2">
      <c r="A96">
        <f>+MAX($A$7:A95)+1</f>
        <v>77</v>
      </c>
      <c r="B96" s="65" t="s">
        <v>732</v>
      </c>
      <c r="C96" s="121" t="s">
        <v>472</v>
      </c>
      <c r="D96" t="s">
        <v>473</v>
      </c>
      <c r="E96" s="28">
        <v>100</v>
      </c>
      <c r="F96" s="13">
        <v>999.49</v>
      </c>
      <c r="G96" s="14">
        <f t="shared" si="3"/>
        <v>9.7999999999999997E-3</v>
      </c>
      <c r="H96" s="15">
        <v>44693</v>
      </c>
      <c r="I96" s="107"/>
    </row>
    <row r="97" spans="1:9" ht="12.75" customHeight="1" x14ac:dyDescent="0.2">
      <c r="A97">
        <f>+MAX($A$7:A96)+1</f>
        <v>78</v>
      </c>
      <c r="B97" s="65" t="s">
        <v>730</v>
      </c>
      <c r="C97" t="s">
        <v>536</v>
      </c>
      <c r="D97" t="s">
        <v>362</v>
      </c>
      <c r="E97" s="28">
        <v>90000</v>
      </c>
      <c r="F97" s="13">
        <v>906.61680000000001</v>
      </c>
      <c r="G97" s="14">
        <f t="shared" si="3"/>
        <v>8.8999999999999999E-3</v>
      </c>
      <c r="H97" s="15">
        <v>43717</v>
      </c>
      <c r="I97" s="107"/>
    </row>
    <row r="98" spans="1:9" ht="12.75" customHeight="1" x14ac:dyDescent="0.2">
      <c r="A98">
        <f>+MAX($A$7:A97)+1</f>
        <v>79</v>
      </c>
      <c r="B98" s="65" t="s">
        <v>741</v>
      </c>
      <c r="C98" t="s">
        <v>689</v>
      </c>
      <c r="D98" t="s">
        <v>669</v>
      </c>
      <c r="E98" s="28">
        <v>70</v>
      </c>
      <c r="F98" s="13">
        <v>670.72739999999999</v>
      </c>
      <c r="G98" s="14">
        <f t="shared" si="3"/>
        <v>6.6E-3</v>
      </c>
      <c r="H98" s="15">
        <v>43826</v>
      </c>
      <c r="I98" s="107"/>
    </row>
    <row r="99" spans="1:9" ht="12.75" customHeight="1" x14ac:dyDescent="0.2">
      <c r="A99">
        <f>+MAX($A$7:A98)+1</f>
        <v>80</v>
      </c>
      <c r="B99" s="65" t="s">
        <v>710</v>
      </c>
      <c r="C99" t="s">
        <v>572</v>
      </c>
      <c r="D99" t="s">
        <v>108</v>
      </c>
      <c r="E99" s="28">
        <v>50</v>
      </c>
      <c r="F99" s="13">
        <v>507.178</v>
      </c>
      <c r="G99" s="14">
        <f t="shared" si="3"/>
        <v>5.0000000000000001E-3</v>
      </c>
      <c r="H99" s="15">
        <v>44004</v>
      </c>
      <c r="I99" s="107"/>
    </row>
    <row r="100" spans="1:9" ht="12.75" customHeight="1" x14ac:dyDescent="0.2">
      <c r="A100">
        <f>+MAX($A$7:A99)+1</f>
        <v>81</v>
      </c>
      <c r="B100" s="65" t="s">
        <v>730</v>
      </c>
      <c r="C100" t="s">
        <v>437</v>
      </c>
      <c r="D100" t="s">
        <v>362</v>
      </c>
      <c r="E100" s="28">
        <v>50000</v>
      </c>
      <c r="F100" s="13">
        <v>503.488</v>
      </c>
      <c r="G100" s="14">
        <f t="shared" si="3"/>
        <v>4.8999999999999998E-3</v>
      </c>
      <c r="H100" s="15">
        <v>43693</v>
      </c>
      <c r="I100" s="107"/>
    </row>
    <row r="101" spans="1:9" ht="12.75" customHeight="1" x14ac:dyDescent="0.2">
      <c r="A101">
        <f>+MAX($A$7:A100)+1</f>
        <v>82</v>
      </c>
      <c r="B101" s="65" t="s">
        <v>742</v>
      </c>
      <c r="C101" t="s">
        <v>694</v>
      </c>
      <c r="D101" t="s">
        <v>292</v>
      </c>
      <c r="E101" s="28">
        <v>50</v>
      </c>
      <c r="F101" s="13">
        <v>498.34050000000002</v>
      </c>
      <c r="G101" s="14">
        <f t="shared" si="3"/>
        <v>4.8999999999999998E-3</v>
      </c>
      <c r="H101" s="15">
        <v>43643</v>
      </c>
      <c r="I101" s="107"/>
    </row>
    <row r="102" spans="1:9" ht="12.75" customHeight="1" x14ac:dyDescent="0.2">
      <c r="A102">
        <f>+MAX($A$7:A101)+1</f>
        <v>83</v>
      </c>
      <c r="B102" s="65" t="s">
        <v>743</v>
      </c>
      <c r="C102" t="s">
        <v>455</v>
      </c>
      <c r="D102" t="s">
        <v>108</v>
      </c>
      <c r="E102" s="28">
        <v>5</v>
      </c>
      <c r="F102" s="13">
        <v>498.03899999999999</v>
      </c>
      <c r="G102" s="14">
        <f t="shared" si="3"/>
        <v>4.8999999999999998E-3</v>
      </c>
      <c r="H102" s="15">
        <v>43544</v>
      </c>
      <c r="I102" s="107"/>
    </row>
    <row r="103" spans="1:9" ht="12.75" customHeight="1" x14ac:dyDescent="0.2">
      <c r="A103">
        <f>+MAX($A$7:A102)+1</f>
        <v>84</v>
      </c>
      <c r="B103" s="65" t="s">
        <v>744</v>
      </c>
      <c r="C103" t="s">
        <v>651</v>
      </c>
      <c r="D103" t="s">
        <v>108</v>
      </c>
      <c r="E103" s="28">
        <v>5</v>
      </c>
      <c r="F103" s="13">
        <v>497.83350000000002</v>
      </c>
      <c r="G103" s="14">
        <f t="shared" si="3"/>
        <v>4.8999999999999998E-3</v>
      </c>
      <c r="H103" s="15">
        <v>43367</v>
      </c>
      <c r="I103" s="107"/>
    </row>
    <row r="104" spans="1:9" ht="12.75" customHeight="1" x14ac:dyDescent="0.2">
      <c r="A104">
        <f>+MAX($A$7:A103)+1</f>
        <v>85</v>
      </c>
      <c r="B104" s="65" t="s">
        <v>745</v>
      </c>
      <c r="C104" t="s">
        <v>454</v>
      </c>
      <c r="D104" t="s">
        <v>108</v>
      </c>
      <c r="E104" s="28">
        <v>50</v>
      </c>
      <c r="F104" s="13">
        <v>496.59550000000002</v>
      </c>
      <c r="G104" s="14">
        <f t="shared" si="3"/>
        <v>4.8999999999999998E-3</v>
      </c>
      <c r="H104" s="15">
        <v>44006</v>
      </c>
      <c r="I104" s="107"/>
    </row>
    <row r="105" spans="1:9" ht="12.75" customHeight="1" x14ac:dyDescent="0.2">
      <c r="A105">
        <f>+MAX($A$7:A104)+1</f>
        <v>86</v>
      </c>
      <c r="B105" s="65" t="s">
        <v>746</v>
      </c>
      <c r="C105" t="s">
        <v>518</v>
      </c>
      <c r="D105" t="s">
        <v>491</v>
      </c>
      <c r="E105" s="28">
        <v>50</v>
      </c>
      <c r="F105" s="13">
        <v>493.9085</v>
      </c>
      <c r="G105" s="14">
        <f t="shared" si="3"/>
        <v>4.7999999999999996E-3</v>
      </c>
      <c r="H105" s="15">
        <v>44026</v>
      </c>
      <c r="I105" s="107"/>
    </row>
    <row r="106" spans="1:9" ht="12.75" customHeight="1" x14ac:dyDescent="0.2">
      <c r="A106">
        <f>+MAX($A$7:A105)+1</f>
        <v>87</v>
      </c>
      <c r="B106" s="65" t="s">
        <v>737</v>
      </c>
      <c r="C106" t="s">
        <v>469</v>
      </c>
      <c r="D106" t="s">
        <v>670</v>
      </c>
      <c r="E106" s="28">
        <v>30</v>
      </c>
      <c r="F106" s="13">
        <v>299.95589999999999</v>
      </c>
      <c r="G106" s="14">
        <f t="shared" si="3"/>
        <v>2.8999999999999998E-3</v>
      </c>
      <c r="H106" s="15">
        <v>43469</v>
      </c>
      <c r="I106" s="107"/>
    </row>
    <row r="107" spans="1:9" ht="12.75" customHeight="1" x14ac:dyDescent="0.2">
      <c r="A107">
        <f>+MAX($A$7:A106)+1</f>
        <v>88</v>
      </c>
      <c r="B107" s="65" t="s">
        <v>747</v>
      </c>
      <c r="C107" t="s">
        <v>448</v>
      </c>
      <c r="D107" t="s">
        <v>174</v>
      </c>
      <c r="E107" s="28">
        <v>20</v>
      </c>
      <c r="F107" s="13">
        <v>200.17420000000001</v>
      </c>
      <c r="G107" s="14">
        <f t="shared" si="3"/>
        <v>2E-3</v>
      </c>
      <c r="H107" s="15">
        <v>43678</v>
      </c>
      <c r="I107" s="107"/>
    </row>
    <row r="108" spans="1:9" ht="12.75" customHeight="1" x14ac:dyDescent="0.2">
      <c r="A108">
        <f>+MAX($A$7:A107)+1</f>
        <v>89</v>
      </c>
      <c r="B108" s="65" t="s">
        <v>736</v>
      </c>
      <c r="C108" t="s">
        <v>421</v>
      </c>
      <c r="D108" t="s">
        <v>362</v>
      </c>
      <c r="E108" s="28">
        <v>13</v>
      </c>
      <c r="F108" s="13">
        <v>130.19331</v>
      </c>
      <c r="G108" s="14">
        <f t="shared" si="3"/>
        <v>1.2999999999999999E-3</v>
      </c>
      <c r="H108" s="15">
        <v>43322</v>
      </c>
      <c r="I108" s="107"/>
    </row>
    <row r="109" spans="1:9" ht="12.75" customHeight="1" x14ac:dyDescent="0.2">
      <c r="A109">
        <f>+MAX($A$7:A108)+1</f>
        <v>90</v>
      </c>
      <c r="B109" s="65" t="s">
        <v>735</v>
      </c>
      <c r="C109" t="s">
        <v>408</v>
      </c>
      <c r="D109" t="s">
        <v>108</v>
      </c>
      <c r="E109" s="28">
        <v>10</v>
      </c>
      <c r="F109" s="13">
        <v>101.2886</v>
      </c>
      <c r="G109" s="14">
        <f t="shared" si="3"/>
        <v>1E-3</v>
      </c>
      <c r="H109" s="15">
        <v>44343</v>
      </c>
      <c r="I109" s="107"/>
    </row>
    <row r="110" spans="1:9" ht="12.75" customHeight="1" x14ac:dyDescent="0.2">
      <c r="A110">
        <f>+MAX($A$7:A109)+1</f>
        <v>91</v>
      </c>
      <c r="B110" s="65" t="s">
        <v>748</v>
      </c>
      <c r="C110" t="s">
        <v>333</v>
      </c>
      <c r="D110" t="s">
        <v>293</v>
      </c>
      <c r="E110" s="28">
        <v>10</v>
      </c>
      <c r="F110" s="13">
        <v>101.1892</v>
      </c>
      <c r="G110" s="14">
        <f t="shared" si="3"/>
        <v>1E-3</v>
      </c>
      <c r="H110" s="15">
        <v>43621</v>
      </c>
      <c r="I110" s="107"/>
    </row>
    <row r="111" spans="1:9" ht="12.75" customHeight="1" x14ac:dyDescent="0.2">
      <c r="B111" s="18" t="s">
        <v>85</v>
      </c>
      <c r="C111" s="18"/>
      <c r="D111" s="18"/>
      <c r="E111" s="29"/>
      <c r="F111" s="19">
        <f>SUM(F91:F110)</f>
        <v>13425.700410000001</v>
      </c>
      <c r="G111" s="20">
        <f>SUM(G91:G110)</f>
        <v>0.13190000000000002</v>
      </c>
      <c r="H111" s="21"/>
    </row>
    <row r="112" spans="1:9" ht="12.75" customHeight="1" x14ac:dyDescent="0.2">
      <c r="F112" s="13"/>
      <c r="G112" s="14"/>
      <c r="H112" s="15"/>
    </row>
    <row r="113" spans="1:11" ht="12.75" customHeight="1" x14ac:dyDescent="0.2">
      <c r="B113" s="16" t="s">
        <v>547</v>
      </c>
      <c r="C113" s="16"/>
      <c r="F113" s="13"/>
      <c r="G113" s="14"/>
      <c r="H113" s="15"/>
    </row>
    <row r="114" spans="1:11" ht="12.75" customHeight="1" x14ac:dyDescent="0.2">
      <c r="A114">
        <f>+MAX($A$7:A113)+1</f>
        <v>92</v>
      </c>
      <c r="B114" s="65" t="s">
        <v>541</v>
      </c>
      <c r="C114" t="s">
        <v>542</v>
      </c>
      <c r="D114" t="s">
        <v>366</v>
      </c>
      <c r="E114" s="28">
        <v>50</v>
      </c>
      <c r="F114" s="13">
        <v>519.827</v>
      </c>
      <c r="G114" s="14">
        <f>+ROUND(F114/VLOOKUP("Grand Total",$B$4:$F$336,5,0),4)</f>
        <v>5.1000000000000004E-3</v>
      </c>
      <c r="H114" s="15">
        <v>43321</v>
      </c>
    </row>
    <row r="115" spans="1:11" ht="12.75" customHeight="1" x14ac:dyDescent="0.2">
      <c r="B115" s="18" t="s">
        <v>85</v>
      </c>
      <c r="C115" s="18"/>
      <c r="D115" s="18"/>
      <c r="E115" s="29"/>
      <c r="F115" s="19">
        <f>SUM(F114:F114)</f>
        <v>519.827</v>
      </c>
      <c r="G115" s="20">
        <f>SUM(G114:G114)</f>
        <v>5.1000000000000004E-3</v>
      </c>
      <c r="H115" s="21"/>
    </row>
    <row r="116" spans="1:11" s="46" customFormat="1" ht="12.75" customHeight="1" x14ac:dyDescent="0.2">
      <c r="B116" s="67"/>
      <c r="C116" s="67"/>
      <c r="D116" s="67"/>
      <c r="E116" s="68"/>
      <c r="F116" s="69"/>
      <c r="G116" s="70"/>
      <c r="H116" s="71"/>
      <c r="I116" s="33"/>
      <c r="K116" s="48"/>
    </row>
    <row r="117" spans="1:11" ht="12.75" customHeight="1" x14ac:dyDescent="0.2">
      <c r="B117" s="16" t="s">
        <v>169</v>
      </c>
      <c r="C117" s="16"/>
      <c r="F117" s="13"/>
      <c r="G117" s="14"/>
      <c r="H117" s="15"/>
    </row>
    <row r="118" spans="1:11" ht="12.75" customHeight="1" x14ac:dyDescent="0.2">
      <c r="A118">
        <f>+MAX($A$7:A117)+1</f>
        <v>93</v>
      </c>
      <c r="B118" s="65" t="s">
        <v>600</v>
      </c>
      <c r="C118" t="s">
        <v>601</v>
      </c>
      <c r="D118" t="s">
        <v>403</v>
      </c>
      <c r="E118" s="28">
        <v>2150000</v>
      </c>
      <c r="F118" s="13">
        <v>2035.6737499999999</v>
      </c>
      <c r="G118" s="14">
        <f t="shared" ref="G118:G125" si="4">+ROUND(F118/VLOOKUP("Grand Total",$B$4:$F$336,5,0),4)</f>
        <v>0.02</v>
      </c>
      <c r="H118" s="15">
        <v>46522</v>
      </c>
    </row>
    <row r="119" spans="1:11" ht="12.75" customHeight="1" x14ac:dyDescent="0.2">
      <c r="A119">
        <f>+MAX($A$7:A118)+1</f>
        <v>94</v>
      </c>
      <c r="B119" s="65" t="s">
        <v>487</v>
      </c>
      <c r="C119" t="s">
        <v>488</v>
      </c>
      <c r="D119" t="s">
        <v>403</v>
      </c>
      <c r="E119" s="28">
        <v>1750000</v>
      </c>
      <c r="F119" s="13">
        <v>1767.325</v>
      </c>
      <c r="G119" s="14">
        <f t="shared" si="4"/>
        <v>1.7399999999999999E-2</v>
      </c>
      <c r="H119" s="15">
        <v>45275</v>
      </c>
    </row>
    <row r="120" spans="1:11" ht="12.75" customHeight="1" x14ac:dyDescent="0.2">
      <c r="A120">
        <f>+MAX($A$7:A119)+1</f>
        <v>95</v>
      </c>
      <c r="B120" s="65" t="s">
        <v>470</v>
      </c>
      <c r="C120" t="s">
        <v>471</v>
      </c>
      <c r="D120" t="s">
        <v>403</v>
      </c>
      <c r="E120" s="28">
        <v>1550000</v>
      </c>
      <c r="F120" s="13">
        <v>1519.93</v>
      </c>
      <c r="G120" s="14">
        <f t="shared" si="4"/>
        <v>1.49E-2</v>
      </c>
      <c r="H120" s="15">
        <v>44914</v>
      </c>
    </row>
    <row r="121" spans="1:11" ht="12.75" customHeight="1" x14ac:dyDescent="0.2">
      <c r="A121">
        <f>+MAX($A$7:A120)+1</f>
        <v>96</v>
      </c>
      <c r="B121" s="65" t="s">
        <v>607</v>
      </c>
      <c r="C121" t="s">
        <v>697</v>
      </c>
      <c r="D121" t="s">
        <v>403</v>
      </c>
      <c r="E121" s="28">
        <v>1500000</v>
      </c>
      <c r="F121" s="13">
        <v>1494.75</v>
      </c>
      <c r="G121" s="14">
        <f t="shared" si="4"/>
        <v>1.47E-2</v>
      </c>
      <c r="H121" s="15">
        <v>46033</v>
      </c>
    </row>
    <row r="122" spans="1:11" ht="12.75" customHeight="1" x14ac:dyDescent="0.2">
      <c r="A122">
        <f>+MAX($A$7:A121)+1</f>
        <v>97</v>
      </c>
      <c r="B122" s="65" t="s">
        <v>607</v>
      </c>
      <c r="C122" t="s">
        <v>608</v>
      </c>
      <c r="D122" t="s">
        <v>403</v>
      </c>
      <c r="E122" s="28">
        <v>900000</v>
      </c>
      <c r="F122" s="13">
        <v>887.4</v>
      </c>
      <c r="G122" s="14">
        <f t="shared" si="4"/>
        <v>8.6999999999999994E-3</v>
      </c>
      <c r="H122" s="15">
        <v>47197</v>
      </c>
    </row>
    <row r="123" spans="1:11" ht="12.75" customHeight="1" x14ac:dyDescent="0.2">
      <c r="A123">
        <f>+MAX($A$7:A122)+1</f>
        <v>98</v>
      </c>
      <c r="B123" s="65" t="s">
        <v>643</v>
      </c>
      <c r="C123" t="s">
        <v>644</v>
      </c>
      <c r="D123" t="s">
        <v>403</v>
      </c>
      <c r="E123" s="28">
        <v>800000</v>
      </c>
      <c r="F123" s="13">
        <v>713.01599999999996</v>
      </c>
      <c r="G123" s="14">
        <f t="shared" si="4"/>
        <v>7.0000000000000001E-3</v>
      </c>
      <c r="H123" s="15">
        <v>48918</v>
      </c>
    </row>
    <row r="124" spans="1:11" ht="12.75" customHeight="1" x14ac:dyDescent="0.2">
      <c r="A124">
        <f>+MAX($A$7:A123)+1</f>
        <v>99</v>
      </c>
      <c r="B124" s="65" t="s">
        <v>610</v>
      </c>
      <c r="C124" t="s">
        <v>611</v>
      </c>
      <c r="D124" t="s">
        <v>403</v>
      </c>
      <c r="E124" s="28">
        <v>500000</v>
      </c>
      <c r="F124" s="13">
        <v>504.55</v>
      </c>
      <c r="G124" s="14">
        <f t="shared" si="4"/>
        <v>5.0000000000000001E-3</v>
      </c>
      <c r="H124" s="15">
        <v>45802</v>
      </c>
    </row>
    <row r="125" spans="1:11" ht="12.75" customHeight="1" x14ac:dyDescent="0.2">
      <c r="A125">
        <f>+MAX($A$7:A124)+1</f>
        <v>100</v>
      </c>
      <c r="B125" s="65" t="s">
        <v>711</v>
      </c>
      <c r="C125" t="s">
        <v>712</v>
      </c>
      <c r="D125" t="s">
        <v>403</v>
      </c>
      <c r="E125" s="28">
        <v>500000</v>
      </c>
      <c r="F125" s="13">
        <v>490.95</v>
      </c>
      <c r="G125" s="14">
        <f t="shared" si="4"/>
        <v>4.7999999999999996E-3</v>
      </c>
      <c r="H125" s="15">
        <v>46760</v>
      </c>
    </row>
    <row r="126" spans="1:11" ht="12.75" customHeight="1" x14ac:dyDescent="0.2">
      <c r="B126" s="18" t="s">
        <v>85</v>
      </c>
      <c r="C126" s="18"/>
      <c r="D126" s="18"/>
      <c r="E126" s="29"/>
      <c r="F126" s="19">
        <f>SUM(F118:F125)</f>
        <v>9413.5947500000002</v>
      </c>
      <c r="G126" s="20">
        <f>SUM(G118:G125)</f>
        <v>9.2500000000000013E-2</v>
      </c>
      <c r="H126" s="21"/>
    </row>
    <row r="127" spans="1:11" s="46" customFormat="1" ht="12.75" customHeight="1" x14ac:dyDescent="0.2">
      <c r="B127" s="67"/>
      <c r="C127" s="67"/>
      <c r="D127" s="67"/>
      <c r="E127" s="68"/>
      <c r="F127" s="69"/>
      <c r="G127" s="70"/>
      <c r="H127" s="71"/>
      <c r="I127" s="33"/>
      <c r="K127" s="48"/>
    </row>
    <row r="128" spans="1:11" ht="12.75" customHeight="1" x14ac:dyDescent="0.2">
      <c r="B128" s="16" t="s">
        <v>438</v>
      </c>
      <c r="C128" s="16"/>
      <c r="F128" s="13"/>
      <c r="G128" s="14"/>
      <c r="H128" s="15"/>
    </row>
    <row r="129" spans="1:11" ht="12.75" customHeight="1" x14ac:dyDescent="0.2">
      <c r="A129">
        <f>+MAX($A$7:A128)+1</f>
        <v>101</v>
      </c>
      <c r="B129" s="65" t="s">
        <v>701</v>
      </c>
      <c r="C129" t="s">
        <v>702</v>
      </c>
      <c r="D129" t="s">
        <v>403</v>
      </c>
      <c r="E129" s="28">
        <v>500000</v>
      </c>
      <c r="F129" s="13">
        <v>501</v>
      </c>
      <c r="G129" s="14">
        <f t="shared" ref="G129:G130" si="5">+ROUND(F129/VLOOKUP("Grand Total",$B$4:$F$336,5,0),4)</f>
        <v>4.8999999999999998E-3</v>
      </c>
      <c r="H129" s="15">
        <v>46783</v>
      </c>
    </row>
    <row r="130" spans="1:11" ht="12.75" customHeight="1" x14ac:dyDescent="0.2">
      <c r="A130">
        <f>+MAX($A$7:A129)+1</f>
        <v>102</v>
      </c>
      <c r="B130" s="65" t="s">
        <v>699</v>
      </c>
      <c r="C130" t="s">
        <v>700</v>
      </c>
      <c r="D130" t="s">
        <v>403</v>
      </c>
      <c r="E130" s="28">
        <v>500000</v>
      </c>
      <c r="F130" s="13">
        <v>476.4</v>
      </c>
      <c r="G130" s="14">
        <f t="shared" si="5"/>
        <v>4.7000000000000002E-3</v>
      </c>
      <c r="H130" s="15">
        <v>46643</v>
      </c>
    </row>
    <row r="131" spans="1:11" ht="12.75" customHeight="1" x14ac:dyDescent="0.2">
      <c r="B131" s="18" t="s">
        <v>85</v>
      </c>
      <c r="C131" s="18"/>
      <c r="D131" s="18"/>
      <c r="E131" s="29"/>
      <c r="F131" s="19">
        <f>SUM(F129:F130)</f>
        <v>977.4</v>
      </c>
      <c r="G131" s="20">
        <f>SUM(G129:G130)</f>
        <v>9.6000000000000009E-3</v>
      </c>
      <c r="H131" s="21"/>
    </row>
    <row r="132" spans="1:11" s="46" customFormat="1" ht="12.75" customHeight="1" x14ac:dyDescent="0.2">
      <c r="B132" s="67"/>
      <c r="C132" s="67"/>
      <c r="D132" s="67"/>
      <c r="E132" s="68"/>
      <c r="F132" s="69"/>
      <c r="G132" s="70"/>
      <c r="H132" s="71"/>
      <c r="I132" s="33"/>
      <c r="K132" s="48"/>
    </row>
    <row r="133" spans="1:11" ht="12.75" customHeight="1" x14ac:dyDescent="0.2">
      <c r="B133" s="16" t="s">
        <v>92</v>
      </c>
      <c r="C133" s="16"/>
      <c r="F133" s="13"/>
      <c r="G133" s="14"/>
      <c r="H133" s="15"/>
    </row>
    <row r="134" spans="1:11" ht="12.75" customHeight="1" x14ac:dyDescent="0.2">
      <c r="A134">
        <f>+MAX($A$7:A133)+1</f>
        <v>103</v>
      </c>
      <c r="B134" s="65" t="s">
        <v>652</v>
      </c>
      <c r="C134" t="s">
        <v>653</v>
      </c>
      <c r="D134" t="s">
        <v>319</v>
      </c>
      <c r="E134" s="28">
        <v>55322.918599999997</v>
      </c>
      <c r="F134" s="13">
        <v>1510.56961</v>
      </c>
      <c r="G134" s="14">
        <f>+ROUND(F134/VLOOKUP("Grand Total",$B$4:$F$336,5,0),4)</f>
        <v>1.4800000000000001E-2</v>
      </c>
      <c r="H134" s="15"/>
    </row>
    <row r="135" spans="1:11" ht="12.75" customHeight="1" x14ac:dyDescent="0.2">
      <c r="B135" s="18" t="s">
        <v>85</v>
      </c>
      <c r="C135" s="18"/>
      <c r="D135" s="18"/>
      <c r="E135" s="29"/>
      <c r="F135" s="19">
        <f>SUM(F134:F134)</f>
        <v>1510.56961</v>
      </c>
      <c r="G135" s="20">
        <f>SUM(G134:G134)</f>
        <v>1.4800000000000001E-2</v>
      </c>
      <c r="H135" s="21"/>
    </row>
    <row r="136" spans="1:11" s="46" customFormat="1" ht="12.75" customHeight="1" x14ac:dyDescent="0.2">
      <c r="B136" s="67"/>
      <c r="C136" s="67"/>
      <c r="D136" s="67"/>
      <c r="E136" s="68"/>
      <c r="F136" s="69"/>
      <c r="G136" s="70"/>
      <c r="H136" s="71"/>
      <c r="I136" s="33"/>
      <c r="K136" s="48"/>
    </row>
    <row r="137" spans="1:11" ht="12.75" customHeight="1" x14ac:dyDescent="0.2">
      <c r="A137" s="95" t="s">
        <v>370</v>
      </c>
      <c r="B137" s="16" t="s">
        <v>93</v>
      </c>
      <c r="C137" s="16"/>
      <c r="F137" s="13">
        <v>5462.3353399999996</v>
      </c>
      <c r="G137" s="14">
        <f>+ROUND(F137/VLOOKUP("Grand Total",$B$4:$F$336,5,0),4)</f>
        <v>5.3600000000000002E-2</v>
      </c>
      <c r="H137" s="15">
        <v>43132</v>
      </c>
    </row>
    <row r="138" spans="1:11" ht="12.75" customHeight="1" x14ac:dyDescent="0.2">
      <c r="B138" s="18" t="s">
        <v>85</v>
      </c>
      <c r="C138" s="18"/>
      <c r="D138" s="18"/>
      <c r="E138" s="29"/>
      <c r="F138" s="19">
        <f>SUM(F137)</f>
        <v>5462.3353399999996</v>
      </c>
      <c r="G138" s="20">
        <f>SUM(G137)</f>
        <v>5.3600000000000002E-2</v>
      </c>
      <c r="H138" s="21"/>
      <c r="I138" s="35"/>
    </row>
    <row r="139" spans="1:11" ht="12.75" customHeight="1" x14ac:dyDescent="0.2">
      <c r="F139" s="13"/>
      <c r="G139" s="14"/>
      <c r="H139" s="15"/>
    </row>
    <row r="140" spans="1:11" ht="12.75" customHeight="1" x14ac:dyDescent="0.2">
      <c r="B140" s="16" t="s">
        <v>94</v>
      </c>
      <c r="C140" s="16"/>
      <c r="F140" s="13"/>
      <c r="G140" s="14"/>
      <c r="H140" s="15"/>
    </row>
    <row r="141" spans="1:11" ht="12.75" customHeight="1" x14ac:dyDescent="0.2">
      <c r="B141" s="16" t="s">
        <v>95</v>
      </c>
      <c r="C141" s="16"/>
      <c r="F141" s="13">
        <v>-2124.5646813999629</v>
      </c>
      <c r="G141" s="125">
        <f>+ROUND(F141/VLOOKUP("Grand Total",$B$4:$F$336,5,0),4)-0.04%</f>
        <v>-2.1299999999999999E-2</v>
      </c>
      <c r="H141" s="15"/>
    </row>
    <row r="142" spans="1:11" ht="12.75" customHeight="1" x14ac:dyDescent="0.2">
      <c r="B142" s="18" t="s">
        <v>85</v>
      </c>
      <c r="C142" s="18"/>
      <c r="D142" s="18"/>
      <c r="E142" s="29"/>
      <c r="F142" s="19">
        <f>SUM(F141)</f>
        <v>-2124.5646813999629</v>
      </c>
      <c r="G142" s="126">
        <f>SUM(G141)</f>
        <v>-2.1299999999999999E-2</v>
      </c>
      <c r="H142" s="21"/>
      <c r="I142" s="35"/>
    </row>
    <row r="143" spans="1:11" ht="12.75" customHeight="1" x14ac:dyDescent="0.2">
      <c r="B143" s="22" t="s">
        <v>96</v>
      </c>
      <c r="C143" s="22"/>
      <c r="D143" s="22"/>
      <c r="E143" s="30"/>
      <c r="F143" s="23">
        <f>+SUMIF($B$5:B142,"Total",$F$5:F142)</f>
        <v>101848.68127260004</v>
      </c>
      <c r="G143" s="24">
        <f>+SUMIF($B$5:B142,"Total",$G$5:G142)</f>
        <v>1</v>
      </c>
      <c r="H143" s="25"/>
      <c r="I143" s="35"/>
    </row>
    <row r="144" spans="1:11" ht="12.75" customHeight="1" x14ac:dyDescent="0.2"/>
    <row r="145" spans="2:7" ht="12.75" customHeight="1" x14ac:dyDescent="0.2">
      <c r="B145" s="16" t="s">
        <v>671</v>
      </c>
      <c r="C145" s="16"/>
    </row>
    <row r="146" spans="2:7" ht="12.75" customHeight="1" x14ac:dyDescent="0.2">
      <c r="B146" s="16" t="s">
        <v>186</v>
      </c>
      <c r="C146" s="16"/>
    </row>
    <row r="147" spans="2:7" ht="12.75" customHeight="1" x14ac:dyDescent="0.2">
      <c r="B147" s="16" t="s">
        <v>187</v>
      </c>
      <c r="C147" s="16"/>
      <c r="F147" s="43"/>
      <c r="G147" s="43"/>
    </row>
    <row r="148" spans="2:7" ht="12.75" customHeight="1" x14ac:dyDescent="0.2">
      <c r="B148" s="53" t="s">
        <v>307</v>
      </c>
      <c r="C148" s="16"/>
    </row>
    <row r="149" spans="2:7" ht="12.75" customHeight="1" x14ac:dyDescent="0.2">
      <c r="B149" s="16"/>
    </row>
    <row r="150" spans="2:7" ht="12.75" customHeight="1" x14ac:dyDescent="0.2"/>
    <row r="151" spans="2:7" ht="12.75" customHeight="1" x14ac:dyDescent="0.2"/>
    <row r="152" spans="2:7" ht="12.75" customHeight="1" x14ac:dyDescent="0.2"/>
    <row r="153" spans="2:7" ht="12.75" customHeight="1" x14ac:dyDescent="0.2"/>
    <row r="154" spans="2:7" ht="12.75" customHeight="1" x14ac:dyDescent="0.2"/>
    <row r="155" spans="2:7" ht="12.75" customHeight="1" x14ac:dyDescent="0.2"/>
    <row r="156" spans="2:7" ht="12.75" customHeight="1" x14ac:dyDescent="0.2"/>
    <row r="157" spans="2:7" ht="12.75" customHeight="1" x14ac:dyDescent="0.2"/>
    <row r="158" spans="2:7" ht="12.75" customHeight="1" x14ac:dyDescent="0.2"/>
    <row r="159" spans="2:7" ht="12.75" customHeight="1" x14ac:dyDescent="0.2"/>
    <row r="160" spans="2:7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</sheetData>
  <sheetProtection password="EDB3" sheet="1" objects="1" scenarios="1"/>
  <sortState ref="J9:K49">
    <sortCondition descending="1" ref="K9:K49"/>
  </sortState>
  <mergeCells count="1">
    <mergeCell ref="B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8" bestFit="1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387</v>
      </c>
      <c r="B1" s="127" t="s">
        <v>173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91</v>
      </c>
      <c r="C7" s="16"/>
      <c r="F7" s="13"/>
      <c r="G7" s="14"/>
      <c r="H7" s="15"/>
    </row>
    <row r="8" spans="1:16" ht="12.75" customHeight="1" x14ac:dyDescent="0.2">
      <c r="B8" s="16" t="s">
        <v>726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s="65" t="s">
        <v>212</v>
      </c>
      <c r="C9" t="s">
        <v>654</v>
      </c>
      <c r="D9" t="s">
        <v>161</v>
      </c>
      <c r="E9" s="28">
        <v>5000</v>
      </c>
      <c r="F9" s="13">
        <v>4981.34</v>
      </c>
      <c r="G9" s="14">
        <f>+ROUND(F9/VLOOKUP("Grand Total",$B$4:$F$274,5,0),4)</f>
        <v>3.8199999999999998E-2</v>
      </c>
      <c r="H9" s="15">
        <v>43154</v>
      </c>
      <c r="J9" s="14" t="s">
        <v>161</v>
      </c>
      <c r="K9" s="48">
        <f t="shared" ref="K9:K14" si="0">SUMIFS($G$5:$G$352,$D$5:$D$352,J9)</f>
        <v>0.38220000000000004</v>
      </c>
    </row>
    <row r="10" spans="1:16" ht="12.75" customHeight="1" x14ac:dyDescent="0.2">
      <c r="A10">
        <f>+MAX($A$7:A9)+1</f>
        <v>2</v>
      </c>
      <c r="B10" s="65" t="s">
        <v>713</v>
      </c>
      <c r="C10" t="s">
        <v>655</v>
      </c>
      <c r="D10" t="s">
        <v>161</v>
      </c>
      <c r="E10" s="28">
        <v>5000</v>
      </c>
      <c r="F10" s="13">
        <v>4974.7250000000004</v>
      </c>
      <c r="G10" s="14">
        <f>+ROUND(F10/VLOOKUP("Grand Total",$B$4:$F$274,5,0),4)</f>
        <v>3.8100000000000002E-2</v>
      </c>
      <c r="H10" s="15">
        <v>43161</v>
      </c>
      <c r="J10" s="14" t="s">
        <v>290</v>
      </c>
      <c r="K10" s="48">
        <f t="shared" si="0"/>
        <v>0.35070000000000007</v>
      </c>
    </row>
    <row r="11" spans="1:16" ht="12.75" customHeight="1" x14ac:dyDescent="0.2">
      <c r="A11">
        <f>+MAX($A$7:A10)+1</f>
        <v>3</v>
      </c>
      <c r="B11" s="65" t="s">
        <v>217</v>
      </c>
      <c r="C11" t="s">
        <v>714</v>
      </c>
      <c r="D11" t="s">
        <v>161</v>
      </c>
      <c r="E11" s="28">
        <v>5000</v>
      </c>
      <c r="F11" s="13">
        <v>4953.26</v>
      </c>
      <c r="G11" s="14">
        <f>+ROUND(F11/VLOOKUP("Grand Total",$B$4:$F$274,5,0),4)</f>
        <v>3.7999999999999999E-2</v>
      </c>
      <c r="H11" s="15">
        <v>43186</v>
      </c>
      <c r="J11" s="14" t="s">
        <v>403</v>
      </c>
      <c r="K11" s="48">
        <f t="shared" si="0"/>
        <v>7.6100000000000001E-2</v>
      </c>
    </row>
    <row r="12" spans="1:16" ht="12.75" customHeight="1" x14ac:dyDescent="0.2">
      <c r="B12" s="18" t="s">
        <v>85</v>
      </c>
      <c r="C12" s="18"/>
      <c r="D12" s="18"/>
      <c r="E12" s="29"/>
      <c r="F12" s="19">
        <f>SUM(F9:F11)</f>
        <v>14909.325000000001</v>
      </c>
      <c r="G12" s="20">
        <f>SUM(G9:G11)</f>
        <v>0.11430000000000001</v>
      </c>
      <c r="H12" s="21"/>
      <c r="I12" s="82"/>
      <c r="J12" s="14" t="s">
        <v>326</v>
      </c>
      <c r="K12" s="48">
        <f t="shared" si="0"/>
        <v>6.4799999999999996E-2</v>
      </c>
    </row>
    <row r="13" spans="1:16" ht="12.75" customHeight="1" x14ac:dyDescent="0.2">
      <c r="B13" s="16"/>
      <c r="C13" s="16"/>
      <c r="F13" s="13"/>
      <c r="G13" s="14"/>
      <c r="H13" s="15"/>
      <c r="J13" s="14" t="s">
        <v>578</v>
      </c>
      <c r="K13" s="48">
        <f t="shared" si="0"/>
        <v>1.9099999999999999E-2</v>
      </c>
    </row>
    <row r="14" spans="1:16" ht="12.75" customHeight="1" x14ac:dyDescent="0.2">
      <c r="B14" s="16" t="s">
        <v>668</v>
      </c>
      <c r="C14" s="16"/>
      <c r="F14" s="13"/>
      <c r="G14" s="14"/>
      <c r="H14" s="15"/>
      <c r="J14" s="14" t="s">
        <v>567</v>
      </c>
      <c r="K14" s="48">
        <f t="shared" si="0"/>
        <v>1.52E-2</v>
      </c>
      <c r="M14" s="14"/>
      <c r="N14" s="36"/>
      <c r="P14" s="14"/>
    </row>
    <row r="15" spans="1:16" ht="12.75" customHeight="1" x14ac:dyDescent="0.2">
      <c r="A15">
        <f>+MAX($A$7:A14)+1</f>
        <v>4</v>
      </c>
      <c r="B15" t="s">
        <v>749</v>
      </c>
      <c r="C15" t="s">
        <v>656</v>
      </c>
      <c r="D15" t="s">
        <v>290</v>
      </c>
      <c r="E15" s="28">
        <v>2000</v>
      </c>
      <c r="F15" s="13">
        <v>9888.2999999999993</v>
      </c>
      <c r="G15" s="14">
        <f t="shared" ref="G15:G34" si="1">+ROUND(F15/VLOOKUP("Grand Total",$B$4:$F$274,5,0),4)</f>
        <v>7.5800000000000006E-2</v>
      </c>
      <c r="H15" s="15">
        <v>43186</v>
      </c>
      <c r="J15" s="14" t="s">
        <v>64</v>
      </c>
      <c r="K15" s="48">
        <f>+SUMIFS($G$5:$G$997,$B$5:$B$997,"CBLO / Reverse Repo Investments")+SUMIFS($G$5:$G$997,$B$5:$B$997,"Net Receivable/Payable")</f>
        <v>9.1900000000000009E-2</v>
      </c>
      <c r="L15" s="54"/>
      <c r="M15" s="14"/>
      <c r="N15" s="36"/>
      <c r="P15" s="14"/>
    </row>
    <row r="16" spans="1:16" ht="12.75" customHeight="1" x14ac:dyDescent="0.2">
      <c r="A16">
        <f>+MAX($A$7:A15)+1</f>
        <v>5</v>
      </c>
      <c r="B16" s="65" t="s">
        <v>750</v>
      </c>
      <c r="C16" t="s">
        <v>684</v>
      </c>
      <c r="D16" t="s">
        <v>290</v>
      </c>
      <c r="E16" s="28">
        <v>1600</v>
      </c>
      <c r="F16" s="13">
        <v>7951.6</v>
      </c>
      <c r="G16" s="14">
        <f t="shared" si="1"/>
        <v>6.0999999999999999E-2</v>
      </c>
      <c r="H16" s="15">
        <v>43164</v>
      </c>
      <c r="K16" s="48"/>
      <c r="M16" s="14"/>
      <c r="N16" s="36"/>
      <c r="P16" s="14"/>
    </row>
    <row r="17" spans="1:11" ht="12.75" customHeight="1" x14ac:dyDescent="0.2">
      <c r="A17">
        <f>+MAX($A$7:A16)+1</f>
        <v>6</v>
      </c>
      <c r="B17" s="65" t="s">
        <v>565</v>
      </c>
      <c r="C17" t="s">
        <v>602</v>
      </c>
      <c r="D17" t="s">
        <v>161</v>
      </c>
      <c r="E17" s="28">
        <v>1500</v>
      </c>
      <c r="F17" s="13">
        <v>7498.5825000000004</v>
      </c>
      <c r="G17" s="14">
        <f t="shared" si="1"/>
        <v>5.7500000000000002E-2</v>
      </c>
      <c r="H17" s="15">
        <v>43133</v>
      </c>
      <c r="J17" s="14"/>
      <c r="K17" s="48"/>
    </row>
    <row r="18" spans="1:11" ht="12.75" customHeight="1" x14ac:dyDescent="0.2">
      <c r="A18">
        <f>+MAX($A$7:A17)+1</f>
        <v>7</v>
      </c>
      <c r="B18" t="s">
        <v>752</v>
      </c>
      <c r="C18" t="s">
        <v>657</v>
      </c>
      <c r="D18" t="s">
        <v>326</v>
      </c>
      <c r="E18" s="28">
        <v>1000</v>
      </c>
      <c r="F18" s="13">
        <v>4988.4049999999997</v>
      </c>
      <c r="G18" s="14">
        <f t="shared" si="1"/>
        <v>3.8199999999999998E-2</v>
      </c>
      <c r="H18" s="15">
        <v>43145</v>
      </c>
    </row>
    <row r="19" spans="1:11" ht="12.75" customHeight="1" x14ac:dyDescent="0.2">
      <c r="A19">
        <f>+MAX($A$7:A18)+1</f>
        <v>8</v>
      </c>
      <c r="B19" t="s">
        <v>753</v>
      </c>
      <c r="C19" t="s">
        <v>659</v>
      </c>
      <c r="D19" t="s">
        <v>290</v>
      </c>
      <c r="E19" s="28">
        <v>1000</v>
      </c>
      <c r="F19" s="13">
        <v>4976.92</v>
      </c>
      <c r="G19" s="14">
        <f t="shared" si="1"/>
        <v>3.8100000000000002E-2</v>
      </c>
      <c r="H19" s="15">
        <v>43154</v>
      </c>
    </row>
    <row r="20" spans="1:11" ht="12.75" customHeight="1" x14ac:dyDescent="0.2">
      <c r="A20">
        <f>+MAX($A$7:A19)+1</f>
        <v>9</v>
      </c>
      <c r="B20" t="s">
        <v>754</v>
      </c>
      <c r="C20" t="s">
        <v>715</v>
      </c>
      <c r="D20" t="s">
        <v>290</v>
      </c>
      <c r="E20" s="28">
        <v>1000</v>
      </c>
      <c r="F20" s="13">
        <v>4975.62</v>
      </c>
      <c r="G20" s="14">
        <f t="shared" si="1"/>
        <v>3.8100000000000002E-2</v>
      </c>
      <c r="H20" s="15">
        <v>43159</v>
      </c>
    </row>
    <row r="21" spans="1:11" ht="12.75" customHeight="1" x14ac:dyDescent="0.2">
      <c r="A21">
        <f>+MAX($A$7:A20)+1</f>
        <v>10</v>
      </c>
      <c r="B21" t="s">
        <v>755</v>
      </c>
      <c r="C21" t="s">
        <v>660</v>
      </c>
      <c r="D21" t="s">
        <v>161</v>
      </c>
      <c r="E21" s="28">
        <v>1000</v>
      </c>
      <c r="F21" s="13">
        <v>4969.3249999999998</v>
      </c>
      <c r="G21" s="14">
        <f t="shared" si="1"/>
        <v>3.8100000000000002E-2</v>
      </c>
      <c r="H21" s="15">
        <v>43164</v>
      </c>
    </row>
    <row r="22" spans="1:11" ht="12.75" customHeight="1" x14ac:dyDescent="0.2">
      <c r="A22">
        <f>+MAX($A$7:A21)+1</f>
        <v>11</v>
      </c>
      <c r="B22" t="s">
        <v>756</v>
      </c>
      <c r="C22" t="s">
        <v>661</v>
      </c>
      <c r="D22" t="s">
        <v>161</v>
      </c>
      <c r="E22" s="28">
        <v>1000</v>
      </c>
      <c r="F22" s="13">
        <v>4963.87</v>
      </c>
      <c r="G22" s="14">
        <f t="shared" si="1"/>
        <v>3.7999999999999999E-2</v>
      </c>
      <c r="H22" s="15">
        <v>43173</v>
      </c>
      <c r="J22" s="14"/>
      <c r="K22" s="48"/>
    </row>
    <row r="23" spans="1:11" ht="12.75" customHeight="1" x14ac:dyDescent="0.2">
      <c r="A23">
        <f>+MAX($A$7:A22)+1</f>
        <v>12</v>
      </c>
      <c r="B23" t="s">
        <v>753</v>
      </c>
      <c r="C23" t="s">
        <v>716</v>
      </c>
      <c r="D23" t="s">
        <v>290</v>
      </c>
      <c r="E23" s="28">
        <v>1000</v>
      </c>
      <c r="F23" s="13">
        <v>4954.33</v>
      </c>
      <c r="G23" s="14">
        <f t="shared" si="1"/>
        <v>3.7999999999999999E-2</v>
      </c>
      <c r="H23" s="15">
        <v>43175</v>
      </c>
      <c r="J23" s="14"/>
      <c r="K23" s="48"/>
    </row>
    <row r="24" spans="1:11" ht="12.75" customHeight="1" x14ac:dyDescent="0.2">
      <c r="A24">
        <f>+MAX($A$7:A23)+1</f>
        <v>13</v>
      </c>
      <c r="B24" t="s">
        <v>757</v>
      </c>
      <c r="C24" t="s">
        <v>718</v>
      </c>
      <c r="D24" t="s">
        <v>161</v>
      </c>
      <c r="E24" s="28">
        <v>1000</v>
      </c>
      <c r="F24" s="13">
        <v>4949.1850000000004</v>
      </c>
      <c r="G24" s="14">
        <f t="shared" si="1"/>
        <v>3.7900000000000003E-2</v>
      </c>
      <c r="H24" s="15">
        <v>43187</v>
      </c>
      <c r="J24" s="14"/>
      <c r="K24" s="48"/>
    </row>
    <row r="25" spans="1:11" ht="12.75" customHeight="1" x14ac:dyDescent="0.2">
      <c r="A25">
        <f>+MAX($A$7:A24)+1</f>
        <v>14</v>
      </c>
      <c r="B25" t="s">
        <v>758</v>
      </c>
      <c r="C25" t="s">
        <v>719</v>
      </c>
      <c r="D25" t="s">
        <v>290</v>
      </c>
      <c r="E25" s="28">
        <v>1000</v>
      </c>
      <c r="F25" s="13">
        <v>4907.3100000000004</v>
      </c>
      <c r="G25" s="14">
        <f t="shared" si="1"/>
        <v>3.7600000000000001E-2</v>
      </c>
      <c r="H25" s="15">
        <v>43222</v>
      </c>
      <c r="J25" s="14"/>
      <c r="K25" s="48"/>
    </row>
    <row r="26" spans="1:11" ht="12.75" customHeight="1" x14ac:dyDescent="0.2">
      <c r="A26">
        <f>+MAX($A$7:A25)+1</f>
        <v>15</v>
      </c>
      <c r="B26" t="s">
        <v>751</v>
      </c>
      <c r="C26" t="s">
        <v>658</v>
      </c>
      <c r="D26" t="s">
        <v>161</v>
      </c>
      <c r="E26" s="28">
        <v>900</v>
      </c>
      <c r="F26" s="13">
        <v>4476.3615</v>
      </c>
      <c r="G26" s="14">
        <f t="shared" si="1"/>
        <v>3.4299999999999997E-2</v>
      </c>
      <c r="H26" s="15">
        <v>43160</v>
      </c>
      <c r="J26" s="14"/>
    </row>
    <row r="27" spans="1:11" ht="12.75" customHeight="1" x14ac:dyDescent="0.2">
      <c r="A27">
        <f>+MAX($A$7:A26)+1</f>
        <v>16</v>
      </c>
      <c r="B27" t="s">
        <v>759</v>
      </c>
      <c r="C27" t="s">
        <v>721</v>
      </c>
      <c r="D27" t="s">
        <v>161</v>
      </c>
      <c r="E27" s="28">
        <v>900</v>
      </c>
      <c r="F27" s="13">
        <v>4455.4274999999998</v>
      </c>
      <c r="G27" s="14">
        <f t="shared" si="1"/>
        <v>3.4200000000000001E-2</v>
      </c>
      <c r="H27" s="15">
        <v>43186</v>
      </c>
      <c r="J27" s="14"/>
    </row>
    <row r="28" spans="1:11" ht="12.75" customHeight="1" x14ac:dyDescent="0.2">
      <c r="A28">
        <f>+MAX($A$7:A27)+1</f>
        <v>17</v>
      </c>
      <c r="B28" t="s">
        <v>757</v>
      </c>
      <c r="C28" t="s">
        <v>722</v>
      </c>
      <c r="D28" t="s">
        <v>290</v>
      </c>
      <c r="E28" s="28">
        <v>880</v>
      </c>
      <c r="F28" s="13">
        <v>4316.4484000000002</v>
      </c>
      <c r="G28" s="14">
        <f t="shared" si="1"/>
        <v>3.3099999999999997E-2</v>
      </c>
      <c r="H28" s="15">
        <v>43222</v>
      </c>
      <c r="J28" s="14"/>
    </row>
    <row r="29" spans="1:11" ht="12.75" customHeight="1" x14ac:dyDescent="0.2">
      <c r="A29">
        <f>+MAX($A$7:A28)+1</f>
        <v>18</v>
      </c>
      <c r="B29" t="s">
        <v>760</v>
      </c>
      <c r="C29" t="s">
        <v>691</v>
      </c>
      <c r="D29" t="s">
        <v>326</v>
      </c>
      <c r="E29" s="28">
        <v>700</v>
      </c>
      <c r="F29" s="13">
        <v>3464.3314999999998</v>
      </c>
      <c r="G29" s="14">
        <f t="shared" si="1"/>
        <v>2.6599999999999999E-2</v>
      </c>
      <c r="H29" s="15">
        <v>43185</v>
      </c>
      <c r="J29" s="14"/>
    </row>
    <row r="30" spans="1:11" ht="12.75" customHeight="1" x14ac:dyDescent="0.2">
      <c r="A30">
        <f>+MAX($A$7:A29)+1</f>
        <v>19</v>
      </c>
      <c r="B30" t="s">
        <v>758</v>
      </c>
      <c r="C30" t="s">
        <v>662</v>
      </c>
      <c r="D30" t="s">
        <v>161</v>
      </c>
      <c r="E30" s="28">
        <v>500</v>
      </c>
      <c r="F30" s="13">
        <v>2490.4475000000002</v>
      </c>
      <c r="G30" s="14">
        <f t="shared" si="1"/>
        <v>1.9099999999999999E-2</v>
      </c>
      <c r="H30" s="15">
        <v>43153</v>
      </c>
      <c r="J30" s="14"/>
    </row>
    <row r="31" spans="1:11" ht="12.75" customHeight="1" x14ac:dyDescent="0.2">
      <c r="A31">
        <f>+MAX($A$7:A30)+1</f>
        <v>20</v>
      </c>
      <c r="B31" t="s">
        <v>761</v>
      </c>
      <c r="C31" t="s">
        <v>596</v>
      </c>
      <c r="D31" t="s">
        <v>578</v>
      </c>
      <c r="E31" s="28">
        <v>500</v>
      </c>
      <c r="F31" s="13">
        <v>2490.16</v>
      </c>
      <c r="G31" s="14">
        <f t="shared" si="1"/>
        <v>1.9099999999999999E-2</v>
      </c>
      <c r="H31" s="15">
        <v>43152</v>
      </c>
      <c r="J31" s="14"/>
    </row>
    <row r="32" spans="1:11" ht="12.75" customHeight="1" x14ac:dyDescent="0.2">
      <c r="A32">
        <f>+MAX($A$7:A31)+1</f>
        <v>21</v>
      </c>
      <c r="B32" t="s">
        <v>762</v>
      </c>
      <c r="C32" t="s">
        <v>663</v>
      </c>
      <c r="D32" t="s">
        <v>290</v>
      </c>
      <c r="E32" s="28">
        <v>500</v>
      </c>
      <c r="F32" s="13">
        <v>2486.8049999999998</v>
      </c>
      <c r="G32" s="14">
        <f t="shared" si="1"/>
        <v>1.9099999999999999E-2</v>
      </c>
      <c r="H32" s="15">
        <v>43158</v>
      </c>
      <c r="J32" s="14"/>
    </row>
    <row r="33" spans="1:10" ht="12.75" customHeight="1" x14ac:dyDescent="0.2">
      <c r="A33">
        <f>+MAX($A$7:A32)+1</f>
        <v>22</v>
      </c>
      <c r="B33" t="s">
        <v>763</v>
      </c>
      <c r="C33" t="s">
        <v>633</v>
      </c>
      <c r="D33" t="s">
        <v>567</v>
      </c>
      <c r="E33" s="28">
        <v>400</v>
      </c>
      <c r="F33" s="13">
        <v>1985.432</v>
      </c>
      <c r="G33" s="14">
        <f t="shared" si="1"/>
        <v>1.52E-2</v>
      </c>
      <c r="H33" s="15">
        <v>43158</v>
      </c>
      <c r="J33" s="14"/>
    </row>
    <row r="34" spans="1:10" ht="12.75" customHeight="1" x14ac:dyDescent="0.2">
      <c r="A34">
        <f>+MAX($A$7:A33)+1</f>
        <v>23</v>
      </c>
      <c r="B34" t="s">
        <v>753</v>
      </c>
      <c r="C34" t="s">
        <v>649</v>
      </c>
      <c r="D34" t="s">
        <v>290</v>
      </c>
      <c r="E34" s="28">
        <v>260</v>
      </c>
      <c r="F34" s="13">
        <v>1296.4549</v>
      </c>
      <c r="G34" s="14">
        <f t="shared" si="1"/>
        <v>9.9000000000000008E-3</v>
      </c>
      <c r="H34" s="15">
        <v>43145</v>
      </c>
      <c r="J34" s="14"/>
    </row>
    <row r="35" spans="1:10" ht="12.75" customHeight="1" x14ac:dyDescent="0.2">
      <c r="A35">
        <f>+MAX($A$7:A34)+1</f>
        <v>24</v>
      </c>
      <c r="B35" t="s">
        <v>755</v>
      </c>
      <c r="C35" t="s">
        <v>664</v>
      </c>
      <c r="D35" t="s">
        <v>161</v>
      </c>
      <c r="E35" s="28">
        <v>100</v>
      </c>
      <c r="F35" s="13">
        <v>499.20650000000001</v>
      </c>
      <c r="G35" s="14">
        <f t="shared" ref="G35:G37" si="2">+ROUND(F35/VLOOKUP("Grand Total",$B$4:$F$274,5,0),4)</f>
        <v>3.8E-3</v>
      </c>
      <c r="H35" s="15">
        <v>43140</v>
      </c>
      <c r="J35" s="14"/>
    </row>
    <row r="36" spans="1:10" ht="12.75" customHeight="1" x14ac:dyDescent="0.2">
      <c r="A36">
        <f>+MAX($A$7:A35)+1</f>
        <v>25</v>
      </c>
      <c r="B36" t="s">
        <v>764</v>
      </c>
      <c r="C36" t="s">
        <v>723</v>
      </c>
      <c r="D36" t="s">
        <v>161</v>
      </c>
      <c r="E36" s="28">
        <v>100</v>
      </c>
      <c r="F36" s="13">
        <v>497.78399999999999</v>
      </c>
      <c r="G36" s="14">
        <f t="shared" si="2"/>
        <v>3.8E-3</v>
      </c>
      <c r="H36" s="15">
        <v>43158</v>
      </c>
      <c r="J36" s="14"/>
    </row>
    <row r="37" spans="1:10" ht="12.75" customHeight="1" x14ac:dyDescent="0.2">
      <c r="A37">
        <f>+MAX($A$7:A36)+1</f>
        <v>26</v>
      </c>
      <c r="B37" t="s">
        <v>765</v>
      </c>
      <c r="C37" t="s">
        <v>665</v>
      </c>
      <c r="D37" t="s">
        <v>161</v>
      </c>
      <c r="E37" s="28">
        <v>32</v>
      </c>
      <c r="F37" s="13">
        <v>160</v>
      </c>
      <c r="G37" s="14">
        <f t="shared" si="2"/>
        <v>1.1999999999999999E-3</v>
      </c>
      <c r="H37" s="15">
        <v>43132</v>
      </c>
      <c r="J37" s="14"/>
    </row>
    <row r="38" spans="1:10" ht="12.75" customHeight="1" x14ac:dyDescent="0.2">
      <c r="B38" s="18" t="s">
        <v>85</v>
      </c>
      <c r="C38" s="18"/>
      <c r="D38" s="18"/>
      <c r="E38" s="29"/>
      <c r="F38" s="19">
        <f>SUM(F15:F37)</f>
        <v>93642.306299999997</v>
      </c>
      <c r="G38" s="20">
        <f>SUM(G15:G37)</f>
        <v>0.7177</v>
      </c>
      <c r="H38" s="21"/>
    </row>
    <row r="39" spans="1:10" ht="12.75" customHeight="1" x14ac:dyDescent="0.2">
      <c r="F39" s="13"/>
      <c r="G39" s="14"/>
      <c r="H39" s="15"/>
    </row>
    <row r="40" spans="1:10" ht="12.75" customHeight="1" x14ac:dyDescent="0.2">
      <c r="B40" s="16" t="s">
        <v>168</v>
      </c>
      <c r="C40" s="16"/>
      <c r="F40" s="13"/>
      <c r="G40" s="14"/>
      <c r="H40" s="15"/>
    </row>
    <row r="41" spans="1:10" ht="12.75" customHeight="1" x14ac:dyDescent="0.2">
      <c r="A41">
        <f>+MAX($A$7:A40)+1</f>
        <v>27</v>
      </c>
      <c r="B41" s="1" t="s">
        <v>581</v>
      </c>
      <c r="C41" t="s">
        <v>666</v>
      </c>
      <c r="D41" t="s">
        <v>403</v>
      </c>
      <c r="E41" s="28">
        <v>8000000</v>
      </c>
      <c r="F41" s="13">
        <v>7943.9520000000002</v>
      </c>
      <c r="G41" s="14">
        <f>+ROUND(F41/VLOOKUP("Grand Total",$B$4:$F$274,5,0),4)</f>
        <v>6.0900000000000003E-2</v>
      </c>
      <c r="H41" s="15">
        <v>43174</v>
      </c>
    </row>
    <row r="42" spans="1:10" ht="12.75" customHeight="1" x14ac:dyDescent="0.2">
      <c r="A42">
        <f>+MAX($A$7:A41)+1</f>
        <v>28</v>
      </c>
      <c r="B42" s="1" t="s">
        <v>581</v>
      </c>
      <c r="C42" t="s">
        <v>667</v>
      </c>
      <c r="D42" t="s">
        <v>403</v>
      </c>
      <c r="E42" s="28">
        <v>2001100</v>
      </c>
      <c r="F42" s="13">
        <v>1989.4916188999998</v>
      </c>
      <c r="G42" s="14">
        <f>+ROUND(F42/VLOOKUP("Grand Total",$B$4:$F$274,5,0),4)</f>
        <v>1.52E-2</v>
      </c>
      <c r="H42" s="15">
        <v>43167</v>
      </c>
    </row>
    <row r="43" spans="1:10" ht="12.75" customHeight="1" x14ac:dyDescent="0.2">
      <c r="B43" s="18" t="s">
        <v>85</v>
      </c>
      <c r="C43" s="18"/>
      <c r="D43" s="18"/>
      <c r="E43" s="29"/>
      <c r="F43" s="19">
        <f>SUM(F41:F42)</f>
        <v>9933.4436189000007</v>
      </c>
      <c r="G43" s="20">
        <f>SUM(G41:G42)</f>
        <v>7.6100000000000001E-2</v>
      </c>
      <c r="H43" s="21"/>
      <c r="I43" s="82"/>
    </row>
    <row r="44" spans="1:10" ht="12.75" customHeight="1" x14ac:dyDescent="0.2">
      <c r="F44" s="13"/>
      <c r="G44" s="14"/>
      <c r="H44" s="15"/>
    </row>
    <row r="45" spans="1:10" ht="12.75" customHeight="1" x14ac:dyDescent="0.2">
      <c r="A45" s="95" t="s">
        <v>370</v>
      </c>
      <c r="B45" s="16" t="s">
        <v>93</v>
      </c>
      <c r="C45" s="16"/>
      <c r="F45" s="13">
        <v>11832.116830000001</v>
      </c>
      <c r="G45" s="14">
        <f>+ROUND(F45/VLOOKUP("Grand Total",$B$4:$F$274,5,0),4)</f>
        <v>9.0700000000000003E-2</v>
      </c>
      <c r="H45" s="15">
        <v>43132</v>
      </c>
    </row>
    <row r="46" spans="1:10" ht="12.75" customHeight="1" x14ac:dyDescent="0.2">
      <c r="B46" s="18" t="s">
        <v>85</v>
      </c>
      <c r="C46" s="18"/>
      <c r="D46" s="18"/>
      <c r="E46" s="29"/>
      <c r="F46" s="19">
        <f>SUM(F45)</f>
        <v>11832.116830000001</v>
      </c>
      <c r="G46" s="20">
        <f>SUM(G45)</f>
        <v>9.0700000000000003E-2</v>
      </c>
      <c r="H46" s="21"/>
      <c r="I46" s="82"/>
    </row>
    <row r="47" spans="1:10" ht="12.75" customHeight="1" x14ac:dyDescent="0.2">
      <c r="F47" s="13"/>
      <c r="G47" s="14"/>
      <c r="H47" s="15"/>
    </row>
    <row r="48" spans="1:10" ht="12.75" customHeight="1" x14ac:dyDescent="0.2">
      <c r="B48" s="16" t="s">
        <v>94</v>
      </c>
      <c r="C48" s="16"/>
      <c r="F48" s="13"/>
      <c r="G48" s="14"/>
      <c r="H48" s="15"/>
    </row>
    <row r="49" spans="2:9" ht="12.75" customHeight="1" x14ac:dyDescent="0.2">
      <c r="B49" s="16" t="s">
        <v>95</v>
      </c>
      <c r="C49" s="16"/>
      <c r="F49" s="13">
        <v>142.82119670000975</v>
      </c>
      <c r="G49" s="14">
        <f>+ROUND(F49/VLOOKUP("Grand Total",$B$4:$F$274,5,0),4)+0.01%</f>
        <v>1.2000000000000001E-3</v>
      </c>
      <c r="H49" s="15"/>
    </row>
    <row r="50" spans="2:9" ht="12.75" customHeight="1" x14ac:dyDescent="0.2">
      <c r="B50" s="18" t="s">
        <v>85</v>
      </c>
      <c r="C50" s="18"/>
      <c r="D50" s="18"/>
      <c r="E50" s="29"/>
      <c r="F50" s="19">
        <f>SUM(F49:F49)</f>
        <v>142.82119670000975</v>
      </c>
      <c r="G50" s="20">
        <f>SUM(G49:G49)</f>
        <v>1.2000000000000001E-3</v>
      </c>
      <c r="H50" s="21"/>
      <c r="I50" s="82"/>
    </row>
    <row r="51" spans="2:9" ht="12.75" customHeight="1" x14ac:dyDescent="0.2">
      <c r="B51" s="22" t="s">
        <v>96</v>
      </c>
      <c r="C51" s="22"/>
      <c r="D51" s="22"/>
      <c r="E51" s="30"/>
      <c r="F51" s="23">
        <f>+SUMIF($B$5:B50,"Total",$F$5:F50)</f>
        <v>130460.0129456</v>
      </c>
      <c r="G51" s="24">
        <f>+SUMIF($B$5:B50,"Total",$G$5:G50)</f>
        <v>1.0000000000000002</v>
      </c>
      <c r="H51" s="25"/>
      <c r="I51" s="82"/>
    </row>
    <row r="52" spans="2:9" ht="12.75" customHeight="1" x14ac:dyDescent="0.2"/>
    <row r="53" spans="2:9" ht="12.75" customHeight="1" x14ac:dyDescent="0.2">
      <c r="B53" s="16" t="s">
        <v>671</v>
      </c>
      <c r="C53" s="16"/>
    </row>
    <row r="54" spans="2:9" ht="12.75" customHeight="1" x14ac:dyDescent="0.2">
      <c r="B54" s="16" t="s">
        <v>186</v>
      </c>
      <c r="C54" s="16"/>
    </row>
    <row r="55" spans="2:9" ht="12.75" customHeight="1" x14ac:dyDescent="0.2">
      <c r="B55" s="16" t="s">
        <v>766</v>
      </c>
      <c r="C55" s="16"/>
    </row>
    <row r="56" spans="2:9" ht="12.75" customHeight="1" x14ac:dyDescent="0.2">
      <c r="B56" s="16"/>
      <c r="C56" s="16"/>
      <c r="F56" s="43"/>
      <c r="G56" s="43"/>
    </row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</sheetData>
  <sheetProtection password="EDB3" sheet="1" objects="1" scenarios="1"/>
  <sortState ref="J8:K15">
    <sortCondition descending="1" ref="K10:K17"/>
  </sortState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60"/>
  <sheetViews>
    <sheetView workbookViewId="0"/>
  </sheetViews>
  <sheetFormatPr defaultColWidth="9.140625" defaultRowHeight="12.75" x14ac:dyDescent="0.2"/>
  <cols>
    <col min="1" max="1" width="6.42578125" style="65" bestFit="1" customWidth="1"/>
    <col min="2" max="2" width="52.42578125" style="65" customWidth="1"/>
    <col min="3" max="3" width="14" style="65" bestFit="1" customWidth="1"/>
    <col min="4" max="4" width="14.85546875" style="65" bestFit="1" customWidth="1"/>
    <col min="5" max="5" width="11" style="85" customWidth="1"/>
    <col min="6" max="6" width="22.7109375" style="65" bestFit="1" customWidth="1"/>
    <col min="7" max="7" width="14" style="65" bestFit="1" customWidth="1"/>
    <col min="8" max="8" width="11.85546875" style="65" bestFit="1" customWidth="1"/>
    <col min="9" max="9" width="15" style="99" customWidth="1"/>
    <col min="10" max="10" width="16.28515625" style="65" bestFit="1" customWidth="1"/>
    <col min="11" max="11" width="8" style="84" customWidth="1"/>
    <col min="12" max="16384" width="9.140625" style="65"/>
  </cols>
  <sheetData>
    <row r="1" spans="1:16" ht="18.75" x14ac:dyDescent="0.2">
      <c r="A1" s="109" t="s">
        <v>388</v>
      </c>
      <c r="B1" s="127" t="s">
        <v>474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110"/>
      <c r="D2" s="111"/>
      <c r="E2" s="112"/>
      <c r="F2" s="113"/>
      <c r="G2" s="114"/>
      <c r="H2" s="114"/>
    </row>
    <row r="3" spans="1:16" ht="15.75" customHeight="1" x14ac:dyDescent="0.2">
      <c r="A3" s="115"/>
      <c r="B3" s="116"/>
      <c r="C3" s="116"/>
      <c r="D3" s="117"/>
      <c r="E3" s="112"/>
      <c r="F3" s="113"/>
      <c r="G3" s="114"/>
      <c r="H3" s="114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118"/>
    </row>
    <row r="5" spans="1:16" ht="12.75" customHeight="1" x14ac:dyDescent="0.2">
      <c r="F5" s="86"/>
      <c r="G5" s="90"/>
      <c r="H5" s="89"/>
    </row>
    <row r="6" spans="1:16" ht="12.75" customHeight="1" x14ac:dyDescent="0.2">
      <c r="F6" s="86"/>
      <c r="G6" s="90"/>
      <c r="H6" s="89"/>
    </row>
    <row r="7" spans="1:16" ht="12.75" customHeight="1" x14ac:dyDescent="0.2">
      <c r="B7" s="16" t="s">
        <v>91</v>
      </c>
      <c r="C7" s="16"/>
      <c r="F7" s="86"/>
      <c r="G7" s="90"/>
      <c r="H7" s="89"/>
    </row>
    <row r="8" spans="1:16" ht="12.75" customHeight="1" x14ac:dyDescent="0.2">
      <c r="B8" s="16" t="s">
        <v>726</v>
      </c>
      <c r="F8" s="86"/>
      <c r="G8" s="90"/>
      <c r="H8" s="89"/>
      <c r="J8" s="17" t="s">
        <v>4</v>
      </c>
      <c r="K8" s="37" t="s">
        <v>12</v>
      </c>
    </row>
    <row r="9" spans="1:16" ht="12.75" customHeight="1" x14ac:dyDescent="0.2">
      <c r="A9" s="65">
        <f>+MAX($A$7:A8)+1</f>
        <v>1</v>
      </c>
      <c r="B9" s="65" t="s">
        <v>686</v>
      </c>
      <c r="C9" s="65" t="s">
        <v>632</v>
      </c>
      <c r="D9" s="65" t="s">
        <v>161</v>
      </c>
      <c r="E9" s="85">
        <v>490</v>
      </c>
      <c r="F9" s="86">
        <v>460.52012999999999</v>
      </c>
      <c r="G9" s="90">
        <f>+ROUND(F9/VLOOKUP("Grand Total",$B$4:$F$297,5,0),4)</f>
        <v>6.7799999999999999E-2</v>
      </c>
      <c r="H9" s="89">
        <v>43445</v>
      </c>
      <c r="J9" s="90" t="s">
        <v>290</v>
      </c>
      <c r="K9" s="103">
        <f t="shared" ref="K9:K14" si="0">SUMIFS($G$5:$G$317,$D$5:$D$317,J9)</f>
        <v>0.36080000000000001</v>
      </c>
    </row>
    <row r="10" spans="1:16" ht="12.75" customHeight="1" x14ac:dyDescent="0.2">
      <c r="B10" s="18" t="s">
        <v>85</v>
      </c>
      <c r="C10" s="18"/>
      <c r="D10" s="18"/>
      <c r="E10" s="29"/>
      <c r="F10" s="19">
        <f>SUM(F9:F9)</f>
        <v>460.52012999999999</v>
      </c>
      <c r="G10" s="20">
        <f>SUM(G9:G9)</f>
        <v>6.7799999999999999E-2</v>
      </c>
      <c r="H10" s="21"/>
      <c r="I10" s="82"/>
      <c r="J10" s="65" t="s">
        <v>161</v>
      </c>
      <c r="K10" s="103">
        <f t="shared" si="0"/>
        <v>0.24359999999999998</v>
      </c>
    </row>
    <row r="11" spans="1:16" ht="12.75" customHeight="1" x14ac:dyDescent="0.2">
      <c r="B11" s="16"/>
      <c r="C11" s="16"/>
      <c r="F11" s="86"/>
      <c r="G11" s="90"/>
      <c r="H11" s="89"/>
      <c r="J11" s="14" t="s">
        <v>578</v>
      </c>
      <c r="K11" s="103">
        <f t="shared" si="0"/>
        <v>0.1237</v>
      </c>
      <c r="L11" s="84"/>
      <c r="M11" s="90"/>
    </row>
    <row r="12" spans="1:16" ht="12.75" customHeight="1" x14ac:dyDescent="0.2">
      <c r="B12" s="16" t="s">
        <v>306</v>
      </c>
      <c r="C12" s="16"/>
      <c r="F12" s="86"/>
      <c r="G12" s="90"/>
      <c r="H12" s="89"/>
      <c r="J12" s="14" t="s">
        <v>567</v>
      </c>
      <c r="K12" s="103">
        <f t="shared" si="0"/>
        <v>9.4899999999999998E-2</v>
      </c>
      <c r="L12" s="84"/>
      <c r="M12" s="90"/>
    </row>
    <row r="13" spans="1:16" ht="12.75" customHeight="1" x14ac:dyDescent="0.2">
      <c r="A13" s="65">
        <f>+MAX($A$7:A12)+1</f>
        <v>2</v>
      </c>
      <c r="B13" s="65" t="s">
        <v>202</v>
      </c>
      <c r="C13" s="65" t="s">
        <v>537</v>
      </c>
      <c r="D13" s="65" t="s">
        <v>290</v>
      </c>
      <c r="E13" s="119">
        <v>140</v>
      </c>
      <c r="F13" s="91">
        <v>680.09550000000002</v>
      </c>
      <c r="G13" s="90">
        <f t="shared" ref="G13:G21" si="1">+ROUND(F13/VLOOKUP("Grand Total",$B$4:$F$297,5,0),4)</f>
        <v>0.1002</v>
      </c>
      <c r="H13" s="89">
        <v>43269</v>
      </c>
      <c r="J13" s="90" t="s">
        <v>326</v>
      </c>
      <c r="K13" s="103">
        <f t="shared" si="0"/>
        <v>7.2900000000000006E-2</v>
      </c>
      <c r="L13" s="84"/>
      <c r="M13" s="90"/>
    </row>
    <row r="14" spans="1:16" ht="12.75" customHeight="1" x14ac:dyDescent="0.2">
      <c r="A14" s="65">
        <f>+MAX($A$7:A13)+1</f>
        <v>3</v>
      </c>
      <c r="B14" s="120" t="s">
        <v>512</v>
      </c>
      <c r="C14" s="65" t="s">
        <v>649</v>
      </c>
      <c r="D14" s="65" t="s">
        <v>290</v>
      </c>
      <c r="E14" s="119">
        <v>120</v>
      </c>
      <c r="F14" s="91">
        <v>598.36379999999997</v>
      </c>
      <c r="G14" s="90">
        <f t="shared" si="1"/>
        <v>8.8200000000000001E-2</v>
      </c>
      <c r="H14" s="89">
        <v>43145</v>
      </c>
      <c r="J14" s="14" t="s">
        <v>403</v>
      </c>
      <c r="K14" s="103">
        <f t="shared" si="0"/>
        <v>4.4000000000000003E-3</v>
      </c>
      <c r="L14" s="78"/>
      <c r="M14" s="90"/>
      <c r="N14" s="84"/>
      <c r="P14" s="90"/>
    </row>
    <row r="15" spans="1:16" ht="12.75" customHeight="1" x14ac:dyDescent="0.2">
      <c r="A15" s="65">
        <f>+MAX($A$7:A14)+1</f>
        <v>4</v>
      </c>
      <c r="B15" s="120" t="s">
        <v>717</v>
      </c>
      <c r="C15" s="65" t="s">
        <v>722</v>
      </c>
      <c r="D15" s="65" t="s">
        <v>290</v>
      </c>
      <c r="E15" s="119">
        <v>120</v>
      </c>
      <c r="F15" s="91">
        <v>588.60659999999996</v>
      </c>
      <c r="G15" s="90">
        <f t="shared" si="1"/>
        <v>8.6699999999999999E-2</v>
      </c>
      <c r="H15" s="89">
        <v>43222</v>
      </c>
      <c r="J15" s="14" t="s">
        <v>64</v>
      </c>
      <c r="K15" s="48">
        <f>+SUMIFS($G$5:$G$997,$B$5:$B$997,"CBLO / Reverse Repo Investments")+SUMIFS($G$5:$G$997,$B$5:$B$997,"Net Receivable/Payable")</f>
        <v>9.9700000000000011E-2</v>
      </c>
      <c r="L15" s="78"/>
      <c r="M15" s="90"/>
      <c r="N15" s="84"/>
      <c r="P15" s="90"/>
    </row>
    <row r="16" spans="1:16" ht="12.75" customHeight="1" x14ac:dyDescent="0.2">
      <c r="A16" s="65">
        <f>+MAX($A$7:A15)+1</f>
        <v>5</v>
      </c>
      <c r="B16" s="120" t="s">
        <v>579</v>
      </c>
      <c r="C16" s="65" t="s">
        <v>580</v>
      </c>
      <c r="D16" s="65" t="s">
        <v>290</v>
      </c>
      <c r="E16" s="119">
        <v>120</v>
      </c>
      <c r="F16" s="91">
        <v>582.02639999999997</v>
      </c>
      <c r="G16" s="90">
        <f t="shared" si="1"/>
        <v>8.5699999999999998E-2</v>
      </c>
      <c r="H16" s="89">
        <v>43265</v>
      </c>
      <c r="L16" s="78"/>
      <c r="M16" s="90"/>
      <c r="N16" s="84"/>
      <c r="P16" s="90"/>
    </row>
    <row r="17" spans="1:16" ht="12.75" customHeight="1" x14ac:dyDescent="0.2">
      <c r="A17" s="65">
        <f>+MAX($A$7:A16)+1</f>
        <v>6</v>
      </c>
      <c r="B17" s="120" t="s">
        <v>291</v>
      </c>
      <c r="C17" s="65" t="s">
        <v>563</v>
      </c>
      <c r="D17" s="65" t="s">
        <v>578</v>
      </c>
      <c r="E17" s="119">
        <v>118</v>
      </c>
      <c r="F17" s="91">
        <v>559.95129999999995</v>
      </c>
      <c r="G17" s="90">
        <f t="shared" si="1"/>
        <v>8.2500000000000004E-2</v>
      </c>
      <c r="H17" s="89">
        <v>43350</v>
      </c>
      <c r="L17" s="78"/>
      <c r="M17" s="90"/>
      <c r="N17" s="84"/>
      <c r="P17" s="90"/>
    </row>
    <row r="18" spans="1:16" ht="12.75" customHeight="1" x14ac:dyDescent="0.2">
      <c r="A18" s="65">
        <f>+MAX($A$7:A17)+1</f>
        <v>7</v>
      </c>
      <c r="B18" s="120" t="s">
        <v>566</v>
      </c>
      <c r="C18" s="65" t="s">
        <v>633</v>
      </c>
      <c r="D18" s="65" t="s">
        <v>567</v>
      </c>
      <c r="E18" s="119">
        <v>100</v>
      </c>
      <c r="F18" s="91">
        <v>496.358</v>
      </c>
      <c r="G18" s="90">
        <f t="shared" si="1"/>
        <v>7.3099999999999998E-2</v>
      </c>
      <c r="H18" s="89">
        <v>43158</v>
      </c>
      <c r="L18" s="78"/>
      <c r="M18" s="90"/>
      <c r="N18" s="84"/>
      <c r="P18" s="90"/>
    </row>
    <row r="19" spans="1:16" ht="12.75" customHeight="1" x14ac:dyDescent="0.2">
      <c r="A19" s="65">
        <f>+MAX($A$7:A18)+1</f>
        <v>8</v>
      </c>
      <c r="B19" s="120" t="s">
        <v>720</v>
      </c>
      <c r="C19" s="65" t="s">
        <v>721</v>
      </c>
      <c r="D19" s="65" t="s">
        <v>161</v>
      </c>
      <c r="E19" s="119">
        <v>100</v>
      </c>
      <c r="F19" s="91">
        <v>495.04750000000001</v>
      </c>
      <c r="G19" s="90">
        <f t="shared" si="1"/>
        <v>7.2900000000000006E-2</v>
      </c>
      <c r="H19" s="89">
        <v>43186</v>
      </c>
      <c r="L19" s="78"/>
      <c r="M19" s="90"/>
      <c r="N19" s="84"/>
      <c r="P19" s="90"/>
    </row>
    <row r="20" spans="1:16" ht="12.75" customHeight="1" x14ac:dyDescent="0.2">
      <c r="A20" s="65">
        <f>+MAX($A$7:A19)+1</f>
        <v>9</v>
      </c>
      <c r="B20" s="120" t="s">
        <v>690</v>
      </c>
      <c r="C20" s="65" t="s">
        <v>691</v>
      </c>
      <c r="D20" s="65" t="s">
        <v>326</v>
      </c>
      <c r="E20" s="119">
        <v>100</v>
      </c>
      <c r="F20" s="91">
        <v>494.90449999999998</v>
      </c>
      <c r="G20" s="90">
        <f t="shared" si="1"/>
        <v>7.2900000000000006E-2</v>
      </c>
      <c r="H20" s="89">
        <v>43185</v>
      </c>
      <c r="L20" s="78"/>
      <c r="M20" s="90"/>
      <c r="N20" s="84"/>
      <c r="P20" s="90"/>
    </row>
    <row r="21" spans="1:16" ht="12.75" customHeight="1" x14ac:dyDescent="0.2">
      <c r="A21" s="65">
        <f>+MAX($A$7:A20)+1</f>
        <v>10</v>
      </c>
      <c r="B21" s="120" t="s">
        <v>348</v>
      </c>
      <c r="C21" s="65" t="s">
        <v>538</v>
      </c>
      <c r="D21" s="65" t="s">
        <v>161</v>
      </c>
      <c r="E21" s="119">
        <v>82</v>
      </c>
      <c r="F21" s="91">
        <v>398.15674000000001</v>
      </c>
      <c r="G21" s="90">
        <f t="shared" si="1"/>
        <v>5.8700000000000002E-2</v>
      </c>
      <c r="H21" s="89">
        <v>43273</v>
      </c>
      <c r="L21" s="78"/>
      <c r="M21" s="90"/>
      <c r="N21" s="84"/>
      <c r="P21" s="90"/>
    </row>
    <row r="22" spans="1:16" ht="12.75" customHeight="1" x14ac:dyDescent="0.2">
      <c r="A22" s="65">
        <f>+MAX($A$7:A21)+1</f>
        <v>11</v>
      </c>
      <c r="B22" s="120" t="s">
        <v>452</v>
      </c>
      <c r="C22" s="65" t="s">
        <v>665</v>
      </c>
      <c r="D22" s="65" t="s">
        <v>161</v>
      </c>
      <c r="E22" s="119">
        <v>60</v>
      </c>
      <c r="F22" s="91">
        <v>300</v>
      </c>
      <c r="G22" s="90">
        <f t="shared" ref="G22:G24" si="2">+ROUND(F22/VLOOKUP("Grand Total",$B$4:$F$297,5,0),4)</f>
        <v>4.4200000000000003E-2</v>
      </c>
      <c r="H22" s="89">
        <v>43132</v>
      </c>
      <c r="L22" s="78"/>
      <c r="M22" s="90"/>
      <c r="N22" s="84"/>
      <c r="P22" s="90"/>
    </row>
    <row r="23" spans="1:16" ht="12.75" customHeight="1" x14ac:dyDescent="0.2">
      <c r="A23" s="65">
        <f>+MAX($A$7:A22)+1</f>
        <v>12</v>
      </c>
      <c r="B23" s="120" t="s">
        <v>291</v>
      </c>
      <c r="C23" s="65" t="s">
        <v>603</v>
      </c>
      <c r="D23" s="65" t="s">
        <v>578</v>
      </c>
      <c r="E23" s="119">
        <v>60</v>
      </c>
      <c r="F23" s="91">
        <v>279.39089999999999</v>
      </c>
      <c r="G23" s="90">
        <f t="shared" si="2"/>
        <v>4.1200000000000001E-2</v>
      </c>
      <c r="H23" s="89">
        <v>43430</v>
      </c>
      <c r="L23" s="78"/>
      <c r="M23" s="90"/>
      <c r="N23" s="84"/>
      <c r="P23" s="90"/>
    </row>
    <row r="24" spans="1:16" ht="12.75" customHeight="1" x14ac:dyDescent="0.2">
      <c r="A24" s="65">
        <f>+MAX($A$7:A23)+1</f>
        <v>13</v>
      </c>
      <c r="B24" s="120" t="s">
        <v>566</v>
      </c>
      <c r="C24" s="65" t="s">
        <v>687</v>
      </c>
      <c r="D24" s="65" t="s">
        <v>567</v>
      </c>
      <c r="E24" s="119">
        <v>30</v>
      </c>
      <c r="F24" s="91">
        <v>147.95535000000001</v>
      </c>
      <c r="G24" s="90">
        <f t="shared" si="2"/>
        <v>2.18E-2</v>
      </c>
      <c r="H24" s="89">
        <v>43181</v>
      </c>
      <c r="L24" s="78"/>
      <c r="M24" s="90"/>
      <c r="N24" s="84"/>
      <c r="P24" s="90"/>
    </row>
    <row r="25" spans="1:16" ht="12.75" customHeight="1" x14ac:dyDescent="0.2">
      <c r="B25" s="18" t="s">
        <v>85</v>
      </c>
      <c r="C25" s="18"/>
      <c r="D25" s="18"/>
      <c r="E25" s="29"/>
      <c r="F25" s="19">
        <f>SUM(F13:F24)</f>
        <v>5620.8565900000012</v>
      </c>
      <c r="G25" s="20">
        <f>SUM(G13:G24)</f>
        <v>0.82809999999999995</v>
      </c>
      <c r="H25" s="21"/>
      <c r="I25" s="82"/>
      <c r="J25" s="90"/>
      <c r="L25" s="78">
        <f>SUM(K10:K25)</f>
        <v>0.63919999999999988</v>
      </c>
    </row>
    <row r="26" spans="1:16" ht="12.75" customHeight="1" x14ac:dyDescent="0.2">
      <c r="F26" s="86"/>
      <c r="G26" s="90"/>
      <c r="H26" s="89"/>
    </row>
    <row r="27" spans="1:16" ht="12.75" customHeight="1" x14ac:dyDescent="0.2">
      <c r="B27" s="16" t="s">
        <v>168</v>
      </c>
      <c r="C27" s="16"/>
      <c r="F27" s="86"/>
      <c r="G27" s="90"/>
      <c r="H27" s="89"/>
    </row>
    <row r="28" spans="1:16" ht="12.75" customHeight="1" x14ac:dyDescent="0.2">
      <c r="A28" s="65">
        <f>+MAX($A$7:A27)+1</f>
        <v>14</v>
      </c>
      <c r="B28" s="65" t="s">
        <v>597</v>
      </c>
      <c r="C28" s="65" t="s">
        <v>598</v>
      </c>
      <c r="D28" s="65" t="s">
        <v>403</v>
      </c>
      <c r="E28" s="85">
        <v>30000</v>
      </c>
      <c r="F28" s="86">
        <v>29.800319999999999</v>
      </c>
      <c r="G28" s="90">
        <f>+ROUND(F28/VLOOKUP("Grand Total",$B$4:$F$297,5,0),4)</f>
        <v>4.4000000000000003E-3</v>
      </c>
      <c r="H28" s="89">
        <v>43172</v>
      </c>
    </row>
    <row r="29" spans="1:16" ht="12.75" customHeight="1" x14ac:dyDescent="0.2">
      <c r="B29" s="18" t="s">
        <v>85</v>
      </c>
      <c r="C29" s="18"/>
      <c r="D29" s="18"/>
      <c r="E29" s="29"/>
      <c r="F29" s="19">
        <f>SUM(F28:F28)</f>
        <v>29.800319999999999</v>
      </c>
      <c r="G29" s="20">
        <f>SUM(G28:G28)</f>
        <v>4.4000000000000003E-3</v>
      </c>
      <c r="H29" s="21"/>
      <c r="I29" s="82"/>
    </row>
    <row r="30" spans="1:16" ht="12.75" customHeight="1" x14ac:dyDescent="0.2">
      <c r="F30" s="86"/>
      <c r="G30" s="90"/>
      <c r="H30" s="89"/>
    </row>
    <row r="31" spans="1:16" ht="12.75" customHeight="1" x14ac:dyDescent="0.2">
      <c r="A31" s="95" t="s">
        <v>370</v>
      </c>
      <c r="B31" s="16" t="s">
        <v>93</v>
      </c>
      <c r="C31" s="16"/>
      <c r="F31" s="86">
        <v>678.42768000000001</v>
      </c>
      <c r="G31" s="90">
        <f>+ROUND(F31/VLOOKUP("Grand Total",$B$4:$F$297,5,0),4)</f>
        <v>0.1</v>
      </c>
      <c r="H31" s="89">
        <v>43132</v>
      </c>
    </row>
    <row r="32" spans="1:16" ht="12.75" customHeight="1" x14ac:dyDescent="0.2">
      <c r="B32" s="18" t="s">
        <v>85</v>
      </c>
      <c r="C32" s="18"/>
      <c r="D32" s="18"/>
      <c r="E32" s="29"/>
      <c r="F32" s="19">
        <f>SUM(F31)</f>
        <v>678.42768000000001</v>
      </c>
      <c r="G32" s="20">
        <f>SUM(G31)</f>
        <v>0.1</v>
      </c>
      <c r="H32" s="21"/>
      <c r="I32" s="82"/>
    </row>
    <row r="33" spans="2:9" ht="12.75" customHeight="1" x14ac:dyDescent="0.2">
      <c r="F33" s="86"/>
      <c r="G33" s="90"/>
      <c r="H33" s="89"/>
    </row>
    <row r="34" spans="2:9" ht="12.75" customHeight="1" x14ac:dyDescent="0.2">
      <c r="B34" s="16" t="s">
        <v>94</v>
      </c>
      <c r="C34" s="16"/>
      <c r="F34" s="86"/>
      <c r="G34" s="90"/>
      <c r="H34" s="89"/>
    </row>
    <row r="35" spans="2:9" ht="12.75" customHeight="1" x14ac:dyDescent="0.2">
      <c r="B35" s="16" t="s">
        <v>95</v>
      </c>
      <c r="C35" s="16"/>
      <c r="F35" s="86">
        <v>-2.0754345999994257</v>
      </c>
      <c r="G35" s="125">
        <f>+ROUND(F35/VLOOKUP("Grand Total",$B$4:$F$297,5,0),4)</f>
        <v>-2.9999999999999997E-4</v>
      </c>
      <c r="H35" s="89"/>
    </row>
    <row r="36" spans="2:9" ht="12.75" customHeight="1" x14ac:dyDescent="0.2">
      <c r="B36" s="18" t="s">
        <v>85</v>
      </c>
      <c r="C36" s="18"/>
      <c r="D36" s="18"/>
      <c r="E36" s="29"/>
      <c r="F36" s="19">
        <f>SUM(F35)</f>
        <v>-2.0754345999994257</v>
      </c>
      <c r="G36" s="126">
        <f>SUM(G35)</f>
        <v>-2.9999999999999997E-4</v>
      </c>
      <c r="H36" s="21"/>
      <c r="I36" s="82"/>
    </row>
    <row r="37" spans="2:9" ht="12.75" customHeight="1" x14ac:dyDescent="0.2">
      <c r="B37" s="22" t="s">
        <v>96</v>
      </c>
      <c r="C37" s="22"/>
      <c r="D37" s="22"/>
      <c r="E37" s="30"/>
      <c r="F37" s="23">
        <f>+SUMIF($B$5:B36,"Total",$F$5:F36)</f>
        <v>6787.5292854000018</v>
      </c>
      <c r="G37" s="24">
        <f>+SUMIF($B$5:B36,"Total",$G$5:G36)</f>
        <v>1</v>
      </c>
      <c r="H37" s="25"/>
      <c r="I37" s="82"/>
    </row>
    <row r="38" spans="2:9" ht="12.75" customHeight="1" x14ac:dyDescent="0.2"/>
    <row r="39" spans="2:9" ht="12.75" customHeight="1" x14ac:dyDescent="0.2">
      <c r="B39" s="16" t="s">
        <v>671</v>
      </c>
      <c r="C39" s="16"/>
    </row>
    <row r="40" spans="2:9" ht="12.75" customHeight="1" x14ac:dyDescent="0.2">
      <c r="B40" s="16" t="s">
        <v>186</v>
      </c>
      <c r="C40" s="16"/>
    </row>
    <row r="41" spans="2:9" ht="12.75" customHeight="1" x14ac:dyDescent="0.2">
      <c r="B41" s="16"/>
      <c r="C41" s="16"/>
    </row>
    <row r="42" spans="2:9" ht="12.75" customHeight="1" x14ac:dyDescent="0.2">
      <c r="B42" s="16"/>
      <c r="C42" s="16"/>
    </row>
    <row r="43" spans="2:9" ht="12.75" customHeight="1" x14ac:dyDescent="0.2">
      <c r="B43" s="16"/>
      <c r="C43" s="16"/>
    </row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</sheetData>
  <sheetProtection password="EDB3" sheet="1" objects="1" scenarios="1"/>
  <sortState ref="J8:K14">
    <sortCondition descending="1" ref="K12:K18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389</v>
      </c>
      <c r="B1" s="127" t="s">
        <v>492</v>
      </c>
      <c r="C1" s="128"/>
      <c r="D1" s="128"/>
      <c r="E1" s="128"/>
      <c r="F1" s="128"/>
      <c r="G1" s="128"/>
      <c r="H1" s="129"/>
    </row>
    <row r="2" spans="1:12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92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456</v>
      </c>
      <c r="C8" t="s">
        <v>299</v>
      </c>
      <c r="D8" t="s">
        <v>319</v>
      </c>
      <c r="E8" s="28">
        <v>155207.6642</v>
      </c>
      <c r="F8" s="13">
        <v>48.466386900000003</v>
      </c>
      <c r="G8" s="14">
        <f>+ROUND(F8/VLOOKUP("Grand Total",$B$4:$F$298,5,0),4)</f>
        <v>0.40920000000000001</v>
      </c>
      <c r="H8" s="15" t="s">
        <v>371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457</v>
      </c>
      <c r="C9" t="s">
        <v>300</v>
      </c>
      <c r="D9" t="s">
        <v>319</v>
      </c>
      <c r="E9" s="28">
        <v>60234.227500000001</v>
      </c>
      <c r="F9" s="13">
        <v>39.567864</v>
      </c>
      <c r="G9" s="14">
        <f>+ROUND(F9/VLOOKUP("Grand Total",$B$4:$F$298,5,0),4)</f>
        <v>0.33410000000000001</v>
      </c>
      <c r="H9" s="15" t="s">
        <v>371</v>
      </c>
      <c r="J9" s="14" t="s">
        <v>319</v>
      </c>
      <c r="K9" s="48">
        <f>SUMIFS($G$5:$G$321,$D$5:$D$321,J9)</f>
        <v>1.0414000000000001</v>
      </c>
    </row>
    <row r="10" spans="1:12" ht="12.75" customHeight="1" x14ac:dyDescent="0.2">
      <c r="A10">
        <f>+MAX($A$7:A9)+1</f>
        <v>3</v>
      </c>
      <c r="B10" t="s">
        <v>335</v>
      </c>
      <c r="C10" t="s">
        <v>301</v>
      </c>
      <c r="D10" t="s">
        <v>319</v>
      </c>
      <c r="E10" s="28">
        <v>743.07180000000005</v>
      </c>
      <c r="F10" s="13">
        <v>20.940909900000001</v>
      </c>
      <c r="G10" s="14">
        <f>+ROUND(F10/VLOOKUP("Grand Total",$B$4:$F$298,5,0),4)</f>
        <v>0.17680000000000001</v>
      </c>
      <c r="H10" s="15" t="s">
        <v>371</v>
      </c>
      <c r="J10" s="14" t="s">
        <v>64</v>
      </c>
      <c r="K10" s="48">
        <f>+SUMIFS($G$5:$G$997,$B$5:$B$997,"CBLO / Reverse Repo Investments")+SUMIFS($G$5:$G$997,$B$5:$B$997,"Net Receivable/Payable")</f>
        <v>-4.1399999999999999E-2</v>
      </c>
    </row>
    <row r="11" spans="1:12" ht="12.75" customHeight="1" x14ac:dyDescent="0.2">
      <c r="A11">
        <f>+MAX($A$7:A10)+1</f>
        <v>4</v>
      </c>
      <c r="B11" t="s">
        <v>303</v>
      </c>
      <c r="C11" t="s">
        <v>302</v>
      </c>
      <c r="D11" t="s">
        <v>319</v>
      </c>
      <c r="E11" s="28">
        <v>12307.9326</v>
      </c>
      <c r="F11" s="13">
        <v>14.3621266</v>
      </c>
      <c r="G11" s="14">
        <f>+ROUND(F11/VLOOKUP("Grand Total",$B$4:$F$298,5,0),4)</f>
        <v>0.12130000000000001</v>
      </c>
      <c r="H11" s="15" t="s">
        <v>371</v>
      </c>
    </row>
    <row r="12" spans="1:12" ht="12.75" customHeight="1" x14ac:dyDescent="0.2">
      <c r="B12" s="18" t="s">
        <v>85</v>
      </c>
      <c r="C12" s="18"/>
      <c r="D12" s="18"/>
      <c r="E12" s="29"/>
      <c r="F12" s="19">
        <f>SUM(F8:F11)</f>
        <v>123.33728739999999</v>
      </c>
      <c r="G12" s="20">
        <f>SUM(G8:G11)</f>
        <v>1.0414000000000001</v>
      </c>
      <c r="H12" s="21"/>
      <c r="I12" s="35"/>
      <c r="L12" s="54">
        <f>+SUM($K$9:K9)</f>
        <v>1.0414000000000001</v>
      </c>
    </row>
    <row r="13" spans="1:12" ht="12.75" hidden="1" customHeight="1" x14ac:dyDescent="0.2">
      <c r="F13" s="13"/>
      <c r="G13" s="14"/>
      <c r="H13" s="15"/>
    </row>
    <row r="14" spans="1:12" ht="12.75" hidden="1" customHeight="1" x14ac:dyDescent="0.2">
      <c r="B14" s="16" t="s">
        <v>93</v>
      </c>
      <c r="C14" s="16"/>
      <c r="F14" s="13"/>
      <c r="G14" s="14">
        <f>+ROUND(F14/VLOOKUP("Grand Total",$B$4:$F$294,5,0),4)</f>
        <v>0</v>
      </c>
      <c r="H14" s="15"/>
    </row>
    <row r="15" spans="1:12" ht="12.75" hidden="1" customHeight="1" x14ac:dyDescent="0.2">
      <c r="B15" s="18" t="s">
        <v>85</v>
      </c>
      <c r="C15" s="18"/>
      <c r="D15" s="18"/>
      <c r="E15" s="29"/>
      <c r="F15" s="19">
        <f>SUM(F14:F14)</f>
        <v>0</v>
      </c>
      <c r="G15" s="20">
        <f>SUM(G14:G14)</f>
        <v>0</v>
      </c>
      <c r="H15" s="21"/>
      <c r="I15" s="35"/>
    </row>
    <row r="16" spans="1:12" ht="12.75" customHeight="1" x14ac:dyDescent="0.2">
      <c r="F16" s="13"/>
      <c r="G16" s="14"/>
      <c r="H16" s="15"/>
    </row>
    <row r="17" spans="1:9" ht="12.75" customHeight="1" x14ac:dyDescent="0.2">
      <c r="A17" s="95" t="s">
        <v>370</v>
      </c>
      <c r="B17" s="16" t="s">
        <v>93</v>
      </c>
      <c r="C17" s="16"/>
      <c r="F17" s="13">
        <v>0.39901999999999999</v>
      </c>
      <c r="G17" s="14">
        <f>+ROUND(F17/VLOOKUP("Grand Total",$B$4:$F$292,5,0),4)</f>
        <v>3.3999999999999998E-3</v>
      </c>
      <c r="H17" s="15">
        <v>43132</v>
      </c>
    </row>
    <row r="18" spans="1:9" ht="12.75" customHeight="1" x14ac:dyDescent="0.2">
      <c r="B18" s="18" t="s">
        <v>85</v>
      </c>
      <c r="C18" s="18"/>
      <c r="D18" s="18"/>
      <c r="E18" s="29"/>
      <c r="F18" s="19">
        <f>SUM(F17)</f>
        <v>0.39901999999999999</v>
      </c>
      <c r="G18" s="20">
        <f>SUM(G17)</f>
        <v>3.3999999999999998E-3</v>
      </c>
      <c r="H18" s="21"/>
      <c r="I18" s="35"/>
    </row>
    <row r="19" spans="1:9" ht="12.75" customHeight="1" x14ac:dyDescent="0.2">
      <c r="F19" s="13"/>
      <c r="G19" s="14"/>
      <c r="H19" s="15"/>
    </row>
    <row r="20" spans="1:9" ht="12.75" customHeight="1" x14ac:dyDescent="0.2">
      <c r="B20" s="16" t="s">
        <v>94</v>
      </c>
      <c r="C20" s="16"/>
      <c r="F20" s="13"/>
      <c r="G20" s="14"/>
      <c r="H20" s="15"/>
    </row>
    <row r="21" spans="1:9" ht="12.75" customHeight="1" x14ac:dyDescent="0.2">
      <c r="B21" s="16" t="s">
        <v>95</v>
      </c>
      <c r="C21" s="16"/>
      <c r="F21" s="43">
        <v>-5.3051314000000218</v>
      </c>
      <c r="G21" s="125">
        <f>+ROUND(F21/VLOOKUP("Grand Total",$B$4:$F$298,5,0),4)</f>
        <v>-4.48E-2</v>
      </c>
      <c r="H21" s="15"/>
    </row>
    <row r="22" spans="1:9" ht="12.75" customHeight="1" x14ac:dyDescent="0.2">
      <c r="B22" s="18" t="s">
        <v>85</v>
      </c>
      <c r="C22" s="18"/>
      <c r="D22" s="18"/>
      <c r="E22" s="29"/>
      <c r="F22" s="50">
        <f>SUM(F21)</f>
        <v>-5.3051314000000218</v>
      </c>
      <c r="G22" s="126">
        <f>SUM(G21)</f>
        <v>-4.48E-2</v>
      </c>
      <c r="H22" s="21"/>
      <c r="I22" s="35"/>
    </row>
    <row r="23" spans="1:9" ht="12.75" customHeight="1" x14ac:dyDescent="0.2">
      <c r="B23" s="22" t="s">
        <v>96</v>
      </c>
      <c r="C23" s="22"/>
      <c r="D23" s="22"/>
      <c r="E23" s="30"/>
      <c r="F23" s="23">
        <f>+SUMIF($B$5:B22,"Total",$F$5:F22)</f>
        <v>118.43117599999997</v>
      </c>
      <c r="G23" s="24">
        <f>+SUMIF($B$5:B22,"Total",$G$5:G22)</f>
        <v>1.0000000000000002</v>
      </c>
      <c r="H23" s="25"/>
      <c r="I23" s="35"/>
    </row>
    <row r="24" spans="1:9" ht="12.75" customHeight="1" x14ac:dyDescent="0.2"/>
    <row r="25" spans="1:9" ht="12.75" customHeight="1" x14ac:dyDescent="0.2">
      <c r="B25" s="16"/>
      <c r="C25" s="16"/>
    </row>
    <row r="26" spans="1:9" ht="12.75" customHeight="1" x14ac:dyDescent="0.2">
      <c r="B26" s="16"/>
      <c r="C26" s="16"/>
    </row>
    <row r="27" spans="1:9" ht="12.75" customHeight="1" x14ac:dyDescent="0.2">
      <c r="B27" s="16"/>
      <c r="C27" s="16"/>
    </row>
    <row r="28" spans="1:9" ht="12.75" customHeight="1" x14ac:dyDescent="0.2">
      <c r="B28" s="16"/>
      <c r="C28" s="16"/>
    </row>
    <row r="29" spans="1:9" ht="12.75" customHeight="1" x14ac:dyDescent="0.2">
      <c r="B29" s="16"/>
      <c r="C29" s="16"/>
    </row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1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32.5703125" bestFit="1" customWidth="1"/>
    <col min="11" max="11" width="8" style="36" customWidth="1"/>
  </cols>
  <sheetData>
    <row r="1" spans="1:16" ht="18.75" x14ac:dyDescent="0.2">
      <c r="A1" s="94" t="s">
        <v>372</v>
      </c>
      <c r="B1" s="127" t="s">
        <v>97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406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191</v>
      </c>
      <c r="C9" t="s">
        <v>13</v>
      </c>
      <c r="D9" s="65" t="s">
        <v>10</v>
      </c>
      <c r="E9" s="28">
        <v>9200</v>
      </c>
      <c r="F9" s="13">
        <v>184.52440000000001</v>
      </c>
      <c r="G9" s="14">
        <f t="shared" ref="G9:G58" si="0">+ROUND(F9/VLOOKUP("Grand Total",$B$4:$F$283,5,0),4)</f>
        <v>9.6500000000000002E-2</v>
      </c>
      <c r="H9" s="15"/>
      <c r="J9" s="14" t="s">
        <v>10</v>
      </c>
      <c r="K9" s="48">
        <f t="shared" ref="K9:K29" si="1">SUMIFS($G$5:$G$320,$D$5:$D$320,J9)</f>
        <v>0.27049999999999996</v>
      </c>
    </row>
    <row r="10" spans="1:16" ht="12.75" customHeight="1" x14ac:dyDescent="0.2">
      <c r="A10">
        <f>+MAX($A$8:A9)+1</f>
        <v>2</v>
      </c>
      <c r="B10" t="s">
        <v>193</v>
      </c>
      <c r="C10" t="s">
        <v>31</v>
      </c>
      <c r="D10" t="s">
        <v>30</v>
      </c>
      <c r="E10" s="28">
        <v>15514</v>
      </c>
      <c r="F10" s="13">
        <v>149.13608199999999</v>
      </c>
      <c r="G10" s="14">
        <f t="shared" si="0"/>
        <v>7.8E-2</v>
      </c>
      <c r="H10" s="15"/>
      <c r="J10" s="14" t="s">
        <v>14</v>
      </c>
      <c r="K10" s="48">
        <f t="shared" si="1"/>
        <v>0.12059999999999998</v>
      </c>
    </row>
    <row r="11" spans="1:16" ht="12.75" customHeight="1" x14ac:dyDescent="0.2">
      <c r="A11">
        <f>+MAX($A$8:A10)+1</f>
        <v>3</v>
      </c>
      <c r="B11" t="s">
        <v>197</v>
      </c>
      <c r="C11" t="s">
        <v>27</v>
      </c>
      <c r="D11" t="s">
        <v>24</v>
      </c>
      <c r="E11" s="28">
        <v>7187</v>
      </c>
      <c r="F11" s="13">
        <v>140.59928099999999</v>
      </c>
      <c r="G11" s="14">
        <f t="shared" si="0"/>
        <v>7.3499999999999996E-2</v>
      </c>
      <c r="H11" s="15"/>
      <c r="J11" s="14" t="s">
        <v>30</v>
      </c>
      <c r="K11" s="48">
        <f t="shared" si="1"/>
        <v>0.104</v>
      </c>
      <c r="M11" s="36"/>
      <c r="N11" s="14"/>
      <c r="P11" s="14"/>
    </row>
    <row r="12" spans="1:16" ht="12.75" customHeight="1" x14ac:dyDescent="0.2">
      <c r="A12">
        <f>+MAX($A$8:A11)+1</f>
        <v>4</v>
      </c>
      <c r="B12" t="s">
        <v>201</v>
      </c>
      <c r="C12" t="s">
        <v>46</v>
      </c>
      <c r="D12" t="s">
        <v>26</v>
      </c>
      <c r="E12" s="28">
        <v>38392</v>
      </c>
      <c r="F12" s="13">
        <v>104.19588800000001</v>
      </c>
      <c r="G12" s="14">
        <f t="shared" si="0"/>
        <v>5.45E-2</v>
      </c>
      <c r="H12" s="15"/>
      <c r="J12" s="14" t="s">
        <v>20</v>
      </c>
      <c r="K12" s="48">
        <f t="shared" si="1"/>
        <v>9.4200000000000006E-2</v>
      </c>
      <c r="M12" s="36"/>
      <c r="N12" s="14"/>
      <c r="P12" s="14"/>
    </row>
    <row r="13" spans="1:16" ht="12.75" customHeight="1" x14ac:dyDescent="0.2">
      <c r="A13">
        <f>+MAX($A$8:A12)+1</f>
        <v>5</v>
      </c>
      <c r="B13" t="s">
        <v>192</v>
      </c>
      <c r="C13" t="s">
        <v>15</v>
      </c>
      <c r="D13" t="s">
        <v>14</v>
      </c>
      <c r="E13" s="28">
        <v>8992</v>
      </c>
      <c r="F13" s="13">
        <v>103.43048</v>
      </c>
      <c r="G13" s="14">
        <f t="shared" si="0"/>
        <v>5.4100000000000002E-2</v>
      </c>
      <c r="H13" s="15"/>
      <c r="J13" s="14" t="s">
        <v>24</v>
      </c>
      <c r="K13" s="48">
        <f t="shared" si="1"/>
        <v>9.3399999999999997E-2</v>
      </c>
      <c r="M13" s="36"/>
      <c r="N13" s="14"/>
      <c r="P13" s="14"/>
    </row>
    <row r="14" spans="1:16" ht="12.75" customHeight="1" x14ac:dyDescent="0.2">
      <c r="A14">
        <f>+MAX($A$8:A13)+1</f>
        <v>6</v>
      </c>
      <c r="B14" t="s">
        <v>194</v>
      </c>
      <c r="C14" t="s">
        <v>11</v>
      </c>
      <c r="D14" t="s">
        <v>10</v>
      </c>
      <c r="E14" s="28">
        <v>28897</v>
      </c>
      <c r="F14" s="13">
        <v>101.9919615</v>
      </c>
      <c r="G14" s="14">
        <f t="shared" si="0"/>
        <v>5.33E-2</v>
      </c>
      <c r="H14" s="15"/>
      <c r="J14" s="14" t="s">
        <v>26</v>
      </c>
      <c r="K14" s="48">
        <f t="shared" si="1"/>
        <v>8.9499999999999996E-2</v>
      </c>
      <c r="M14" s="36"/>
      <c r="N14" s="14"/>
      <c r="P14" s="14"/>
    </row>
    <row r="15" spans="1:16" ht="12.75" customHeight="1" x14ac:dyDescent="0.2">
      <c r="A15">
        <f>+MAX($A$8:A14)+1</f>
        <v>7</v>
      </c>
      <c r="B15" t="s">
        <v>225</v>
      </c>
      <c r="C15" t="s">
        <v>71</v>
      </c>
      <c r="D15" t="s">
        <v>28</v>
      </c>
      <c r="E15" s="28">
        <v>5548</v>
      </c>
      <c r="F15" s="13">
        <v>78.587419999999995</v>
      </c>
      <c r="G15" s="14">
        <f t="shared" si="0"/>
        <v>4.1099999999999998E-2</v>
      </c>
      <c r="H15" s="15"/>
      <c r="J15" s="14" t="s">
        <v>28</v>
      </c>
      <c r="K15" s="48">
        <f t="shared" si="1"/>
        <v>4.1099999999999998E-2</v>
      </c>
      <c r="M15" s="36"/>
      <c r="N15" s="14"/>
      <c r="P15" s="14"/>
    </row>
    <row r="16" spans="1:16" ht="12.75" customHeight="1" x14ac:dyDescent="0.2">
      <c r="A16">
        <f>+MAX($A$8:A15)+1</f>
        <v>8</v>
      </c>
      <c r="B16" t="s">
        <v>216</v>
      </c>
      <c r="C16" t="s">
        <v>19</v>
      </c>
      <c r="D16" t="s">
        <v>14</v>
      </c>
      <c r="E16" s="28">
        <v>2240</v>
      </c>
      <c r="F16" s="13">
        <v>69.716639999999998</v>
      </c>
      <c r="G16" s="14">
        <f t="shared" si="0"/>
        <v>3.6499999999999998E-2</v>
      </c>
      <c r="H16" s="15"/>
      <c r="J16" s="14" t="s">
        <v>22</v>
      </c>
      <c r="K16" s="48">
        <f t="shared" si="1"/>
        <v>3.7700000000000004E-2</v>
      </c>
      <c r="M16" s="36"/>
      <c r="N16" s="14"/>
      <c r="P16" s="14"/>
    </row>
    <row r="17" spans="1:16" ht="12.75" customHeight="1" x14ac:dyDescent="0.2">
      <c r="A17">
        <f>+MAX($A$8:A16)+1</f>
        <v>9</v>
      </c>
      <c r="B17" t="s">
        <v>212</v>
      </c>
      <c r="C17" t="s">
        <v>98</v>
      </c>
      <c r="D17" t="s">
        <v>10</v>
      </c>
      <c r="E17" s="28">
        <v>5999</v>
      </c>
      <c r="F17" s="13">
        <v>66.525910499999995</v>
      </c>
      <c r="G17" s="14">
        <f t="shared" si="0"/>
        <v>3.4799999999999998E-2</v>
      </c>
      <c r="H17" s="15"/>
      <c r="J17" s="14" t="s">
        <v>45</v>
      </c>
      <c r="K17" s="48">
        <f t="shared" si="1"/>
        <v>2.3699999999999999E-2</v>
      </c>
      <c r="M17" s="36"/>
      <c r="N17" s="14"/>
      <c r="P17" s="14"/>
    </row>
    <row r="18" spans="1:16" ht="12.75" customHeight="1" x14ac:dyDescent="0.2">
      <c r="A18">
        <f>+MAX($A$8:A17)+1</f>
        <v>10</v>
      </c>
      <c r="B18" t="s">
        <v>209</v>
      </c>
      <c r="C18" t="s">
        <v>49</v>
      </c>
      <c r="D18" t="s">
        <v>20</v>
      </c>
      <c r="E18" s="28">
        <v>598</v>
      </c>
      <c r="F18" s="13">
        <v>56.868005999999994</v>
      </c>
      <c r="G18" s="14">
        <f t="shared" si="0"/>
        <v>2.9700000000000001E-2</v>
      </c>
      <c r="H18" s="15"/>
      <c r="J18" s="14" t="s">
        <v>36</v>
      </c>
      <c r="K18" s="48">
        <f t="shared" si="1"/>
        <v>2.2200000000000001E-2</v>
      </c>
      <c r="M18" s="36"/>
      <c r="N18" s="14"/>
      <c r="P18" s="14"/>
    </row>
    <row r="19" spans="1:16" ht="12.75" customHeight="1" x14ac:dyDescent="0.2">
      <c r="A19">
        <f>+MAX($A$8:A18)+1</f>
        <v>11</v>
      </c>
      <c r="B19" t="s">
        <v>16</v>
      </c>
      <c r="C19" t="s">
        <v>17</v>
      </c>
      <c r="D19" t="s">
        <v>10</v>
      </c>
      <c r="E19" s="28">
        <v>16703</v>
      </c>
      <c r="F19" s="13">
        <v>52.3221475</v>
      </c>
      <c r="G19" s="14">
        <f t="shared" si="0"/>
        <v>2.7400000000000001E-2</v>
      </c>
      <c r="H19" s="15"/>
      <c r="J19" s="14" t="s">
        <v>18</v>
      </c>
      <c r="K19" s="48">
        <f t="shared" si="1"/>
        <v>1.5199999999999998E-2</v>
      </c>
      <c r="M19" s="36"/>
      <c r="N19" s="14"/>
      <c r="P19" s="14"/>
    </row>
    <row r="20" spans="1:16" ht="12.75" customHeight="1" x14ac:dyDescent="0.2">
      <c r="A20">
        <f>+MAX($A$8:A19)+1</f>
        <v>12</v>
      </c>
      <c r="B20" t="s">
        <v>239</v>
      </c>
      <c r="C20" t="s">
        <v>101</v>
      </c>
      <c r="D20" t="s">
        <v>26</v>
      </c>
      <c r="E20" s="28">
        <v>3214</v>
      </c>
      <c r="F20" s="13">
        <v>44.010909000000005</v>
      </c>
      <c r="G20" s="14">
        <f t="shared" si="0"/>
        <v>2.3E-2</v>
      </c>
      <c r="H20" s="15"/>
      <c r="J20" s="14" t="s">
        <v>34</v>
      </c>
      <c r="K20" s="48">
        <f t="shared" si="1"/>
        <v>1.37E-2</v>
      </c>
      <c r="M20" s="36"/>
      <c r="N20" s="14"/>
      <c r="P20" s="14"/>
    </row>
    <row r="21" spans="1:16" ht="12.75" customHeight="1" x14ac:dyDescent="0.2">
      <c r="A21">
        <f>+MAX($A$8:A20)+1</f>
        <v>13</v>
      </c>
      <c r="B21" t="s">
        <v>217</v>
      </c>
      <c r="C21" t="s">
        <v>29</v>
      </c>
      <c r="D21" t="s">
        <v>10</v>
      </c>
      <c r="E21" s="28">
        <v>7154</v>
      </c>
      <c r="F21" s="13">
        <v>42.466144000000007</v>
      </c>
      <c r="G21" s="14">
        <f t="shared" si="0"/>
        <v>2.2200000000000001E-2</v>
      </c>
      <c r="H21" s="15"/>
      <c r="J21" s="14" t="s">
        <v>99</v>
      </c>
      <c r="K21" s="48">
        <f t="shared" si="1"/>
        <v>1.35E-2</v>
      </c>
      <c r="M21" s="36"/>
      <c r="N21" s="14"/>
      <c r="P21" s="14"/>
    </row>
    <row r="22" spans="1:16" ht="12.75" customHeight="1" x14ac:dyDescent="0.2">
      <c r="A22">
        <f>+MAX($A$8:A21)+1</f>
        <v>14</v>
      </c>
      <c r="B22" t="s">
        <v>241</v>
      </c>
      <c r="C22" t="s">
        <v>103</v>
      </c>
      <c r="D22" t="s">
        <v>10</v>
      </c>
      <c r="E22" s="28">
        <v>2293</v>
      </c>
      <c r="F22" s="13">
        <v>40.198582999999999</v>
      </c>
      <c r="G22" s="14">
        <f t="shared" si="0"/>
        <v>2.1000000000000001E-2</v>
      </c>
      <c r="H22" s="15"/>
      <c r="J22" s="14" t="s">
        <v>106</v>
      </c>
      <c r="K22" s="48">
        <f t="shared" si="1"/>
        <v>1.11E-2</v>
      </c>
      <c r="M22" s="36"/>
      <c r="N22" s="14"/>
      <c r="P22" s="14"/>
    </row>
    <row r="23" spans="1:16" ht="12.75" customHeight="1" x14ac:dyDescent="0.2">
      <c r="A23">
        <f>+MAX($A$8:A22)+1</f>
        <v>15</v>
      </c>
      <c r="B23" t="s">
        <v>195</v>
      </c>
      <c r="C23" t="s">
        <v>21</v>
      </c>
      <c r="D23" t="s">
        <v>20</v>
      </c>
      <c r="E23" s="28">
        <v>8315</v>
      </c>
      <c r="F23" s="13">
        <v>33.218425000000003</v>
      </c>
      <c r="G23" s="14">
        <f t="shared" si="0"/>
        <v>1.7399999999999999E-2</v>
      </c>
      <c r="H23" s="15"/>
      <c r="J23" s="14" t="s">
        <v>51</v>
      </c>
      <c r="K23" s="48">
        <f t="shared" si="1"/>
        <v>9.1999999999999998E-3</v>
      </c>
      <c r="M23" s="36"/>
      <c r="N23" s="14"/>
      <c r="P23" s="14"/>
    </row>
    <row r="24" spans="1:16" ht="12.75" customHeight="1" x14ac:dyDescent="0.2">
      <c r="A24">
        <f>+MAX($A$8:A23)+1</f>
        <v>16</v>
      </c>
      <c r="B24" t="s">
        <v>240</v>
      </c>
      <c r="C24" t="s">
        <v>100</v>
      </c>
      <c r="D24" t="s">
        <v>20</v>
      </c>
      <c r="E24" s="28">
        <v>4196</v>
      </c>
      <c r="F24" s="13">
        <v>32.017578</v>
      </c>
      <c r="G24" s="14">
        <f t="shared" si="0"/>
        <v>1.67E-2</v>
      </c>
      <c r="H24" s="15"/>
      <c r="J24" s="14" t="s">
        <v>37</v>
      </c>
      <c r="K24" s="48">
        <f t="shared" si="1"/>
        <v>7.7000000000000002E-3</v>
      </c>
      <c r="M24" s="36"/>
      <c r="N24" s="14"/>
      <c r="P24" s="14"/>
    </row>
    <row r="25" spans="1:16" ht="12.75" customHeight="1" x14ac:dyDescent="0.2">
      <c r="A25">
        <f>+MAX($A$8:A24)+1</f>
        <v>17</v>
      </c>
      <c r="B25" t="s">
        <v>251</v>
      </c>
      <c r="C25" t="s">
        <v>548</v>
      </c>
      <c r="D25" t="s">
        <v>10</v>
      </c>
      <c r="E25" s="28">
        <v>8271</v>
      </c>
      <c r="F25" s="13">
        <v>29.312424</v>
      </c>
      <c r="G25" s="14">
        <f t="shared" si="0"/>
        <v>1.5299999999999999E-2</v>
      </c>
      <c r="H25" s="15"/>
      <c r="J25" s="14" t="s">
        <v>102</v>
      </c>
      <c r="K25" s="48">
        <f t="shared" si="1"/>
        <v>7.6E-3</v>
      </c>
      <c r="M25" s="36"/>
      <c r="N25" s="14"/>
      <c r="P25" s="14"/>
    </row>
    <row r="26" spans="1:16" ht="12.75" customHeight="1" x14ac:dyDescent="0.2">
      <c r="A26">
        <f>+MAX($A$8:A25)+1</f>
        <v>18</v>
      </c>
      <c r="B26" t="s">
        <v>430</v>
      </c>
      <c r="C26" t="s">
        <v>68</v>
      </c>
      <c r="D26" t="s">
        <v>22</v>
      </c>
      <c r="E26" s="28">
        <v>4966</v>
      </c>
      <c r="F26" s="13">
        <v>28.797833999999998</v>
      </c>
      <c r="G26" s="14">
        <f t="shared" si="0"/>
        <v>1.5100000000000001E-2</v>
      </c>
      <c r="H26" s="15"/>
      <c r="J26" s="14" t="s">
        <v>47</v>
      </c>
      <c r="K26" s="48">
        <f t="shared" si="1"/>
        <v>7.1999999999999998E-3</v>
      </c>
      <c r="M26" s="36"/>
      <c r="N26" s="14"/>
      <c r="P26" s="14"/>
    </row>
    <row r="27" spans="1:16" ht="12.75" customHeight="1" x14ac:dyDescent="0.2">
      <c r="A27">
        <f>+MAX($A$8:A26)+1</f>
        <v>19</v>
      </c>
      <c r="B27" t="s">
        <v>440</v>
      </c>
      <c r="C27" t="s">
        <v>441</v>
      </c>
      <c r="D27" t="s">
        <v>45</v>
      </c>
      <c r="E27" s="28">
        <v>8363</v>
      </c>
      <c r="F27" s="13">
        <v>28.4634705</v>
      </c>
      <c r="G27" s="14">
        <f t="shared" si="0"/>
        <v>1.49E-2</v>
      </c>
      <c r="H27" s="15"/>
      <c r="J27" t="s">
        <v>133</v>
      </c>
      <c r="K27" s="48">
        <f t="shared" si="1"/>
        <v>6.4999999999999997E-3</v>
      </c>
      <c r="M27" s="36"/>
      <c r="N27" s="14"/>
      <c r="P27" s="14"/>
    </row>
    <row r="28" spans="1:16" ht="12.75" customHeight="1" x14ac:dyDescent="0.2">
      <c r="A28">
        <f>+MAX($A$8:A27)+1</f>
        <v>20</v>
      </c>
      <c r="B28" t="s">
        <v>214</v>
      </c>
      <c r="C28" t="s">
        <v>65</v>
      </c>
      <c r="D28" t="s">
        <v>34</v>
      </c>
      <c r="E28" s="28">
        <v>5936</v>
      </c>
      <c r="F28" s="13">
        <v>26.109496</v>
      </c>
      <c r="G28" s="14">
        <f t="shared" si="0"/>
        <v>1.37E-2</v>
      </c>
      <c r="H28" s="15"/>
      <c r="J28" s="14" t="s">
        <v>345</v>
      </c>
      <c r="K28" s="48">
        <f t="shared" si="1"/>
        <v>6.4000000000000003E-3</v>
      </c>
      <c r="M28" s="36"/>
      <c r="N28" s="14"/>
      <c r="P28" s="14"/>
    </row>
    <row r="29" spans="1:16" ht="12.75" customHeight="1" x14ac:dyDescent="0.2">
      <c r="A29">
        <f>+MAX($A$8:A28)+1</f>
        <v>21</v>
      </c>
      <c r="B29" t="s">
        <v>243</v>
      </c>
      <c r="C29" t="s">
        <v>107</v>
      </c>
      <c r="D29" t="s">
        <v>99</v>
      </c>
      <c r="E29" s="28">
        <v>12705</v>
      </c>
      <c r="F29" s="13">
        <v>25.848322499999998</v>
      </c>
      <c r="G29" s="14">
        <f t="shared" si="0"/>
        <v>1.35E-2</v>
      </c>
      <c r="H29" s="15"/>
      <c r="J29" s="14" t="s">
        <v>38</v>
      </c>
      <c r="K29" s="48">
        <f t="shared" si="1"/>
        <v>4.1999999999999997E-3</v>
      </c>
      <c r="N29" s="14"/>
      <c r="P29" s="14"/>
    </row>
    <row r="30" spans="1:16" ht="12.75" customHeight="1" x14ac:dyDescent="0.2">
      <c r="A30">
        <f>+MAX($A$8:A29)+1</f>
        <v>22</v>
      </c>
      <c r="B30" t="s">
        <v>196</v>
      </c>
      <c r="C30" t="s">
        <v>25</v>
      </c>
      <c r="D30" t="s">
        <v>14</v>
      </c>
      <c r="E30" s="28">
        <v>2506</v>
      </c>
      <c r="F30" s="13">
        <v>24.722942999999997</v>
      </c>
      <c r="G30" s="14">
        <f t="shared" si="0"/>
        <v>1.29E-2</v>
      </c>
      <c r="H30" s="15"/>
      <c r="J30" s="14" t="s">
        <v>64</v>
      </c>
      <c r="K30" s="48">
        <f>+SUMIFS($G$5:$G$997,$B$5:$B$997,"CBLO / Reverse Repo Investments")+SUMIFS($G$5:$G$997,$B$5:$B$997,"Net Receivable/Payable")</f>
        <v>7.9999999999999993E-4</v>
      </c>
      <c r="N30" s="14"/>
      <c r="P30" s="14"/>
    </row>
    <row r="31" spans="1:16" ht="12.75" customHeight="1" x14ac:dyDescent="0.2">
      <c r="A31">
        <f>+MAX($A$8:A30)+1</f>
        <v>23</v>
      </c>
      <c r="B31" t="s">
        <v>250</v>
      </c>
      <c r="C31" t="s">
        <v>115</v>
      </c>
      <c r="D31" t="s">
        <v>36</v>
      </c>
      <c r="E31" s="28">
        <v>13728</v>
      </c>
      <c r="F31" s="13">
        <v>23.371919999999999</v>
      </c>
      <c r="G31" s="14">
        <f t="shared" si="0"/>
        <v>1.2200000000000001E-2</v>
      </c>
      <c r="H31" s="15"/>
      <c r="L31" s="54"/>
      <c r="M31" s="36"/>
      <c r="N31" s="14"/>
      <c r="P31" s="14"/>
    </row>
    <row r="32" spans="1:16" ht="12.75" customHeight="1" x14ac:dyDescent="0.2">
      <c r="A32">
        <f>+MAX($A$8:A31)+1</f>
        <v>24</v>
      </c>
      <c r="B32" t="s">
        <v>245</v>
      </c>
      <c r="C32" t="s">
        <v>110</v>
      </c>
      <c r="D32" t="s">
        <v>26</v>
      </c>
      <c r="E32" s="28">
        <v>2029</v>
      </c>
      <c r="F32" s="13">
        <v>22.893207</v>
      </c>
      <c r="G32" s="14">
        <f t="shared" si="0"/>
        <v>1.2E-2</v>
      </c>
      <c r="H32" s="15"/>
      <c r="J32" s="14"/>
      <c r="L32" s="54">
        <f>+SUM($K$9:K32)</f>
        <v>1</v>
      </c>
    </row>
    <row r="33" spans="1:13" ht="12.75" customHeight="1" x14ac:dyDescent="0.2">
      <c r="A33">
        <f>+MAX($A$8:A32)+1</f>
        <v>25</v>
      </c>
      <c r="B33" t="s">
        <v>248</v>
      </c>
      <c r="C33" t="s">
        <v>112</v>
      </c>
      <c r="D33" t="s">
        <v>20</v>
      </c>
      <c r="E33" s="28">
        <v>584</v>
      </c>
      <c r="F33" s="13">
        <v>21.558067999999999</v>
      </c>
      <c r="G33" s="14">
        <f t="shared" si="0"/>
        <v>1.1299999999999999E-2</v>
      </c>
      <c r="H33" s="15"/>
    </row>
    <row r="34" spans="1:13" ht="12.75" customHeight="1" x14ac:dyDescent="0.2">
      <c r="A34">
        <f>+MAX($A$8:A33)+1</f>
        <v>26</v>
      </c>
      <c r="B34" t="s">
        <v>256</v>
      </c>
      <c r="C34" t="s">
        <v>122</v>
      </c>
      <c r="D34" t="s">
        <v>106</v>
      </c>
      <c r="E34" s="28">
        <v>3016</v>
      </c>
      <c r="F34" s="13">
        <v>21.264308</v>
      </c>
      <c r="G34" s="14">
        <f t="shared" si="0"/>
        <v>1.11E-2</v>
      </c>
      <c r="H34" s="15"/>
      <c r="M34" s="14"/>
    </row>
    <row r="35" spans="1:13" ht="12.75" customHeight="1" x14ac:dyDescent="0.2">
      <c r="A35">
        <f>+MAX($A$8:A34)+1</f>
        <v>27</v>
      </c>
      <c r="B35" t="s">
        <v>204</v>
      </c>
      <c r="C35" t="s">
        <v>53</v>
      </c>
      <c r="D35" t="s">
        <v>18</v>
      </c>
      <c r="E35" s="28">
        <v>469</v>
      </c>
      <c r="F35" s="13">
        <v>20.551580000000001</v>
      </c>
      <c r="G35" s="14">
        <f t="shared" si="0"/>
        <v>1.0699999999999999E-2</v>
      </c>
      <c r="H35" s="15"/>
    </row>
    <row r="36" spans="1:13" ht="12.75" customHeight="1" x14ac:dyDescent="0.2">
      <c r="A36">
        <f>+MAX($A$8:A35)+1</f>
        <v>28</v>
      </c>
      <c r="B36" t="s">
        <v>198</v>
      </c>
      <c r="C36" t="s">
        <v>39</v>
      </c>
      <c r="D36" t="s">
        <v>20</v>
      </c>
      <c r="E36" s="28">
        <v>612</v>
      </c>
      <c r="F36" s="13">
        <v>20.423358</v>
      </c>
      <c r="G36" s="14">
        <f t="shared" si="0"/>
        <v>1.0699999999999999E-2</v>
      </c>
      <c r="H36" s="15"/>
    </row>
    <row r="37" spans="1:13" ht="12.75" customHeight="1" x14ac:dyDescent="0.2">
      <c r="A37">
        <f>+MAX($A$8:A36)+1</f>
        <v>29</v>
      </c>
      <c r="B37" t="s">
        <v>348</v>
      </c>
      <c r="C37" t="s">
        <v>349</v>
      </c>
      <c r="D37" t="s">
        <v>24</v>
      </c>
      <c r="E37" s="28">
        <v>1457</v>
      </c>
      <c r="F37" s="13">
        <v>20.2661415</v>
      </c>
      <c r="G37" s="14">
        <f t="shared" si="0"/>
        <v>1.06E-2</v>
      </c>
      <c r="H37" s="15"/>
    </row>
    <row r="38" spans="1:13" ht="12.75" customHeight="1" x14ac:dyDescent="0.2">
      <c r="A38">
        <f>+MAX($A$8:A37)+1</f>
        <v>30</v>
      </c>
      <c r="B38" t="s">
        <v>287</v>
      </c>
      <c r="C38" t="s">
        <v>175</v>
      </c>
      <c r="D38" t="s">
        <v>30</v>
      </c>
      <c r="E38" s="28">
        <v>4589</v>
      </c>
      <c r="F38" s="13">
        <v>19.163664000000001</v>
      </c>
      <c r="G38" s="14">
        <f t="shared" si="0"/>
        <v>0.01</v>
      </c>
      <c r="H38" s="15"/>
    </row>
    <row r="39" spans="1:13" ht="12.75" customHeight="1" x14ac:dyDescent="0.2">
      <c r="A39">
        <f>+MAX($A$8:A38)+1</f>
        <v>31</v>
      </c>
      <c r="B39" t="s">
        <v>247</v>
      </c>
      <c r="C39" t="s">
        <v>114</v>
      </c>
      <c r="D39" t="s">
        <v>36</v>
      </c>
      <c r="E39" s="28">
        <v>9887</v>
      </c>
      <c r="F39" s="13">
        <v>19.161006</v>
      </c>
      <c r="G39" s="14">
        <f t="shared" si="0"/>
        <v>0.01</v>
      </c>
      <c r="H39" s="15"/>
    </row>
    <row r="40" spans="1:13" ht="12.75" customHeight="1" x14ac:dyDescent="0.2">
      <c r="A40">
        <f>+MAX($A$8:A39)+1</f>
        <v>32</v>
      </c>
      <c r="B40" t="s">
        <v>272</v>
      </c>
      <c r="C40" t="s">
        <v>363</v>
      </c>
      <c r="D40" t="s">
        <v>24</v>
      </c>
      <c r="E40" s="28">
        <v>1064</v>
      </c>
      <c r="F40" s="13">
        <v>17.852323999999999</v>
      </c>
      <c r="G40" s="14">
        <f t="shared" si="0"/>
        <v>9.2999999999999992E-3</v>
      </c>
      <c r="H40" s="15"/>
    </row>
    <row r="41" spans="1:13" ht="12.75" customHeight="1" x14ac:dyDescent="0.2">
      <c r="A41">
        <f>+MAX($A$8:A40)+1</f>
        <v>33</v>
      </c>
      <c r="B41" t="s">
        <v>228</v>
      </c>
      <c r="C41" t="s">
        <v>79</v>
      </c>
      <c r="D41" t="s">
        <v>51</v>
      </c>
      <c r="E41" s="28">
        <v>5866</v>
      </c>
      <c r="F41" s="13">
        <v>17.571603</v>
      </c>
      <c r="G41" s="14">
        <f t="shared" si="0"/>
        <v>9.1999999999999998E-3</v>
      </c>
      <c r="H41" s="15"/>
    </row>
    <row r="42" spans="1:13" ht="12.75" customHeight="1" x14ac:dyDescent="0.2">
      <c r="A42">
        <f>+MAX($A$8:A41)+1</f>
        <v>34</v>
      </c>
      <c r="B42" t="s">
        <v>252</v>
      </c>
      <c r="C42" t="s">
        <v>117</v>
      </c>
      <c r="D42" t="s">
        <v>30</v>
      </c>
      <c r="E42" s="28">
        <v>3514</v>
      </c>
      <c r="F42" s="13">
        <v>17.299422</v>
      </c>
      <c r="G42" s="14">
        <f t="shared" si="0"/>
        <v>8.9999999999999993E-3</v>
      </c>
      <c r="H42" s="15"/>
    </row>
    <row r="43" spans="1:13" ht="12.75" customHeight="1" x14ac:dyDescent="0.2">
      <c r="A43">
        <f>+MAX($A$8:A42)+1</f>
        <v>35</v>
      </c>
      <c r="B43" t="s">
        <v>249</v>
      </c>
      <c r="C43" t="s">
        <v>113</v>
      </c>
      <c r="D43" t="s">
        <v>14</v>
      </c>
      <c r="E43" s="28">
        <v>2814</v>
      </c>
      <c r="F43" s="13">
        <v>17.239971000000001</v>
      </c>
      <c r="G43" s="14">
        <f t="shared" si="0"/>
        <v>8.9999999999999993E-3</v>
      </c>
      <c r="H43" s="15"/>
    </row>
    <row r="44" spans="1:13" ht="12.75" customHeight="1" x14ac:dyDescent="0.2">
      <c r="A44">
        <f>+MAX($A$8:A43)+1</f>
        <v>36</v>
      </c>
      <c r="B44" t="s">
        <v>260</v>
      </c>
      <c r="C44" t="s">
        <v>124</v>
      </c>
      <c r="D44" t="s">
        <v>45</v>
      </c>
      <c r="E44" s="28">
        <v>6566</v>
      </c>
      <c r="F44" s="13">
        <v>16.818808999999998</v>
      </c>
      <c r="G44" s="14">
        <f t="shared" si="0"/>
        <v>8.8000000000000005E-3</v>
      </c>
      <c r="H44" s="15"/>
    </row>
    <row r="45" spans="1:13" ht="12.75" customHeight="1" x14ac:dyDescent="0.2">
      <c r="A45">
        <f>+MAX($A$8:A44)+1</f>
        <v>37</v>
      </c>
      <c r="B45" t="s">
        <v>270</v>
      </c>
      <c r="C45" t="s">
        <v>143</v>
      </c>
      <c r="D45" t="s">
        <v>20</v>
      </c>
      <c r="E45" s="28">
        <v>60</v>
      </c>
      <c r="F45" s="13">
        <v>16.154160000000001</v>
      </c>
      <c r="G45" s="14">
        <f t="shared" si="0"/>
        <v>8.3999999999999995E-3</v>
      </c>
      <c r="H45" s="15"/>
    </row>
    <row r="46" spans="1:13" ht="12.75" customHeight="1" x14ac:dyDescent="0.2">
      <c r="A46">
        <f>+MAX($A$8:A45)+1</f>
        <v>38</v>
      </c>
      <c r="B46" t="s">
        <v>246</v>
      </c>
      <c r="C46" t="s">
        <v>111</v>
      </c>
      <c r="D46" t="s">
        <v>14</v>
      </c>
      <c r="E46" s="28">
        <v>5089</v>
      </c>
      <c r="F46" s="13">
        <v>15.506183</v>
      </c>
      <c r="G46" s="14">
        <f t="shared" si="0"/>
        <v>8.0999999999999996E-3</v>
      </c>
      <c r="H46" s="15"/>
    </row>
    <row r="47" spans="1:13" ht="12.75" customHeight="1" x14ac:dyDescent="0.2">
      <c r="A47">
        <f>+MAX($A$8:A46)+1</f>
        <v>39</v>
      </c>
      <c r="B47" t="s">
        <v>254</v>
      </c>
      <c r="C47" t="s">
        <v>116</v>
      </c>
      <c r="D47" t="s">
        <v>37</v>
      </c>
      <c r="E47" s="28">
        <v>3448</v>
      </c>
      <c r="F47" s="13">
        <v>14.786748000000001</v>
      </c>
      <c r="G47" s="14">
        <f t="shared" si="0"/>
        <v>7.7000000000000002E-3</v>
      </c>
      <c r="H47" s="15"/>
    </row>
    <row r="48" spans="1:13" ht="12.75" customHeight="1" x14ac:dyDescent="0.2">
      <c r="A48">
        <f>+MAX($A$8:A47)+1</f>
        <v>40</v>
      </c>
      <c r="B48" t="s">
        <v>253</v>
      </c>
      <c r="C48" t="s">
        <v>118</v>
      </c>
      <c r="D48" t="s">
        <v>102</v>
      </c>
      <c r="E48" s="28">
        <v>2463</v>
      </c>
      <c r="F48" s="13">
        <v>14.622831000000001</v>
      </c>
      <c r="G48" s="14">
        <f t="shared" si="0"/>
        <v>7.6E-3</v>
      </c>
      <c r="H48" s="15"/>
    </row>
    <row r="49" spans="1:9" ht="12.75" customHeight="1" x14ac:dyDescent="0.2">
      <c r="A49">
        <f>+MAX($A$8:A48)+1</f>
        <v>41</v>
      </c>
      <c r="B49" t="s">
        <v>255</v>
      </c>
      <c r="C49" t="s">
        <v>119</v>
      </c>
      <c r="D49" t="s">
        <v>47</v>
      </c>
      <c r="E49" s="28">
        <v>2892</v>
      </c>
      <c r="F49" s="13">
        <v>13.841111999999999</v>
      </c>
      <c r="G49" s="14">
        <f t="shared" si="0"/>
        <v>7.1999999999999998E-3</v>
      </c>
      <c r="H49" s="15"/>
    </row>
    <row r="50" spans="1:9" ht="12.75" customHeight="1" x14ac:dyDescent="0.2">
      <c r="A50">
        <f>+MAX($A$8:A49)+1</f>
        <v>42</v>
      </c>
      <c r="B50" t="s">
        <v>208</v>
      </c>
      <c r="C50" t="s">
        <v>69</v>
      </c>
      <c r="D50" t="s">
        <v>22</v>
      </c>
      <c r="E50" s="28">
        <v>2282</v>
      </c>
      <c r="F50" s="13">
        <v>13.512863000000001</v>
      </c>
      <c r="G50" s="14">
        <f t="shared" si="0"/>
        <v>7.1000000000000004E-3</v>
      </c>
      <c r="H50" s="15"/>
    </row>
    <row r="51" spans="1:9" ht="12.75" customHeight="1" x14ac:dyDescent="0.2">
      <c r="A51">
        <f>+MAX($A$8:A50)+1</f>
        <v>43</v>
      </c>
      <c r="B51" t="s">
        <v>229</v>
      </c>
      <c r="C51" t="s">
        <v>80</v>
      </c>
      <c r="D51" t="s">
        <v>30</v>
      </c>
      <c r="E51" s="28">
        <v>3360</v>
      </c>
      <c r="F51" s="13">
        <v>13.362719999999999</v>
      </c>
      <c r="G51" s="14">
        <f t="shared" si="0"/>
        <v>7.0000000000000001E-3</v>
      </c>
      <c r="H51" s="15"/>
    </row>
    <row r="52" spans="1:9" ht="12.75" customHeight="1" x14ac:dyDescent="0.2">
      <c r="A52">
        <f>+MAX($A$8:A51)+1</f>
        <v>44</v>
      </c>
      <c r="B52" t="s">
        <v>282</v>
      </c>
      <c r="C52" t="s">
        <v>157</v>
      </c>
      <c r="D52" t="s">
        <v>133</v>
      </c>
      <c r="E52" s="28">
        <v>1647</v>
      </c>
      <c r="F52" s="13">
        <v>12.3862635</v>
      </c>
      <c r="G52" s="14">
        <f t="shared" si="0"/>
        <v>6.4999999999999997E-3</v>
      </c>
      <c r="H52" s="15"/>
    </row>
    <row r="53" spans="1:9" ht="12.75" customHeight="1" x14ac:dyDescent="0.2">
      <c r="A53">
        <f>+MAX($A$8:A52)+1</f>
        <v>45</v>
      </c>
      <c r="B53" t="s">
        <v>324</v>
      </c>
      <c r="C53" t="s">
        <v>325</v>
      </c>
      <c r="D53" t="s">
        <v>345</v>
      </c>
      <c r="E53" s="28">
        <v>3496</v>
      </c>
      <c r="F53" s="13">
        <v>12.290188000000001</v>
      </c>
      <c r="G53" s="14">
        <f t="shared" si="0"/>
        <v>6.4000000000000003E-3</v>
      </c>
      <c r="H53" s="15"/>
    </row>
    <row r="54" spans="1:9" ht="12.75" customHeight="1" x14ac:dyDescent="0.2">
      <c r="A54">
        <f>+MAX($A$8:A53)+1</f>
        <v>46</v>
      </c>
      <c r="B54" t="s">
        <v>244</v>
      </c>
      <c r="C54" t="s">
        <v>109</v>
      </c>
      <c r="D54" t="s">
        <v>22</v>
      </c>
      <c r="E54" s="28">
        <v>545</v>
      </c>
      <c r="F54" s="13">
        <v>12.1281575</v>
      </c>
      <c r="G54" s="14">
        <f t="shared" si="0"/>
        <v>6.3E-3</v>
      </c>
      <c r="H54" s="15"/>
    </row>
    <row r="55" spans="1:9" ht="12.75" customHeight="1" x14ac:dyDescent="0.2">
      <c r="A55">
        <f>+MAX($A$8:A54)+1</f>
        <v>47</v>
      </c>
      <c r="B55" t="s">
        <v>242</v>
      </c>
      <c r="C55" t="s">
        <v>104</v>
      </c>
      <c r="D55" t="s">
        <v>22</v>
      </c>
      <c r="E55" s="28">
        <v>1078</v>
      </c>
      <c r="F55" s="13">
        <v>9.5268250000000005</v>
      </c>
      <c r="G55" s="14">
        <f t="shared" si="0"/>
        <v>5.0000000000000001E-3</v>
      </c>
      <c r="H55" s="15"/>
    </row>
    <row r="56" spans="1:9" ht="12.75" customHeight="1" x14ac:dyDescent="0.2">
      <c r="A56">
        <f>+MAX($A$8:A55)+1</f>
        <v>48</v>
      </c>
      <c r="B56" t="s">
        <v>258</v>
      </c>
      <c r="C56" t="s">
        <v>121</v>
      </c>
      <c r="D56" t="s">
        <v>18</v>
      </c>
      <c r="E56" s="28">
        <v>3306</v>
      </c>
      <c r="F56" s="13">
        <v>8.6551080000000002</v>
      </c>
      <c r="G56" s="14">
        <f t="shared" si="0"/>
        <v>4.4999999999999997E-3</v>
      </c>
      <c r="H56" s="15"/>
    </row>
    <row r="57" spans="1:9" ht="12.75" customHeight="1" x14ac:dyDescent="0.2">
      <c r="A57">
        <f>+MAX($A$8:A56)+1</f>
        <v>49</v>
      </c>
      <c r="B57" t="s">
        <v>215</v>
      </c>
      <c r="C57" t="s">
        <v>61</v>
      </c>
      <c r="D57" t="s">
        <v>22</v>
      </c>
      <c r="E57" s="28">
        <v>1265</v>
      </c>
      <c r="F57" s="13">
        <v>7.9638074999999997</v>
      </c>
      <c r="G57" s="14">
        <f t="shared" si="0"/>
        <v>4.1999999999999997E-3</v>
      </c>
      <c r="H57" s="15"/>
    </row>
    <row r="58" spans="1:9" ht="12.75" customHeight="1" x14ac:dyDescent="0.2">
      <c r="A58">
        <f>+MAX($A$8:A57)+1</f>
        <v>50</v>
      </c>
      <c r="B58" t="s">
        <v>257</v>
      </c>
      <c r="C58" t="s">
        <v>120</v>
      </c>
      <c r="D58" t="s">
        <v>38</v>
      </c>
      <c r="E58" s="28">
        <v>41</v>
      </c>
      <c r="F58" s="13">
        <v>7.9541025000000003</v>
      </c>
      <c r="G58" s="14">
        <f t="shared" si="0"/>
        <v>4.1999999999999997E-3</v>
      </c>
      <c r="H58" s="15"/>
    </row>
    <row r="59" spans="1:9" ht="12.75" customHeight="1" x14ac:dyDescent="0.2">
      <c r="B59" s="18" t="s">
        <v>85</v>
      </c>
      <c r="C59" s="18"/>
      <c r="D59" s="18"/>
      <c r="E59" s="29"/>
      <c r="F59" s="19">
        <f>SUM(F9:F58)</f>
        <v>1911.1907960000005</v>
      </c>
      <c r="G59" s="20">
        <f>SUM(G9:G58)</f>
        <v>0.99919999999999998</v>
      </c>
      <c r="H59" s="21"/>
      <c r="I59" s="35"/>
    </row>
    <row r="60" spans="1:9" ht="12.75" customHeight="1" x14ac:dyDescent="0.2">
      <c r="F60" s="13"/>
      <c r="G60" s="14"/>
      <c r="H60" s="15"/>
    </row>
    <row r="61" spans="1:9" ht="12.75" customHeight="1" x14ac:dyDescent="0.2">
      <c r="A61" s="95" t="s">
        <v>370</v>
      </c>
      <c r="B61" s="16" t="s">
        <v>93</v>
      </c>
      <c r="C61" s="16"/>
      <c r="F61" s="13">
        <v>3.3916400000000002</v>
      </c>
      <c r="G61" s="14">
        <f t="shared" ref="G61" si="2">+ROUND(F61/VLOOKUP("Grand Total",$B$4:$F$283,5,0),4)</f>
        <v>1.8E-3</v>
      </c>
      <c r="H61" s="15">
        <v>43132</v>
      </c>
    </row>
    <row r="62" spans="1:9" ht="12.75" customHeight="1" x14ac:dyDescent="0.2">
      <c r="B62" s="18" t="s">
        <v>85</v>
      </c>
      <c r="C62" s="18"/>
      <c r="D62" s="18"/>
      <c r="E62" s="29"/>
      <c r="F62" s="19">
        <f>SUM(F61)</f>
        <v>3.3916400000000002</v>
      </c>
      <c r="G62" s="20">
        <f>SUM(G61)</f>
        <v>1.8E-3</v>
      </c>
      <c r="H62" s="21"/>
      <c r="I62" s="35"/>
    </row>
    <row r="63" spans="1:9" ht="12.75" customHeight="1" x14ac:dyDescent="0.2">
      <c r="F63" s="13"/>
      <c r="G63" s="14"/>
      <c r="H63" s="15"/>
    </row>
    <row r="64" spans="1:9" ht="12.75" customHeight="1" x14ac:dyDescent="0.2">
      <c r="B64" s="16" t="s">
        <v>94</v>
      </c>
      <c r="C64" s="16"/>
      <c r="F64" s="13"/>
      <c r="G64" s="14"/>
      <c r="H64" s="15"/>
    </row>
    <row r="65" spans="2:9" ht="12.75" customHeight="1" x14ac:dyDescent="0.2">
      <c r="B65" s="16" t="s">
        <v>95</v>
      </c>
      <c r="C65" s="16"/>
      <c r="F65" s="13">
        <v>-2.6222023000002537</v>
      </c>
      <c r="G65" s="125">
        <f>+ROUND(F65/VLOOKUP("Grand Total",$B$4:$F$283,5,0),4)+0.04%</f>
        <v>-1E-3</v>
      </c>
      <c r="H65" s="15"/>
    </row>
    <row r="66" spans="2:9" ht="12.75" customHeight="1" x14ac:dyDescent="0.2">
      <c r="B66" s="18" t="s">
        <v>85</v>
      </c>
      <c r="C66" s="18"/>
      <c r="D66" s="18"/>
      <c r="E66" s="29"/>
      <c r="F66" s="19">
        <f>SUM(F65)</f>
        <v>-2.6222023000002537</v>
      </c>
      <c r="G66" s="126">
        <f>SUM(G65)</f>
        <v>-1E-3</v>
      </c>
      <c r="H66" s="21"/>
      <c r="I66" s="35"/>
    </row>
    <row r="67" spans="2:9" ht="12.75" customHeight="1" x14ac:dyDescent="0.2">
      <c r="B67" s="22" t="s">
        <v>96</v>
      </c>
      <c r="C67" s="22"/>
      <c r="D67" s="22"/>
      <c r="E67" s="30"/>
      <c r="F67" s="23">
        <f>+SUMIF($B$5:B66,"Total",$F$5:F66)</f>
        <v>1911.9602337000003</v>
      </c>
      <c r="G67" s="24">
        <f>+SUMIF($B$5:B66,"Total",$G$5:G66)</f>
        <v>0.99999999999999989</v>
      </c>
      <c r="H67" s="25"/>
      <c r="I67" s="35"/>
    </row>
    <row r="68" spans="2:9" ht="12.75" customHeight="1" x14ac:dyDescent="0.2"/>
    <row r="69" spans="2:9" ht="12.75" customHeight="1" x14ac:dyDescent="0.2">
      <c r="B69" s="16"/>
      <c r="C69" s="16"/>
    </row>
    <row r="70" spans="2:9" ht="12.75" customHeight="1" x14ac:dyDescent="0.2">
      <c r="B70" s="16"/>
      <c r="C70" s="16"/>
    </row>
    <row r="71" spans="2:9" ht="12.75" customHeight="1" x14ac:dyDescent="0.2">
      <c r="B71" s="16"/>
      <c r="C71" s="16"/>
    </row>
    <row r="72" spans="2:9" ht="12.75" customHeight="1" x14ac:dyDescent="0.2">
      <c r="B72" s="16"/>
      <c r="C72" s="16"/>
    </row>
    <row r="73" spans="2:9" ht="12.75" customHeight="1" x14ac:dyDescent="0.2">
      <c r="B73" s="16"/>
      <c r="C73" s="16"/>
    </row>
    <row r="74" spans="2:9" ht="12.75" customHeight="1" x14ac:dyDescent="0.2"/>
    <row r="75" spans="2:9" ht="12.75" customHeight="1" x14ac:dyDescent="0.2"/>
    <row r="76" spans="2:9" ht="12.75" customHeight="1" x14ac:dyDescent="0.2"/>
    <row r="77" spans="2:9" ht="12.75" customHeight="1" x14ac:dyDescent="0.2"/>
    <row r="78" spans="2:9" ht="12.75" customHeight="1" x14ac:dyDescent="0.2"/>
    <row r="79" spans="2:9" ht="12.75" customHeight="1" x14ac:dyDescent="0.2"/>
    <row r="80" spans="2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</sheetData>
  <sheetProtection password="EDB3" sheet="1" objects="1" scenarios="1"/>
  <sortState ref="J9:K28">
    <sortCondition descending="1" ref="K9:K28"/>
  </sortState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390</v>
      </c>
      <c r="B1" s="127" t="s">
        <v>493</v>
      </c>
      <c r="C1" s="128"/>
      <c r="D1" s="128"/>
      <c r="E1" s="128"/>
      <c r="F1" s="128"/>
      <c r="G1" s="128"/>
      <c r="H1" s="129"/>
    </row>
    <row r="2" spans="1:12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92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456</v>
      </c>
      <c r="C8" t="s">
        <v>299</v>
      </c>
      <c r="D8" t="s">
        <v>319</v>
      </c>
      <c r="E8" s="28">
        <v>506191.9191</v>
      </c>
      <c r="F8" s="13">
        <v>158.0675382</v>
      </c>
      <c r="G8" s="14">
        <f>+ROUND(F8/VLOOKUP("Grand Total",$B$4:$F$294,5,0),4)</f>
        <v>0.58689999999999998</v>
      </c>
      <c r="H8" s="15" t="s">
        <v>371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335</v>
      </c>
      <c r="C9" t="s">
        <v>301</v>
      </c>
      <c r="D9" t="s">
        <v>319</v>
      </c>
      <c r="E9" s="28">
        <v>2355.0210000000002</v>
      </c>
      <c r="F9" s="13">
        <v>66.368125599999999</v>
      </c>
      <c r="G9" s="14">
        <f>+ROUND(F9/VLOOKUP("Grand Total",$B$4:$F$294,5,0),4)</f>
        <v>0.24640000000000001</v>
      </c>
      <c r="H9" s="15" t="s">
        <v>371</v>
      </c>
      <c r="J9" s="14" t="s">
        <v>319</v>
      </c>
      <c r="K9" s="48">
        <f>SUMIFS($G$5:$G$321,$D$5:$D$321,J9)</f>
        <v>0.99969999999999992</v>
      </c>
    </row>
    <row r="10" spans="1:12" ht="12.75" customHeight="1" x14ac:dyDescent="0.2">
      <c r="A10">
        <f>+MAX($A$7:A9)+1</f>
        <v>3</v>
      </c>
      <c r="B10" t="s">
        <v>457</v>
      </c>
      <c r="C10" t="s">
        <v>300</v>
      </c>
      <c r="D10" t="s">
        <v>319</v>
      </c>
      <c r="E10" s="28">
        <v>68222.020799999998</v>
      </c>
      <c r="F10" s="13">
        <v>44.815045499999997</v>
      </c>
      <c r="G10" s="14">
        <f>+ROUND(F10/VLOOKUP("Grand Total",$B$4:$F$294,5,0),4)</f>
        <v>0.16639999999999999</v>
      </c>
      <c r="H10" s="15" t="s">
        <v>371</v>
      </c>
      <c r="J10" s="14" t="s">
        <v>64</v>
      </c>
      <c r="K10" s="48">
        <f>+SUMIFS($G$5:$G$997,$B$5:$B$997,"CBLO / Reverse Repo Investments")+SUMIFS($G$5:$G$997,$B$5:$B$997,"Net Receivable/Payable")</f>
        <v>2.9999999999999472E-4</v>
      </c>
    </row>
    <row r="11" spans="1:12" ht="12.75" customHeight="1" x14ac:dyDescent="0.2">
      <c r="B11" s="18" t="s">
        <v>85</v>
      </c>
      <c r="C11" s="18"/>
      <c r="D11" s="18"/>
      <c r="E11" s="29"/>
      <c r="F11" s="19">
        <f>SUM(F8:F10)</f>
        <v>269.25070929999998</v>
      </c>
      <c r="G11" s="20">
        <f>SUM(G8:G10)</f>
        <v>0.99969999999999992</v>
      </c>
      <c r="H11" s="21"/>
      <c r="I11" s="35"/>
    </row>
    <row r="12" spans="1:12" ht="12.75" customHeight="1" x14ac:dyDescent="0.2">
      <c r="F12" s="13"/>
      <c r="G12" s="14"/>
      <c r="H12" s="15"/>
      <c r="L12" s="54">
        <f>+SUM($K$9:K10)</f>
        <v>0.99999999999999989</v>
      </c>
    </row>
    <row r="13" spans="1:12" ht="12.75" customHeight="1" x14ac:dyDescent="0.2">
      <c r="B13" s="16" t="s">
        <v>93</v>
      </c>
      <c r="C13" s="16"/>
      <c r="F13" s="13">
        <v>44.09131</v>
      </c>
      <c r="G13" s="14">
        <f>+ROUND(F13/VLOOKUP("Grand Total",$B$4:$F$294,5,0),4)</f>
        <v>0.16370000000000001</v>
      </c>
      <c r="H13" s="15">
        <v>43132</v>
      </c>
    </row>
    <row r="14" spans="1:12" ht="12.75" customHeight="1" x14ac:dyDescent="0.2">
      <c r="B14" s="18" t="s">
        <v>85</v>
      </c>
      <c r="C14" s="18"/>
      <c r="D14" s="18"/>
      <c r="E14" s="29"/>
      <c r="F14" s="19">
        <f>SUM(F13)</f>
        <v>44.09131</v>
      </c>
      <c r="G14" s="20">
        <f>SUM(G13)</f>
        <v>0.16370000000000001</v>
      </c>
      <c r="H14" s="21"/>
      <c r="I14" s="35"/>
      <c r="J14" s="14"/>
    </row>
    <row r="15" spans="1:12" ht="12.75" customHeight="1" x14ac:dyDescent="0.2">
      <c r="F15" s="13"/>
      <c r="G15" s="14"/>
      <c r="H15" s="15"/>
      <c r="J15" s="14"/>
      <c r="L15" s="54"/>
    </row>
    <row r="16" spans="1:12" ht="12.75" customHeight="1" x14ac:dyDescent="0.2">
      <c r="B16" s="16" t="s">
        <v>94</v>
      </c>
      <c r="C16" s="16"/>
      <c r="F16" s="13"/>
      <c r="G16" s="14"/>
      <c r="H16" s="15"/>
    </row>
    <row r="17" spans="2:12" ht="12.75" customHeight="1" x14ac:dyDescent="0.2">
      <c r="B17" s="16" t="s">
        <v>95</v>
      </c>
      <c r="C17" s="16"/>
      <c r="F17" s="43">
        <v>-44.034586200000035</v>
      </c>
      <c r="G17" s="125">
        <f>+ROUND(F17/VLOOKUP("Grand Total",$B$4:$F$294,5,0),4)+0.01%</f>
        <v>-0.16340000000000002</v>
      </c>
      <c r="H17" s="15"/>
      <c r="J17" s="14"/>
      <c r="L17" s="54"/>
    </row>
    <row r="18" spans="2:12" ht="12.75" customHeight="1" x14ac:dyDescent="0.2">
      <c r="B18" s="18" t="s">
        <v>85</v>
      </c>
      <c r="C18" s="18"/>
      <c r="D18" s="18"/>
      <c r="E18" s="29"/>
      <c r="F18" s="50">
        <f>SUM(F17:F17)</f>
        <v>-44.034586200000035</v>
      </c>
      <c r="G18" s="126">
        <f>SUM(G17:G17)</f>
        <v>-0.16340000000000002</v>
      </c>
      <c r="H18" s="21"/>
    </row>
    <row r="19" spans="2:12" ht="12.75" customHeight="1" x14ac:dyDescent="0.2">
      <c r="B19" s="22" t="s">
        <v>96</v>
      </c>
      <c r="C19" s="22"/>
      <c r="D19" s="22"/>
      <c r="E19" s="30"/>
      <c r="F19" s="23">
        <f>+SUMIF($B$5:B18,"Total",$F$5:F18)</f>
        <v>269.30743309999997</v>
      </c>
      <c r="G19" s="24">
        <f>+SUMIF($B$5:B18,"Total",$G$5:G18)</f>
        <v>1</v>
      </c>
      <c r="H19" s="25"/>
    </row>
    <row r="20" spans="2:12" ht="12.75" customHeight="1" x14ac:dyDescent="0.2">
      <c r="I20" s="35"/>
    </row>
    <row r="21" spans="2:12" ht="12.75" customHeight="1" x14ac:dyDescent="0.2">
      <c r="I21" s="35"/>
    </row>
    <row r="22" spans="2:12" ht="12.75" customHeight="1" x14ac:dyDescent="0.2"/>
    <row r="23" spans="2:12" ht="12.75" customHeight="1" x14ac:dyDescent="0.2">
      <c r="B23" s="16"/>
      <c r="C23" s="16"/>
    </row>
    <row r="24" spans="2:12" ht="12.75" customHeight="1" x14ac:dyDescent="0.2">
      <c r="B24" s="16"/>
      <c r="C24" s="16"/>
    </row>
    <row r="25" spans="2:12" ht="12.75" customHeight="1" x14ac:dyDescent="0.2">
      <c r="B25" s="16"/>
      <c r="C25" s="16"/>
    </row>
    <row r="26" spans="2:12" ht="12.75" customHeight="1" x14ac:dyDescent="0.2">
      <c r="B26" s="16"/>
      <c r="C26" s="16"/>
    </row>
    <row r="27" spans="2:12" ht="12.75" customHeight="1" x14ac:dyDescent="0.2">
      <c r="B27" s="16"/>
      <c r="C27" s="16"/>
    </row>
    <row r="28" spans="2:12" ht="12.75" customHeight="1" x14ac:dyDescent="0.2"/>
    <row r="29" spans="2:12" ht="12.75" customHeight="1" x14ac:dyDescent="0.2"/>
    <row r="30" spans="2:12" ht="12.75" customHeight="1" x14ac:dyDescent="0.2"/>
    <row r="31" spans="2:12" ht="12.75" customHeight="1" x14ac:dyDescent="0.2"/>
    <row r="32" spans="2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391</v>
      </c>
      <c r="B1" s="127" t="s">
        <v>494</v>
      </c>
      <c r="C1" s="128"/>
      <c r="D1" s="128"/>
      <c r="E1" s="128"/>
      <c r="F1" s="128"/>
      <c r="G1" s="128"/>
      <c r="H1" s="129"/>
    </row>
    <row r="2" spans="1:12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92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457</v>
      </c>
      <c r="C8" t="s">
        <v>300</v>
      </c>
      <c r="D8" t="s">
        <v>319</v>
      </c>
      <c r="E8" s="28">
        <v>141770.89350000001</v>
      </c>
      <c r="F8" s="13">
        <v>93.129299900000007</v>
      </c>
      <c r="G8" s="14">
        <f>+ROUND(F8/VLOOKUP("Grand Total",$B$4:$F$295,5,0),4)</f>
        <v>0.54520000000000002</v>
      </c>
      <c r="H8" s="15" t="s">
        <v>371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303</v>
      </c>
      <c r="C9" t="s">
        <v>302</v>
      </c>
      <c r="D9" t="s">
        <v>319</v>
      </c>
      <c r="E9" s="28">
        <v>31697.969000000001</v>
      </c>
      <c r="F9" s="13">
        <v>36.98836</v>
      </c>
      <c r="G9" s="14">
        <f>+ROUND(F9/VLOOKUP("Grand Total",$B$4:$F$295,5,0),4)</f>
        <v>0.2165</v>
      </c>
      <c r="H9" s="15" t="s">
        <v>371</v>
      </c>
      <c r="J9" s="14" t="s">
        <v>319</v>
      </c>
      <c r="K9" s="48">
        <f>SUMIFS($G$5:$G$321,$D$5:$D$321,J9)</f>
        <v>0.97909999999999997</v>
      </c>
    </row>
    <row r="10" spans="1:12" ht="12.75" customHeight="1" x14ac:dyDescent="0.2">
      <c r="A10">
        <f>+MAX($A$7:A9)+1</f>
        <v>3</v>
      </c>
      <c r="B10" t="s">
        <v>456</v>
      </c>
      <c r="C10" t="s">
        <v>299</v>
      </c>
      <c r="D10" t="s">
        <v>319</v>
      </c>
      <c r="E10" s="28">
        <v>80663.514200000005</v>
      </c>
      <c r="F10" s="13">
        <v>25.1886343</v>
      </c>
      <c r="G10" s="14">
        <f>+ROUND(F10/VLOOKUP("Grand Total",$B$4:$F$295,5,0),4)</f>
        <v>0.14749999999999999</v>
      </c>
      <c r="H10" s="15" t="s">
        <v>371</v>
      </c>
      <c r="J10" s="14" t="s">
        <v>64</v>
      </c>
      <c r="K10" s="48">
        <f>+SUMIFS($G$5:$G$997,$B$5:$B$997,"CBLO / Reverse Repo Investments")+SUMIFS($G$5:$G$997,$B$5:$B$997,"Net Receivable/Payable")</f>
        <v>2.0900000000000002E-2</v>
      </c>
    </row>
    <row r="11" spans="1:12" ht="12.75" customHeight="1" x14ac:dyDescent="0.2">
      <c r="A11">
        <f>+MAX($A$7:A10)+1</f>
        <v>4</v>
      </c>
      <c r="B11" t="s">
        <v>335</v>
      </c>
      <c r="C11" t="s">
        <v>301</v>
      </c>
      <c r="D11" t="s">
        <v>319</v>
      </c>
      <c r="E11" s="28">
        <v>423.62299999999999</v>
      </c>
      <c r="F11" s="13">
        <v>11.938349799999999</v>
      </c>
      <c r="G11" s="14">
        <f>+ROUND(F11/VLOOKUP("Grand Total",$B$4:$F$295,5,0),4)</f>
        <v>6.9900000000000004E-2</v>
      </c>
      <c r="H11" s="15" t="s">
        <v>371</v>
      </c>
      <c r="J11" s="14"/>
    </row>
    <row r="12" spans="1:12" ht="12.75" customHeight="1" x14ac:dyDescent="0.2">
      <c r="B12" s="18" t="s">
        <v>85</v>
      </c>
      <c r="C12" s="18"/>
      <c r="D12" s="18"/>
      <c r="E12" s="29"/>
      <c r="F12" s="19">
        <f>SUM(F8:F11)</f>
        <v>167.24464399999999</v>
      </c>
      <c r="G12" s="20">
        <f>SUM(G8:G11)</f>
        <v>0.97909999999999997</v>
      </c>
      <c r="H12" s="21"/>
      <c r="I12" s="35"/>
    </row>
    <row r="13" spans="1:12" ht="11.25" customHeight="1" x14ac:dyDescent="0.2">
      <c r="F13" s="13"/>
      <c r="G13" s="14"/>
      <c r="H13" s="15"/>
      <c r="L13" s="54">
        <f>+SUM($K$10:K10)</f>
        <v>2.0900000000000002E-2</v>
      </c>
    </row>
    <row r="14" spans="1:12" ht="12.75" customHeight="1" x14ac:dyDescent="0.2">
      <c r="A14" s="95" t="s">
        <v>370</v>
      </c>
      <c r="B14" s="16" t="s">
        <v>93</v>
      </c>
      <c r="C14" s="16"/>
      <c r="F14" s="13">
        <v>4.0899200000000002</v>
      </c>
      <c r="G14" s="14">
        <f>+ROUND(F14/VLOOKUP("Grand Total",$B$4:$F$288,5,0),4)</f>
        <v>2.3900000000000001E-2</v>
      </c>
      <c r="H14" s="15">
        <v>43132</v>
      </c>
    </row>
    <row r="15" spans="1:12" ht="12.75" customHeight="1" x14ac:dyDescent="0.2">
      <c r="B15" s="18" t="s">
        <v>85</v>
      </c>
      <c r="C15" s="18"/>
      <c r="D15" s="18"/>
      <c r="E15" s="29"/>
      <c r="F15" s="19">
        <f>SUM(F14:F14)</f>
        <v>4.0899200000000002</v>
      </c>
      <c r="G15" s="20">
        <f>SUM(G14:G14)</f>
        <v>2.3900000000000001E-2</v>
      </c>
      <c r="H15" s="21"/>
      <c r="I15" s="35"/>
    </row>
    <row r="16" spans="1:12" ht="12.75" customHeight="1" x14ac:dyDescent="0.2"/>
    <row r="17" spans="2:9" ht="12.75" customHeight="1" x14ac:dyDescent="0.2">
      <c r="B17" s="16" t="s">
        <v>94</v>
      </c>
      <c r="C17" s="16"/>
      <c r="F17" s="13"/>
      <c r="G17" s="14"/>
      <c r="H17" s="15"/>
    </row>
    <row r="18" spans="2:9" ht="12.75" customHeight="1" x14ac:dyDescent="0.2">
      <c r="B18" s="16" t="s">
        <v>95</v>
      </c>
      <c r="C18" s="16"/>
      <c r="F18" s="13">
        <v>-0.50919110000000956</v>
      </c>
      <c r="G18" s="125">
        <f>+ROUND(F18/VLOOKUP("Grand Total",$B$4:$F$295,5,0),4)</f>
        <v>-3.0000000000000001E-3</v>
      </c>
      <c r="H18" s="15"/>
    </row>
    <row r="19" spans="2:9" ht="12.75" customHeight="1" x14ac:dyDescent="0.2">
      <c r="B19" s="18" t="s">
        <v>85</v>
      </c>
      <c r="C19" s="18"/>
      <c r="D19" s="18"/>
      <c r="E19" s="29"/>
      <c r="F19" s="19">
        <f>SUM(F18:F18)</f>
        <v>-0.50919110000000956</v>
      </c>
      <c r="G19" s="126">
        <f>SUM(G18:G18)</f>
        <v>-3.0000000000000001E-3</v>
      </c>
      <c r="H19" s="21"/>
      <c r="I19" s="35"/>
    </row>
    <row r="20" spans="2:9" ht="12.75" customHeight="1" x14ac:dyDescent="0.2">
      <c r="B20" s="22" t="s">
        <v>96</v>
      </c>
      <c r="C20" s="22"/>
      <c r="D20" s="22"/>
      <c r="E20" s="30"/>
      <c r="F20" s="23">
        <f>+SUMIF($B$5:B19,"Total",$F$5:F19)</f>
        <v>170.82537289999999</v>
      </c>
      <c r="G20" s="24">
        <f>+SUMIF($B$5:B19,"Total",$G$5:G19)</f>
        <v>0.99999999999999989</v>
      </c>
      <c r="H20" s="25"/>
      <c r="I20" s="35"/>
    </row>
    <row r="21" spans="2:9" ht="12.75" customHeight="1" x14ac:dyDescent="0.2"/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>
      <c r="B25" s="16"/>
      <c r="C25" s="16"/>
    </row>
    <row r="26" spans="2:9" ht="12.75" customHeight="1" x14ac:dyDescent="0.2">
      <c r="B26" s="16"/>
      <c r="C26" s="16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12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42578125" style="28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  <col min="10" max="10" width="15" style="33" customWidth="1"/>
    <col min="11" max="11" width="21.5703125" bestFit="1" customWidth="1"/>
    <col min="12" max="12" width="8.28515625" style="36" bestFit="1" customWidth="1"/>
    <col min="13" max="13" width="13.42578125" bestFit="1" customWidth="1"/>
    <col min="14" max="14" width="10.140625" bestFit="1" customWidth="1"/>
    <col min="18" max="18" width="10.140625" bestFit="1" customWidth="1"/>
  </cols>
  <sheetData>
    <row r="1" spans="1:13" ht="18.75" x14ac:dyDescent="0.2">
      <c r="A1" s="94" t="s">
        <v>392</v>
      </c>
      <c r="B1" s="127" t="s">
        <v>329</v>
      </c>
      <c r="C1" s="128"/>
      <c r="D1" s="128"/>
      <c r="E1" s="128"/>
      <c r="F1" s="128"/>
      <c r="G1" s="128"/>
      <c r="H1" s="66"/>
      <c r="I1" s="66"/>
    </row>
    <row r="2" spans="1:13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  <c r="I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3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124" t="s">
        <v>725</v>
      </c>
      <c r="I4" s="32" t="s">
        <v>7</v>
      </c>
      <c r="J4" s="34"/>
    </row>
    <row r="5" spans="1:13" ht="12.75" customHeight="1" x14ac:dyDescent="0.2">
      <c r="B5" s="16"/>
      <c r="F5" s="13"/>
      <c r="G5" s="14"/>
      <c r="H5" s="14"/>
      <c r="I5" s="15"/>
    </row>
    <row r="6" spans="1:13" ht="12.75" customHeight="1" x14ac:dyDescent="0.2">
      <c r="B6" s="16"/>
      <c r="F6" s="13"/>
      <c r="G6" s="14"/>
      <c r="H6" s="14"/>
      <c r="I6" s="15"/>
    </row>
    <row r="7" spans="1:13" ht="12.75" customHeight="1" x14ac:dyDescent="0.2">
      <c r="B7" s="16" t="s">
        <v>9</v>
      </c>
      <c r="C7" s="16"/>
      <c r="F7" s="13"/>
      <c r="G7" s="14"/>
      <c r="H7" s="14"/>
      <c r="I7" s="15"/>
      <c r="K7" s="17" t="s">
        <v>4</v>
      </c>
      <c r="L7" s="37" t="s">
        <v>12</v>
      </c>
    </row>
    <row r="8" spans="1:13" ht="12.75" customHeight="1" x14ac:dyDescent="0.2">
      <c r="B8" s="16" t="s">
        <v>773</v>
      </c>
      <c r="C8" s="16"/>
      <c r="F8" s="13"/>
      <c r="G8" s="14"/>
      <c r="H8" s="14"/>
      <c r="I8" s="15"/>
      <c r="K8" s="106" t="s">
        <v>24</v>
      </c>
      <c r="L8" s="48">
        <f t="shared" ref="L8:L21" si="0">SUMIFS($G$5:$G$325,$D$5:$D$325,K8)</f>
        <v>0.15739999999999998</v>
      </c>
    </row>
    <row r="9" spans="1:13" s="77" customFormat="1" ht="12.75" customHeight="1" x14ac:dyDescent="0.2">
      <c r="A9" s="77">
        <f>+MAX($A$7:A8)+1</f>
        <v>1</v>
      </c>
      <c r="B9" s="77" t="s">
        <v>214</v>
      </c>
      <c r="C9" s="77" t="s">
        <v>65</v>
      </c>
      <c r="D9" s="77" t="s">
        <v>34</v>
      </c>
      <c r="E9" s="74">
        <v>17000</v>
      </c>
      <c r="F9" s="75">
        <v>74.774500000000003</v>
      </c>
      <c r="G9" s="76">
        <f>+ROUND(F9/VLOOKUP("Grand Total",$B$4:$F$225,5,0),4)</f>
        <v>8.6900000000000005E-2</v>
      </c>
      <c r="H9" s="76"/>
      <c r="I9" s="104"/>
      <c r="J9" s="105"/>
      <c r="K9" s="106" t="s">
        <v>319</v>
      </c>
      <c r="L9" s="48">
        <f t="shared" si="0"/>
        <v>0.12570000000000001</v>
      </c>
      <c r="M9" s="75"/>
    </row>
    <row r="10" spans="1:13" s="77" customFormat="1" ht="12.75" customHeight="1" x14ac:dyDescent="0.2">
      <c r="A10" s="77">
        <f>+A9+1</f>
        <v>2</v>
      </c>
      <c r="B10" s="77" t="s">
        <v>214</v>
      </c>
      <c r="C10" s="123" t="s">
        <v>724</v>
      </c>
      <c r="D10" s="77" t="s">
        <v>322</v>
      </c>
      <c r="E10" s="74">
        <v>-17000</v>
      </c>
      <c r="F10" s="80">
        <v>-75.046499999999995</v>
      </c>
      <c r="G10" s="130"/>
      <c r="H10" s="130">
        <f>+ROUND(F10/VLOOKUP("Grand Total",$B$4:$F$225,5,0),4)</f>
        <v>-8.72E-2</v>
      </c>
      <c r="I10" s="104">
        <v>43153</v>
      </c>
      <c r="J10" s="105"/>
      <c r="K10" s="106" t="s">
        <v>32</v>
      </c>
      <c r="L10" s="48">
        <f t="shared" si="0"/>
        <v>0.12440000000000001</v>
      </c>
      <c r="M10" s="75"/>
    </row>
    <row r="11" spans="1:13" s="77" customFormat="1" ht="12.75" customHeight="1" x14ac:dyDescent="0.2">
      <c r="A11" s="77">
        <f t="shared" ref="A11:A32" si="1">+A10+1</f>
        <v>3</v>
      </c>
      <c r="B11" s="77" t="s">
        <v>336</v>
      </c>
      <c r="C11" s="77" t="s">
        <v>337</v>
      </c>
      <c r="D11" s="77" t="s">
        <v>24</v>
      </c>
      <c r="E11" s="74">
        <v>118800</v>
      </c>
      <c r="F11" s="75">
        <v>66.943799999999996</v>
      </c>
      <c r="G11" s="76">
        <f>+ROUND(F11/VLOOKUP("Grand Total",$B$4:$F$225,5,0),4)</f>
        <v>7.7799999999999994E-2</v>
      </c>
      <c r="H11" s="76"/>
      <c r="I11" s="104"/>
      <c r="J11" s="105"/>
      <c r="K11" s="106" t="s">
        <v>34</v>
      </c>
      <c r="L11" s="48">
        <f t="shared" si="0"/>
        <v>8.6900000000000005E-2</v>
      </c>
      <c r="M11" s="75"/>
    </row>
    <row r="12" spans="1:13" s="77" customFormat="1" ht="12.75" customHeight="1" x14ac:dyDescent="0.2">
      <c r="A12" s="77">
        <f t="shared" si="1"/>
        <v>4</v>
      </c>
      <c r="B12" s="77" t="s">
        <v>336</v>
      </c>
      <c r="C12" s="123" t="s">
        <v>724</v>
      </c>
      <c r="D12" s="77" t="s">
        <v>322</v>
      </c>
      <c r="E12" s="74">
        <v>-118800</v>
      </c>
      <c r="F12" s="80">
        <v>-67.181399999999996</v>
      </c>
      <c r="G12" s="130"/>
      <c r="H12" s="130">
        <f>+ROUND(F12/VLOOKUP("Grand Total",$B$4:$F$225,5,0),4)</f>
        <v>-7.8100000000000003E-2</v>
      </c>
      <c r="I12" s="104">
        <v>43153</v>
      </c>
      <c r="J12" s="105"/>
      <c r="K12" s="106" t="s">
        <v>22</v>
      </c>
      <c r="L12" s="48">
        <f t="shared" si="0"/>
        <v>7.6100000000000001E-2</v>
      </c>
      <c r="M12" s="75"/>
    </row>
    <row r="13" spans="1:13" s="77" customFormat="1" ht="12.75" customHeight="1" x14ac:dyDescent="0.2">
      <c r="A13" s="77">
        <f t="shared" si="1"/>
        <v>5</v>
      </c>
      <c r="B13" s="77" t="s">
        <v>218</v>
      </c>
      <c r="C13" s="77" t="s">
        <v>73</v>
      </c>
      <c r="D13" s="77" t="s">
        <v>32</v>
      </c>
      <c r="E13" s="74">
        <v>27500</v>
      </c>
      <c r="F13" s="75">
        <v>66.33</v>
      </c>
      <c r="G13" s="76">
        <f>+ROUND(F13/VLOOKUP("Grand Total",$B$4:$F$225,5,0),4)</f>
        <v>7.7100000000000002E-2</v>
      </c>
      <c r="H13" s="76"/>
      <c r="I13" s="104"/>
      <c r="J13" s="105"/>
      <c r="K13" s="106" t="s">
        <v>18</v>
      </c>
      <c r="L13" s="48">
        <f t="shared" si="0"/>
        <v>6.8400000000000002E-2</v>
      </c>
      <c r="M13" s="75"/>
    </row>
    <row r="14" spans="1:13" s="77" customFormat="1" ht="12.75" customHeight="1" x14ac:dyDescent="0.2">
      <c r="A14" s="77">
        <f t="shared" si="1"/>
        <v>6</v>
      </c>
      <c r="B14" s="77" t="s">
        <v>218</v>
      </c>
      <c r="C14" s="123" t="s">
        <v>724</v>
      </c>
      <c r="D14" s="77" t="s">
        <v>322</v>
      </c>
      <c r="E14" s="74">
        <v>-27500</v>
      </c>
      <c r="F14" s="80">
        <v>-66.22</v>
      </c>
      <c r="G14" s="130"/>
      <c r="H14" s="130">
        <f>+ROUND(F14/VLOOKUP("Grand Total",$B$4:$F$225,5,0),4)</f>
        <v>-7.6899999999999996E-2</v>
      </c>
      <c r="I14" s="104">
        <v>43153</v>
      </c>
      <c r="J14" s="105"/>
      <c r="K14" s="106" t="s">
        <v>30</v>
      </c>
      <c r="L14" s="48">
        <f t="shared" si="0"/>
        <v>6.7000000000000004E-2</v>
      </c>
      <c r="M14" s="75"/>
    </row>
    <row r="15" spans="1:13" s="77" customFormat="1" ht="12.75" customHeight="1" x14ac:dyDescent="0.2">
      <c r="A15" s="77">
        <f t="shared" si="1"/>
        <v>7</v>
      </c>
      <c r="B15" s="77" t="s">
        <v>215</v>
      </c>
      <c r="C15" s="77" t="s">
        <v>61</v>
      </c>
      <c r="D15" s="77" t="s">
        <v>22</v>
      </c>
      <c r="E15" s="74">
        <v>10400</v>
      </c>
      <c r="F15" s="75">
        <v>65.473200000000006</v>
      </c>
      <c r="G15" s="76">
        <f>+ROUND(F15/VLOOKUP("Grand Total",$B$4:$F$225,5,0),4)</f>
        <v>7.6100000000000001E-2</v>
      </c>
      <c r="H15" s="76"/>
      <c r="I15" s="104"/>
      <c r="J15" s="105"/>
      <c r="K15" s="106" t="s">
        <v>290</v>
      </c>
      <c r="L15" s="48">
        <f t="shared" si="0"/>
        <v>5.7700000000000001E-2</v>
      </c>
      <c r="M15" s="75"/>
    </row>
    <row r="16" spans="1:13" s="77" customFormat="1" ht="12.75" customHeight="1" x14ac:dyDescent="0.2">
      <c r="A16" s="77">
        <f t="shared" si="1"/>
        <v>8</v>
      </c>
      <c r="B16" s="77" t="s">
        <v>215</v>
      </c>
      <c r="C16" s="123" t="s">
        <v>724</v>
      </c>
      <c r="D16" s="77" t="s">
        <v>322</v>
      </c>
      <c r="E16" s="74">
        <v>-10400</v>
      </c>
      <c r="F16" s="80">
        <v>-65.421199999999999</v>
      </c>
      <c r="G16" s="130"/>
      <c r="H16" s="130">
        <f>+ROUND(F16/VLOOKUP("Grand Total",$B$4:$F$225,5,0),4)</f>
        <v>-7.5999999999999998E-2</v>
      </c>
      <c r="I16" s="104">
        <v>43153</v>
      </c>
      <c r="J16" s="105"/>
      <c r="K16" s="106" t="s">
        <v>161</v>
      </c>
      <c r="L16" s="48">
        <f t="shared" si="0"/>
        <v>4.65E-2</v>
      </c>
      <c r="M16" s="75"/>
    </row>
    <row r="17" spans="1:13" s="77" customFormat="1" ht="12.75" customHeight="1" x14ac:dyDescent="0.2">
      <c r="A17" s="77">
        <f t="shared" si="1"/>
        <v>9</v>
      </c>
      <c r="B17" s="77" t="s">
        <v>202</v>
      </c>
      <c r="C17" s="77" t="s">
        <v>44</v>
      </c>
      <c r="D17" s="77" t="s">
        <v>24</v>
      </c>
      <c r="E17" s="74">
        <v>10500</v>
      </c>
      <c r="F17" s="75">
        <v>61.131</v>
      </c>
      <c r="G17" s="76">
        <f>+ROUND(F17/VLOOKUP("Grand Total",$B$4:$F$225,5,0),4)</f>
        <v>7.0999999999999994E-2</v>
      </c>
      <c r="H17" s="76"/>
      <c r="I17" s="104"/>
      <c r="J17" s="105"/>
      <c r="K17" s="106" t="s">
        <v>37</v>
      </c>
      <c r="L17" s="48">
        <f t="shared" si="0"/>
        <v>4.2000000000000003E-2</v>
      </c>
      <c r="M17" s="75"/>
    </row>
    <row r="18" spans="1:13" s="77" customFormat="1" ht="12.75" customHeight="1" x14ac:dyDescent="0.2">
      <c r="A18" s="77">
        <f t="shared" si="1"/>
        <v>10</v>
      </c>
      <c r="B18" s="77" t="s">
        <v>202</v>
      </c>
      <c r="C18" s="123" t="s">
        <v>724</v>
      </c>
      <c r="D18" s="77" t="s">
        <v>322</v>
      </c>
      <c r="E18" s="74">
        <v>-10500</v>
      </c>
      <c r="F18" s="80">
        <v>-61.440750000000001</v>
      </c>
      <c r="G18" s="130"/>
      <c r="H18" s="130">
        <f>+ROUND(F18/VLOOKUP("Grand Total",$B$4:$F$225,5,0),4)</f>
        <v>-7.1400000000000005E-2</v>
      </c>
      <c r="I18" s="104">
        <v>43153</v>
      </c>
      <c r="J18" s="105"/>
      <c r="K18" s="106" t="s">
        <v>36</v>
      </c>
      <c r="L18" s="48">
        <f t="shared" si="0"/>
        <v>4.0399999999999998E-2</v>
      </c>
      <c r="M18" s="75"/>
    </row>
    <row r="19" spans="1:13" s="77" customFormat="1" ht="12.75" customHeight="1" x14ac:dyDescent="0.2">
      <c r="A19" s="77">
        <f t="shared" si="1"/>
        <v>11</v>
      </c>
      <c r="B19" s="77" t="s">
        <v>310</v>
      </c>
      <c r="C19" s="77" t="s">
        <v>67</v>
      </c>
      <c r="D19" s="77" t="s">
        <v>18</v>
      </c>
      <c r="E19" s="74">
        <v>35000</v>
      </c>
      <c r="F19" s="75">
        <v>58.852499999999999</v>
      </c>
      <c r="G19" s="76">
        <f>+ROUND(F19/VLOOKUP("Grand Total",$B$4:$F$225,5,0),4)</f>
        <v>6.8400000000000002E-2</v>
      </c>
      <c r="H19" s="76"/>
      <c r="I19" s="104"/>
      <c r="J19" s="105"/>
      <c r="K19" s="106" t="s">
        <v>176</v>
      </c>
      <c r="L19" s="48">
        <f t="shared" si="0"/>
        <v>3.9600000000000003E-2</v>
      </c>
      <c r="M19" s="75"/>
    </row>
    <row r="20" spans="1:13" s="77" customFormat="1" ht="12.75" customHeight="1" x14ac:dyDescent="0.2">
      <c r="A20" s="77">
        <f t="shared" si="1"/>
        <v>12</v>
      </c>
      <c r="B20" s="77" t="s">
        <v>310</v>
      </c>
      <c r="C20" s="123" t="s">
        <v>724</v>
      </c>
      <c r="D20" s="77" t="s">
        <v>322</v>
      </c>
      <c r="E20" s="74">
        <v>-35000</v>
      </c>
      <c r="F20" s="80">
        <v>-59.01</v>
      </c>
      <c r="G20" s="130"/>
      <c r="H20" s="130">
        <f>+ROUND(F20/VLOOKUP("Grand Total",$B$4:$F$225,5,0),4)</f>
        <v>-6.8599999999999994E-2</v>
      </c>
      <c r="I20" s="104">
        <v>43153</v>
      </c>
      <c r="J20" s="105"/>
      <c r="K20" s="106" t="s">
        <v>578</v>
      </c>
      <c r="L20" s="48">
        <f t="shared" si="0"/>
        <v>1.0999999999999999E-2</v>
      </c>
      <c r="M20" s="75"/>
    </row>
    <row r="21" spans="1:13" s="77" customFormat="1" ht="12.75" customHeight="1" x14ac:dyDescent="0.2">
      <c r="A21" s="77">
        <f t="shared" si="1"/>
        <v>13</v>
      </c>
      <c r="B21" s="77" t="s">
        <v>193</v>
      </c>
      <c r="C21" s="77" t="s">
        <v>31</v>
      </c>
      <c r="D21" s="77" t="s">
        <v>30</v>
      </c>
      <c r="E21" s="74">
        <v>6000</v>
      </c>
      <c r="F21" s="75">
        <v>57.677999999999997</v>
      </c>
      <c r="G21" s="76">
        <f>+ROUND(F21/VLOOKUP("Grand Total",$B$4:$F$225,5,0),4)</f>
        <v>6.7000000000000004E-2</v>
      </c>
      <c r="H21" s="76"/>
      <c r="I21" s="104"/>
      <c r="J21" s="105"/>
      <c r="K21" s="106" t="s">
        <v>322</v>
      </c>
      <c r="L21" s="48">
        <f t="shared" si="0"/>
        <v>0</v>
      </c>
      <c r="M21" s="75"/>
    </row>
    <row r="22" spans="1:13" s="77" customFormat="1" ht="12.75" customHeight="1" x14ac:dyDescent="0.2">
      <c r="A22" s="77">
        <f t="shared" si="1"/>
        <v>14</v>
      </c>
      <c r="B22" s="77" t="s">
        <v>193</v>
      </c>
      <c r="C22" s="123" t="s">
        <v>724</v>
      </c>
      <c r="D22" s="77" t="s">
        <v>322</v>
      </c>
      <c r="E22" s="74">
        <v>-6000</v>
      </c>
      <c r="F22" s="80">
        <v>-57.984000000000002</v>
      </c>
      <c r="G22" s="130"/>
      <c r="H22" s="130">
        <f>+ROUND(F22/VLOOKUP("Grand Total",$B$4:$F$225,5,0),4)</f>
        <v>-6.7400000000000002E-2</v>
      </c>
      <c r="I22" s="104">
        <v>43153</v>
      </c>
      <c r="J22" s="105"/>
      <c r="K22" s="14" t="s">
        <v>64</v>
      </c>
      <c r="L22" s="48">
        <f>+SUMIFS($G$5:$G$997,$B$5:$B$997,"CBLO / Reverse Repo Investments")+SUMIFS($G$5:$G$997,$B$5:$B$997,"Net Receivable/Payable")</f>
        <v>5.6900000000000006E-2</v>
      </c>
      <c r="M22" s="75"/>
    </row>
    <row r="23" spans="1:13" s="77" customFormat="1" ht="12.75" customHeight="1" x14ac:dyDescent="0.2">
      <c r="A23" s="77">
        <f t="shared" si="1"/>
        <v>15</v>
      </c>
      <c r="B23" s="77" t="s">
        <v>340</v>
      </c>
      <c r="C23" s="77" t="s">
        <v>341</v>
      </c>
      <c r="D23" s="77" t="s">
        <v>32</v>
      </c>
      <c r="E23" s="74">
        <v>18000</v>
      </c>
      <c r="F23" s="75">
        <v>40.670999999999999</v>
      </c>
      <c r="G23" s="76">
        <f>+ROUND(F23/VLOOKUP("Grand Total",$B$4:$F$225,5,0),4)</f>
        <v>4.7300000000000002E-2</v>
      </c>
      <c r="H23" s="76"/>
      <c r="I23" s="104"/>
      <c r="J23" s="105"/>
      <c r="K23" s="106"/>
      <c r="L23" s="48"/>
      <c r="M23" s="75"/>
    </row>
    <row r="24" spans="1:13" s="77" customFormat="1" ht="12.75" customHeight="1" x14ac:dyDescent="0.2">
      <c r="A24" s="77">
        <f t="shared" si="1"/>
        <v>16</v>
      </c>
      <c r="B24" s="77" t="s">
        <v>340</v>
      </c>
      <c r="C24" s="123" t="s">
        <v>724</v>
      </c>
      <c r="D24" s="77" t="s">
        <v>322</v>
      </c>
      <c r="E24" s="74">
        <v>-18000</v>
      </c>
      <c r="F24" s="80">
        <v>-40.787999999999997</v>
      </c>
      <c r="G24" s="130"/>
      <c r="H24" s="130">
        <f>+ROUND(F24/VLOOKUP("Grand Total",$B$4:$F$225,5,0),4)</f>
        <v>-4.7399999999999998E-2</v>
      </c>
      <c r="I24" s="104">
        <v>43153</v>
      </c>
      <c r="J24" s="105"/>
      <c r="K24" s="106"/>
      <c r="L24" s="48"/>
      <c r="M24" s="75"/>
    </row>
    <row r="25" spans="1:13" s="77" customFormat="1" ht="12.75" customHeight="1" x14ac:dyDescent="0.2">
      <c r="A25" s="77">
        <f t="shared" si="1"/>
        <v>17</v>
      </c>
      <c r="B25" s="77" t="s">
        <v>221</v>
      </c>
      <c r="C25" s="77" t="s">
        <v>222</v>
      </c>
      <c r="D25" s="77" t="s">
        <v>37</v>
      </c>
      <c r="E25" s="74">
        <v>4800</v>
      </c>
      <c r="F25" s="75">
        <v>36.175199999999997</v>
      </c>
      <c r="G25" s="76">
        <f>+ROUND(F25/VLOOKUP("Grand Total",$B$4:$F$225,5,0),4)</f>
        <v>4.2000000000000003E-2</v>
      </c>
      <c r="H25" s="76"/>
      <c r="I25" s="104"/>
      <c r="J25" s="105"/>
      <c r="K25" s="106"/>
      <c r="L25" s="48"/>
      <c r="M25" s="75"/>
    </row>
    <row r="26" spans="1:13" s="77" customFormat="1" ht="12.75" customHeight="1" x14ac:dyDescent="0.2">
      <c r="A26" s="77">
        <f t="shared" si="1"/>
        <v>18</v>
      </c>
      <c r="B26" s="77" t="s">
        <v>221</v>
      </c>
      <c r="C26" s="123" t="s">
        <v>724</v>
      </c>
      <c r="D26" s="77" t="s">
        <v>322</v>
      </c>
      <c r="E26" s="74">
        <v>-4800</v>
      </c>
      <c r="F26" s="80">
        <v>-36.391199999999998</v>
      </c>
      <c r="G26" s="130"/>
      <c r="H26" s="130">
        <f>+ROUND(F26/VLOOKUP("Grand Total",$B$4:$F$225,5,0),4)</f>
        <v>-4.2299999999999997E-2</v>
      </c>
      <c r="I26" s="104">
        <v>43153</v>
      </c>
      <c r="J26" s="105"/>
      <c r="K26" s="106"/>
      <c r="L26" s="48"/>
      <c r="M26" s="75"/>
    </row>
    <row r="27" spans="1:13" s="77" customFormat="1" ht="12.75" customHeight="1" x14ac:dyDescent="0.2">
      <c r="A27" s="77">
        <f t="shared" si="1"/>
        <v>19</v>
      </c>
      <c r="B27" s="77" t="s">
        <v>705</v>
      </c>
      <c r="C27" s="77" t="s">
        <v>706</v>
      </c>
      <c r="D27" s="77" t="s">
        <v>36</v>
      </c>
      <c r="E27" s="74">
        <v>3300</v>
      </c>
      <c r="F27" s="75">
        <v>34.806750000000001</v>
      </c>
      <c r="G27" s="76">
        <f>+ROUND(F27/VLOOKUP("Grand Total",$B$4:$F$225,5,0),4)</f>
        <v>4.0399999999999998E-2</v>
      </c>
      <c r="H27" s="76"/>
      <c r="I27" s="104"/>
      <c r="J27" s="105"/>
      <c r="K27" s="106"/>
      <c r="L27" s="48"/>
      <c r="M27" s="75"/>
    </row>
    <row r="28" spans="1:13" s="77" customFormat="1" ht="12.75" customHeight="1" x14ac:dyDescent="0.2">
      <c r="A28" s="77">
        <f t="shared" si="1"/>
        <v>20</v>
      </c>
      <c r="B28" s="77" t="s">
        <v>705</v>
      </c>
      <c r="C28" s="123" t="s">
        <v>724</v>
      </c>
      <c r="D28" s="77" t="s">
        <v>322</v>
      </c>
      <c r="E28" s="74">
        <v>-3300</v>
      </c>
      <c r="F28" s="80">
        <v>-34.988250000000001</v>
      </c>
      <c r="G28" s="130"/>
      <c r="H28" s="130">
        <f>+ROUND(F28/VLOOKUP("Grand Total",$B$4:$F$225,5,0),4)</f>
        <v>-4.07E-2</v>
      </c>
      <c r="I28" s="104">
        <v>43153</v>
      </c>
      <c r="J28" s="105"/>
      <c r="K28" s="106"/>
      <c r="L28" s="48"/>
      <c r="M28" s="75"/>
    </row>
    <row r="29" spans="1:13" s="77" customFormat="1" ht="12.75" customHeight="1" x14ac:dyDescent="0.2">
      <c r="A29" s="77">
        <f t="shared" si="1"/>
        <v>21</v>
      </c>
      <c r="B29" s="77" t="s">
        <v>483</v>
      </c>
      <c r="C29" s="77" t="s">
        <v>484</v>
      </c>
      <c r="D29" s="77" t="s">
        <v>176</v>
      </c>
      <c r="E29" s="74">
        <v>24500</v>
      </c>
      <c r="F29" s="75">
        <v>34.067250000000001</v>
      </c>
      <c r="G29" s="76">
        <f>+ROUND(F29/VLOOKUP("Grand Total",$B$4:$F$225,5,0),4)</f>
        <v>3.9600000000000003E-2</v>
      </c>
      <c r="H29" s="76"/>
      <c r="I29" s="104"/>
      <c r="J29" s="105"/>
      <c r="K29" s="106"/>
      <c r="L29" s="48"/>
      <c r="M29" s="75"/>
    </row>
    <row r="30" spans="1:13" s="77" customFormat="1" ht="12.75" customHeight="1" x14ac:dyDescent="0.2">
      <c r="A30" s="77">
        <f t="shared" si="1"/>
        <v>22</v>
      </c>
      <c r="B30" s="77" t="s">
        <v>483</v>
      </c>
      <c r="C30" s="123" t="s">
        <v>724</v>
      </c>
      <c r="D30" s="77" t="s">
        <v>322</v>
      </c>
      <c r="E30" s="74">
        <v>-24500</v>
      </c>
      <c r="F30" s="80">
        <v>-34.21425</v>
      </c>
      <c r="G30" s="130"/>
      <c r="H30" s="130">
        <f>+ROUND(F30/VLOOKUP("Grand Total",$B$4:$F$225,5,0),4)</f>
        <v>-3.9800000000000002E-2</v>
      </c>
      <c r="I30" s="104">
        <v>43153</v>
      </c>
      <c r="J30" s="105"/>
      <c r="K30" s="106"/>
      <c r="L30" s="48"/>
      <c r="M30" s="75"/>
    </row>
    <row r="31" spans="1:13" s="77" customFormat="1" ht="12.75" customHeight="1" x14ac:dyDescent="0.2">
      <c r="A31" s="77">
        <f t="shared" si="1"/>
        <v>23</v>
      </c>
      <c r="B31" s="77" t="s">
        <v>647</v>
      </c>
      <c r="C31" s="77" t="s">
        <v>648</v>
      </c>
      <c r="D31" s="77" t="s">
        <v>24</v>
      </c>
      <c r="E31" s="74">
        <v>1500</v>
      </c>
      <c r="F31" s="75">
        <v>7.3665000000000003</v>
      </c>
      <c r="G31" s="76">
        <f>+ROUND(F31/VLOOKUP("Grand Total",$B$4:$F$225,5,0),4)</f>
        <v>8.6E-3</v>
      </c>
      <c r="H31" s="76"/>
      <c r="I31" s="104"/>
      <c r="J31" s="105"/>
      <c r="K31" s="106"/>
      <c r="L31" s="48"/>
      <c r="M31" s="75"/>
    </row>
    <row r="32" spans="1:13" s="77" customFormat="1" ht="12.75" customHeight="1" x14ac:dyDescent="0.2">
      <c r="A32" s="77">
        <f t="shared" si="1"/>
        <v>24</v>
      </c>
      <c r="B32" s="77" t="s">
        <v>647</v>
      </c>
      <c r="C32" s="123" t="s">
        <v>724</v>
      </c>
      <c r="D32" s="77" t="s">
        <v>322</v>
      </c>
      <c r="E32" s="74">
        <v>-1500</v>
      </c>
      <c r="F32" s="80">
        <v>-7.3605</v>
      </c>
      <c r="G32" s="130"/>
      <c r="H32" s="130">
        <f>+ROUND(F32/VLOOKUP("Grand Total",$B$4:$F$225,5,0),4)</f>
        <v>-8.6E-3</v>
      </c>
      <c r="I32" s="104">
        <v>43153</v>
      </c>
      <c r="J32" s="105"/>
      <c r="K32" s="106"/>
      <c r="L32" s="48"/>
      <c r="M32" s="75"/>
    </row>
    <row r="33" spans="1:12" ht="12.75" customHeight="1" x14ac:dyDescent="0.2">
      <c r="B33" s="18" t="s">
        <v>85</v>
      </c>
      <c r="C33" s="18"/>
      <c r="D33" s="18"/>
      <c r="E33" s="19"/>
      <c r="F33" s="19">
        <f t="shared" ref="F33" si="2">+F9+F11+F13+F15+F17+F19+F21+F23+F25+F27+F29+F31</f>
        <v>604.26969999999994</v>
      </c>
      <c r="G33" s="20">
        <f>+G9+G11+G13+G15+G17+G19+G21+G23+G25+G27+G29+G31</f>
        <v>0.70220000000000005</v>
      </c>
      <c r="H33" s="20">
        <f>SUM(H9:H32)</f>
        <v>-0.70440000000000003</v>
      </c>
      <c r="I33" s="21"/>
      <c r="J33" s="55"/>
      <c r="K33" s="46"/>
      <c r="L33" s="48"/>
    </row>
    <row r="34" spans="1:12" s="46" customFormat="1" ht="12.75" customHeight="1" x14ac:dyDescent="0.2">
      <c r="B34" s="67"/>
      <c r="C34" s="67"/>
      <c r="D34" s="67"/>
      <c r="E34" s="68"/>
      <c r="F34" s="69"/>
      <c r="G34" s="70"/>
      <c r="H34" s="70"/>
      <c r="I34" s="33"/>
      <c r="K34" s="14"/>
      <c r="L34" s="48"/>
    </row>
    <row r="35" spans="1:12" ht="12.75" customHeight="1" x14ac:dyDescent="0.2">
      <c r="B35" s="16" t="s">
        <v>91</v>
      </c>
      <c r="C35" s="16"/>
      <c r="F35" s="13"/>
      <c r="G35" s="14"/>
      <c r="H35" s="14"/>
      <c r="I35" s="33"/>
      <c r="J35"/>
      <c r="K35" s="36"/>
      <c r="L35"/>
    </row>
    <row r="36" spans="1:12" ht="12.75" customHeight="1" x14ac:dyDescent="0.2">
      <c r="B36" s="16" t="s">
        <v>306</v>
      </c>
      <c r="C36" s="16"/>
      <c r="F36" s="13"/>
      <c r="G36" s="14"/>
      <c r="H36" s="14"/>
      <c r="I36" s="33"/>
      <c r="J36"/>
      <c r="K36" s="36"/>
      <c r="L36"/>
    </row>
    <row r="37" spans="1:12" ht="12.75" customHeight="1" x14ac:dyDescent="0.2">
      <c r="A37">
        <f>+MAX($A$7:A36)+1</f>
        <v>25</v>
      </c>
      <c r="B37" s="65" t="s">
        <v>579</v>
      </c>
      <c r="C37" t="s">
        <v>684</v>
      </c>
      <c r="D37" t="s">
        <v>290</v>
      </c>
      <c r="E37" s="28">
        <v>10</v>
      </c>
      <c r="F37" s="13">
        <v>49.697499999999998</v>
      </c>
      <c r="G37" s="14">
        <f>+ROUND(F37/VLOOKUP("Grand Total",$B$4:$F$251,5,0),4)</f>
        <v>5.7700000000000001E-2</v>
      </c>
      <c r="H37" s="14"/>
      <c r="I37" s="15">
        <v>43164</v>
      </c>
      <c r="J37"/>
      <c r="K37" s="36"/>
      <c r="L37"/>
    </row>
    <row r="38" spans="1:12" ht="12.75" customHeight="1" x14ac:dyDescent="0.2">
      <c r="A38">
        <f>+MAX($A$7:A37)+1</f>
        <v>26</v>
      </c>
      <c r="B38" s="65" t="s">
        <v>452</v>
      </c>
      <c r="C38" t="s">
        <v>665</v>
      </c>
      <c r="D38" t="s">
        <v>161</v>
      </c>
      <c r="E38" s="28">
        <v>8</v>
      </c>
      <c r="F38" s="13">
        <v>40</v>
      </c>
      <c r="G38" s="14">
        <f>+ROUND(F38/VLOOKUP("Grand Total",$B$4:$F$251,5,0),4)</f>
        <v>4.65E-2</v>
      </c>
      <c r="H38" s="14"/>
      <c r="I38" s="15">
        <v>43132</v>
      </c>
      <c r="J38"/>
      <c r="K38" s="36"/>
      <c r="L38"/>
    </row>
    <row r="39" spans="1:12" ht="12.75" customHeight="1" x14ac:dyDescent="0.2">
      <c r="A39">
        <f>+MAX($A$7:A38)+1</f>
        <v>27</v>
      </c>
      <c r="B39" s="65" t="s">
        <v>291</v>
      </c>
      <c r="C39" t="s">
        <v>563</v>
      </c>
      <c r="D39" t="s">
        <v>578</v>
      </c>
      <c r="E39" s="28">
        <v>2</v>
      </c>
      <c r="F39" s="13">
        <v>9.4907000000000004</v>
      </c>
      <c r="G39" s="14">
        <f>+ROUND(F39/VLOOKUP("Grand Total",$B$4:$F$251,5,0),4)</f>
        <v>1.0999999999999999E-2</v>
      </c>
      <c r="H39" s="14"/>
      <c r="I39" s="15">
        <v>43350</v>
      </c>
      <c r="J39"/>
      <c r="K39" s="36"/>
      <c r="L39"/>
    </row>
    <row r="40" spans="1:12" ht="12.75" customHeight="1" x14ac:dyDescent="0.2">
      <c r="B40" s="18" t="s">
        <v>85</v>
      </c>
      <c r="C40" s="18"/>
      <c r="D40" s="18"/>
      <c r="E40" s="29"/>
      <c r="F40" s="19">
        <f>SUM(F37:F39)</f>
        <v>99.188199999999995</v>
      </c>
      <c r="G40" s="20">
        <f>SUM(G37:G39)</f>
        <v>0.1152</v>
      </c>
      <c r="H40" s="20"/>
      <c r="I40" s="21"/>
      <c r="J40"/>
      <c r="K40" s="36"/>
      <c r="L40"/>
    </row>
    <row r="41" spans="1:12" s="46" customFormat="1" ht="12.75" customHeight="1" x14ac:dyDescent="0.2">
      <c r="B41" s="67"/>
      <c r="C41" s="67"/>
      <c r="D41" s="67"/>
      <c r="E41" s="68"/>
      <c r="F41" s="69"/>
      <c r="G41" s="70"/>
      <c r="H41" s="70"/>
      <c r="I41" s="33"/>
      <c r="K41" s="48"/>
    </row>
    <row r="42" spans="1:12" ht="12.75" customHeight="1" x14ac:dyDescent="0.2">
      <c r="B42" s="16" t="s">
        <v>92</v>
      </c>
      <c r="C42" s="16"/>
      <c r="F42" s="13"/>
      <c r="G42" s="14"/>
      <c r="H42" s="14"/>
      <c r="I42" s="33"/>
      <c r="J42"/>
      <c r="K42" s="36"/>
      <c r="L42"/>
    </row>
    <row r="43" spans="1:12" ht="12.75" customHeight="1" x14ac:dyDescent="0.2">
      <c r="A43">
        <f>+MAX($A$7:A42)+1</f>
        <v>28</v>
      </c>
      <c r="B43" t="s">
        <v>447</v>
      </c>
      <c r="C43" t="s">
        <v>353</v>
      </c>
      <c r="D43" t="s">
        <v>319</v>
      </c>
      <c r="E43" s="28">
        <v>6489.9966000000004</v>
      </c>
      <c r="F43" s="13">
        <v>108.17539310000001</v>
      </c>
      <c r="G43" s="14">
        <f>+ROUND(F43/VLOOKUP("Grand Total",$B$4:$F$260,5,0),4)</f>
        <v>0.12570000000000001</v>
      </c>
      <c r="H43" s="14"/>
      <c r="I43" s="33" t="s">
        <v>371</v>
      </c>
      <c r="J43"/>
      <c r="K43" s="36"/>
      <c r="L43"/>
    </row>
    <row r="44" spans="1:12" ht="12.75" customHeight="1" x14ac:dyDescent="0.2">
      <c r="B44" s="18" t="s">
        <v>85</v>
      </c>
      <c r="C44" s="18"/>
      <c r="D44" s="18"/>
      <c r="E44" s="29"/>
      <c r="F44" s="19">
        <f>SUM(F43)</f>
        <v>108.17539310000001</v>
      </c>
      <c r="G44" s="20">
        <f>SUM(G43)</f>
        <v>0.12570000000000001</v>
      </c>
      <c r="H44" s="20"/>
      <c r="I44" s="21"/>
      <c r="J44"/>
      <c r="K44" s="36"/>
      <c r="L44"/>
    </row>
    <row r="45" spans="1:12" s="46" customFormat="1" ht="12.75" customHeight="1" x14ac:dyDescent="0.2">
      <c r="B45" s="67"/>
      <c r="C45" s="67"/>
      <c r="D45" s="67"/>
      <c r="E45" s="68"/>
      <c r="F45" s="69"/>
      <c r="G45" s="70"/>
      <c r="H45" s="70"/>
      <c r="I45" s="33"/>
      <c r="K45" s="48"/>
    </row>
    <row r="46" spans="1:12" ht="12.75" customHeight="1" x14ac:dyDescent="0.2">
      <c r="A46" s="95" t="s">
        <v>370</v>
      </c>
      <c r="B46" s="16" t="s">
        <v>93</v>
      </c>
      <c r="C46" s="16"/>
      <c r="F46" s="13">
        <v>30.12574</v>
      </c>
      <c r="G46" s="14">
        <f>+ROUND(F46/VLOOKUP("Grand Total",$B$4:$F$225,5,0),4)</f>
        <v>3.5000000000000003E-2</v>
      </c>
      <c r="H46" s="14"/>
      <c r="I46" s="15">
        <v>43132</v>
      </c>
      <c r="J46" s="56"/>
      <c r="K46" s="46"/>
      <c r="L46" s="74"/>
    </row>
    <row r="47" spans="1:12" ht="12.75" customHeight="1" x14ac:dyDescent="0.2">
      <c r="B47" s="18" t="s">
        <v>85</v>
      </c>
      <c r="C47" s="18"/>
      <c r="D47" s="18"/>
      <c r="E47" s="29"/>
      <c r="F47" s="19">
        <f>SUM(F46)</f>
        <v>30.12574</v>
      </c>
      <c r="G47" s="20">
        <f>SUM(G46)</f>
        <v>3.5000000000000003E-2</v>
      </c>
      <c r="H47" s="20"/>
      <c r="I47" s="21"/>
      <c r="J47" s="55"/>
      <c r="K47" s="46"/>
      <c r="L47" s="74"/>
    </row>
    <row r="48" spans="1:12" ht="12.75" customHeight="1" x14ac:dyDescent="0.2">
      <c r="F48" s="13"/>
      <c r="G48" s="14"/>
      <c r="H48" s="14"/>
      <c r="I48" s="15"/>
      <c r="J48" s="56"/>
      <c r="K48" s="46"/>
      <c r="L48" s="74"/>
    </row>
    <row r="49" spans="2:12" ht="12.75" customHeight="1" x14ac:dyDescent="0.2">
      <c r="B49" s="16" t="s">
        <v>94</v>
      </c>
      <c r="C49" s="16"/>
      <c r="F49" s="13"/>
      <c r="G49" s="14"/>
      <c r="H49" s="14"/>
      <c r="I49" s="15"/>
      <c r="J49" s="56"/>
      <c r="K49" s="46"/>
      <c r="L49" s="74"/>
    </row>
    <row r="50" spans="2:12" ht="12.75" customHeight="1" x14ac:dyDescent="0.2">
      <c r="B50" s="16" t="s">
        <v>95</v>
      </c>
      <c r="C50" s="16"/>
      <c r="F50" s="44">
        <f>+F52-SUMIF($B$5:B49,"Total",$F$5:F49)</f>
        <v>18.904660200000308</v>
      </c>
      <c r="G50" s="45">
        <f>+ROUND(F50/VLOOKUP("Grand Total",$B$4:$F$225,5,0),4)-0.01%</f>
        <v>2.1899999999999999E-2</v>
      </c>
      <c r="H50" s="45"/>
      <c r="I50" s="15"/>
      <c r="J50" s="56"/>
      <c r="K50" s="46"/>
      <c r="L50" s="74"/>
    </row>
    <row r="51" spans="2:12" ht="12.75" customHeight="1" x14ac:dyDescent="0.2">
      <c r="B51" s="18" t="s">
        <v>85</v>
      </c>
      <c r="C51" s="18"/>
      <c r="D51" s="18"/>
      <c r="E51" s="29"/>
      <c r="F51" s="19">
        <f>SUM(F50:F50)</f>
        <v>18.904660200000308</v>
      </c>
      <c r="G51" s="20">
        <f>SUM(G50:G50)</f>
        <v>2.1899999999999999E-2</v>
      </c>
      <c r="H51" s="20"/>
      <c r="I51" s="21"/>
      <c r="J51" s="55"/>
      <c r="K51" s="46"/>
      <c r="L51" s="74"/>
    </row>
    <row r="52" spans="2:12" ht="12.75" customHeight="1" x14ac:dyDescent="0.2">
      <c r="B52" s="22" t="s">
        <v>96</v>
      </c>
      <c r="C52" s="22"/>
      <c r="D52" s="22"/>
      <c r="E52" s="30"/>
      <c r="F52" s="23">
        <v>860.6636933000002</v>
      </c>
      <c r="G52" s="24">
        <f>+SUMIF($B$5:B51,"Total",$G$5:G51)</f>
        <v>1</v>
      </c>
      <c r="H52" s="24"/>
      <c r="I52" s="25"/>
      <c r="J52" s="39"/>
      <c r="K52" s="46"/>
      <c r="L52" s="74"/>
    </row>
    <row r="53" spans="2:12" ht="12.75" customHeight="1" x14ac:dyDescent="0.2">
      <c r="F53" s="40"/>
      <c r="K53" s="46"/>
      <c r="L53" s="74"/>
    </row>
    <row r="54" spans="2:12" ht="12.75" customHeight="1" x14ac:dyDescent="0.2">
      <c r="B54" s="16" t="s">
        <v>671</v>
      </c>
      <c r="C54" s="16"/>
      <c r="K54" s="46"/>
      <c r="L54" s="74"/>
    </row>
    <row r="55" spans="2:12" ht="12.75" customHeight="1" x14ac:dyDescent="0.2">
      <c r="B55" s="16" t="s">
        <v>186</v>
      </c>
      <c r="C55" s="16"/>
      <c r="G55" s="14"/>
      <c r="H55" s="14"/>
    </row>
    <row r="56" spans="2:12" ht="12.75" customHeight="1" x14ac:dyDescent="0.2">
      <c r="B56" s="16"/>
      <c r="C56" s="16"/>
    </row>
    <row r="57" spans="2:12" ht="12.75" customHeight="1" x14ac:dyDescent="0.2">
      <c r="B57" s="16"/>
      <c r="C57" s="16"/>
      <c r="K57" s="46"/>
      <c r="L57" s="48"/>
    </row>
    <row r="58" spans="2:12" x14ac:dyDescent="0.2">
      <c r="E58"/>
      <c r="F58" s="100"/>
      <c r="J58"/>
      <c r="K58" s="46"/>
      <c r="L58" s="48"/>
    </row>
    <row r="59" spans="2:12" x14ac:dyDescent="0.2">
      <c r="E59"/>
      <c r="J59"/>
    </row>
    <row r="60" spans="2:12" x14ac:dyDescent="0.2">
      <c r="E60"/>
      <c r="J60"/>
    </row>
    <row r="61" spans="2:12" x14ac:dyDescent="0.2">
      <c r="E61"/>
      <c r="J61"/>
    </row>
    <row r="62" spans="2:12" x14ac:dyDescent="0.2">
      <c r="E62"/>
      <c r="J62"/>
      <c r="K62" s="36"/>
      <c r="L62"/>
    </row>
    <row r="63" spans="2:12" x14ac:dyDescent="0.2">
      <c r="E63"/>
      <c r="J63"/>
      <c r="K63" s="36"/>
      <c r="L63"/>
    </row>
    <row r="64" spans="2:12" x14ac:dyDescent="0.2">
      <c r="E64"/>
      <c r="J64"/>
      <c r="K64" s="36"/>
      <c r="L64"/>
    </row>
    <row r="65" spans="5:12" x14ac:dyDescent="0.2">
      <c r="E65"/>
      <c r="J65"/>
      <c r="K65" s="36"/>
      <c r="L65"/>
    </row>
    <row r="66" spans="5:12" x14ac:dyDescent="0.2">
      <c r="E66"/>
      <c r="J66"/>
      <c r="K66" s="36"/>
      <c r="L66"/>
    </row>
    <row r="67" spans="5:12" x14ac:dyDescent="0.2">
      <c r="E67"/>
      <c r="J67"/>
      <c r="K67" s="36"/>
      <c r="L67"/>
    </row>
    <row r="68" spans="5:12" x14ac:dyDescent="0.2">
      <c r="E68"/>
      <c r="J68"/>
      <c r="K68" s="36"/>
      <c r="L68"/>
    </row>
    <row r="69" spans="5:12" x14ac:dyDescent="0.2">
      <c r="E69"/>
      <c r="J69"/>
      <c r="K69" s="36"/>
      <c r="L69"/>
    </row>
    <row r="70" spans="5:12" x14ac:dyDescent="0.2">
      <c r="E70"/>
      <c r="J70"/>
      <c r="K70" s="36"/>
      <c r="L70"/>
    </row>
    <row r="71" spans="5:12" x14ac:dyDescent="0.2">
      <c r="E71"/>
      <c r="J71"/>
      <c r="K71" s="36"/>
      <c r="L71"/>
    </row>
    <row r="72" spans="5:12" x14ac:dyDescent="0.2">
      <c r="E72"/>
      <c r="J72"/>
      <c r="K72" s="36"/>
      <c r="L72"/>
    </row>
    <row r="73" spans="5:12" x14ac:dyDescent="0.2">
      <c r="E73"/>
      <c r="J73"/>
      <c r="K73" s="36"/>
      <c r="L73"/>
    </row>
    <row r="74" spans="5:12" x14ac:dyDescent="0.2">
      <c r="E74"/>
      <c r="J74"/>
      <c r="K74" s="36"/>
      <c r="L74"/>
    </row>
    <row r="75" spans="5:12" x14ac:dyDescent="0.2">
      <c r="E75"/>
      <c r="J75"/>
    </row>
    <row r="76" spans="5:12" x14ac:dyDescent="0.2">
      <c r="E76"/>
      <c r="J76"/>
    </row>
    <row r="77" spans="5:12" x14ac:dyDescent="0.2">
      <c r="E77"/>
      <c r="J77"/>
    </row>
    <row r="78" spans="5:12" x14ac:dyDescent="0.2">
      <c r="E78"/>
      <c r="J78"/>
    </row>
    <row r="79" spans="5:12" x14ac:dyDescent="0.2">
      <c r="E79"/>
      <c r="J79"/>
    </row>
    <row r="80" spans="5:12" x14ac:dyDescent="0.2">
      <c r="E80"/>
      <c r="J80"/>
    </row>
    <row r="81" spans="5:12" x14ac:dyDescent="0.2">
      <c r="E81"/>
      <c r="J81"/>
    </row>
    <row r="82" spans="5:12" x14ac:dyDescent="0.2">
      <c r="E82"/>
      <c r="J82"/>
    </row>
    <row r="83" spans="5:12" x14ac:dyDescent="0.2">
      <c r="E83"/>
      <c r="J83"/>
    </row>
    <row r="84" spans="5:12" x14ac:dyDescent="0.2">
      <c r="E84"/>
      <c r="J84"/>
    </row>
    <row r="85" spans="5:12" x14ac:dyDescent="0.2">
      <c r="E85"/>
      <c r="J85"/>
    </row>
    <row r="86" spans="5:12" x14ac:dyDescent="0.2">
      <c r="E86"/>
      <c r="J86"/>
      <c r="L86"/>
    </row>
    <row r="87" spans="5:12" x14ac:dyDescent="0.2">
      <c r="E87"/>
      <c r="J87"/>
      <c r="L87"/>
    </row>
    <row r="88" spans="5:12" x14ac:dyDescent="0.2">
      <c r="E88"/>
      <c r="J88"/>
      <c r="L88"/>
    </row>
    <row r="89" spans="5:12" x14ac:dyDescent="0.2">
      <c r="E89"/>
      <c r="J89"/>
      <c r="L89"/>
    </row>
    <row r="90" spans="5:12" x14ac:dyDescent="0.2">
      <c r="E90"/>
      <c r="J90"/>
      <c r="L90"/>
    </row>
    <row r="91" spans="5:12" x14ac:dyDescent="0.2">
      <c r="E91"/>
      <c r="J91"/>
      <c r="L91"/>
    </row>
    <row r="92" spans="5:12" x14ac:dyDescent="0.2">
      <c r="E92"/>
      <c r="J92"/>
      <c r="L92"/>
    </row>
    <row r="93" spans="5:12" x14ac:dyDescent="0.2">
      <c r="E93"/>
      <c r="J93"/>
      <c r="L93"/>
    </row>
    <row r="94" spans="5:12" x14ac:dyDescent="0.2">
      <c r="E94"/>
      <c r="J94"/>
      <c r="L94"/>
    </row>
    <row r="95" spans="5:12" x14ac:dyDescent="0.2">
      <c r="E95"/>
      <c r="J95"/>
      <c r="L95"/>
    </row>
    <row r="96" spans="5:12" x14ac:dyDescent="0.2">
      <c r="L96"/>
    </row>
    <row r="97" spans="5:12" x14ac:dyDescent="0.2">
      <c r="L97"/>
    </row>
    <row r="98" spans="5:12" x14ac:dyDescent="0.2">
      <c r="L98"/>
    </row>
    <row r="99" spans="5:12" x14ac:dyDescent="0.2">
      <c r="L99"/>
    </row>
    <row r="100" spans="5:12" x14ac:dyDescent="0.2">
      <c r="L100"/>
    </row>
    <row r="101" spans="5:12" x14ac:dyDescent="0.2">
      <c r="L101"/>
    </row>
    <row r="102" spans="5:12" x14ac:dyDescent="0.2">
      <c r="L102"/>
    </row>
    <row r="103" spans="5:12" x14ac:dyDescent="0.2">
      <c r="E103"/>
      <c r="J103"/>
      <c r="L103"/>
    </row>
    <row r="104" spans="5:12" x14ac:dyDescent="0.2">
      <c r="E104"/>
      <c r="J104"/>
      <c r="L104"/>
    </row>
    <row r="105" spans="5:12" x14ac:dyDescent="0.2">
      <c r="E105"/>
      <c r="J105"/>
      <c r="L105"/>
    </row>
    <row r="106" spans="5:12" x14ac:dyDescent="0.2">
      <c r="E106"/>
      <c r="J106"/>
      <c r="L106"/>
    </row>
    <row r="107" spans="5:12" x14ac:dyDescent="0.2">
      <c r="E107"/>
      <c r="J107"/>
      <c r="L107"/>
    </row>
    <row r="108" spans="5:12" x14ac:dyDescent="0.2">
      <c r="E108"/>
      <c r="J108"/>
      <c r="L108"/>
    </row>
    <row r="109" spans="5:12" x14ac:dyDescent="0.2">
      <c r="E109"/>
      <c r="J109"/>
      <c r="L109"/>
    </row>
    <row r="110" spans="5:12" x14ac:dyDescent="0.2">
      <c r="E110"/>
      <c r="J110"/>
      <c r="L110"/>
    </row>
    <row r="111" spans="5:12" x14ac:dyDescent="0.2">
      <c r="E111"/>
      <c r="J111"/>
      <c r="L111"/>
    </row>
    <row r="112" spans="5:12" x14ac:dyDescent="0.2">
      <c r="E112"/>
      <c r="J112"/>
      <c r="L112"/>
    </row>
    <row r="113" spans="5:12" x14ac:dyDescent="0.2">
      <c r="E113"/>
      <c r="J113"/>
      <c r="L113"/>
    </row>
    <row r="114" spans="5:12" x14ac:dyDescent="0.2">
      <c r="E114"/>
      <c r="J114"/>
      <c r="L114"/>
    </row>
    <row r="115" spans="5:12" x14ac:dyDescent="0.2">
      <c r="E115"/>
      <c r="J115"/>
      <c r="L115"/>
    </row>
    <row r="116" spans="5:12" x14ac:dyDescent="0.2">
      <c r="E116"/>
      <c r="J116"/>
      <c r="L116"/>
    </row>
    <row r="117" spans="5:12" x14ac:dyDescent="0.2">
      <c r="E117"/>
      <c r="J117"/>
      <c r="L117"/>
    </row>
    <row r="118" spans="5:12" x14ac:dyDescent="0.2">
      <c r="E118"/>
      <c r="J118"/>
      <c r="L118"/>
    </row>
    <row r="119" spans="5:12" x14ac:dyDescent="0.2">
      <c r="E119"/>
      <c r="J119"/>
      <c r="L119"/>
    </row>
    <row r="120" spans="5:12" x14ac:dyDescent="0.2">
      <c r="E120"/>
      <c r="J120"/>
      <c r="L120"/>
    </row>
    <row r="121" spans="5:12" x14ac:dyDescent="0.2">
      <c r="E121"/>
      <c r="J121"/>
      <c r="L121"/>
    </row>
    <row r="122" spans="5:12" x14ac:dyDescent="0.2">
      <c r="E122"/>
      <c r="J122"/>
      <c r="L122"/>
    </row>
    <row r="123" spans="5:12" x14ac:dyDescent="0.2">
      <c r="E123"/>
      <c r="J123"/>
      <c r="L123"/>
    </row>
  </sheetData>
  <sheetProtection password="EDB3" sheet="1" objects="1" scenarios="1"/>
  <sortState ref="K8:L21">
    <sortCondition descending="1" ref="L8:L21"/>
  </sortState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1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373</v>
      </c>
      <c r="B1" s="127" t="s">
        <v>126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406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191</v>
      </c>
      <c r="C9" t="s">
        <v>13</v>
      </c>
      <c r="D9" t="s">
        <v>10</v>
      </c>
      <c r="E9" s="28">
        <v>97268</v>
      </c>
      <c r="F9" s="13">
        <v>1950.904276</v>
      </c>
      <c r="G9" s="14">
        <f t="shared" ref="G9:G40" si="0">+ROUND(F9/VLOOKUP("Grand Total",$B$4:$F$293,5,0),4)</f>
        <v>6.0199999999999997E-2</v>
      </c>
      <c r="H9" s="15"/>
      <c r="J9" s="14" t="s">
        <v>10</v>
      </c>
      <c r="K9" s="48">
        <f t="shared" ref="K9:K31" si="1">SUMIFS($G$5:$G$326,$D$5:$D$326,J9)</f>
        <v>0.25209999999999999</v>
      </c>
    </row>
    <row r="10" spans="1:16" ht="12.75" customHeight="1" x14ac:dyDescent="0.2">
      <c r="A10">
        <f>+MAX($A$8:A9)+1</f>
        <v>2</v>
      </c>
      <c r="B10" t="s">
        <v>194</v>
      </c>
      <c r="C10" t="s">
        <v>11</v>
      </c>
      <c r="D10" t="s">
        <v>10</v>
      </c>
      <c r="E10" s="28">
        <v>502908</v>
      </c>
      <c r="F10" s="13">
        <v>1775.013786</v>
      </c>
      <c r="G10" s="14">
        <f t="shared" si="0"/>
        <v>5.4800000000000001E-2</v>
      </c>
      <c r="H10" s="15"/>
      <c r="J10" s="14" t="s">
        <v>26</v>
      </c>
      <c r="K10" s="48">
        <f t="shared" si="1"/>
        <v>0.12230000000000001</v>
      </c>
    </row>
    <row r="11" spans="1:16" ht="12.75" customHeight="1" x14ac:dyDescent="0.2">
      <c r="A11">
        <f>+MAX($A$8:A10)+1</f>
        <v>3</v>
      </c>
      <c r="B11" t="s">
        <v>209</v>
      </c>
      <c r="C11" t="s">
        <v>49</v>
      </c>
      <c r="D11" t="s">
        <v>20</v>
      </c>
      <c r="E11" s="28">
        <v>15964</v>
      </c>
      <c r="F11" s="13">
        <v>1518.128508</v>
      </c>
      <c r="G11" s="14">
        <f t="shared" si="0"/>
        <v>4.6800000000000001E-2</v>
      </c>
      <c r="H11" s="15"/>
      <c r="J11" s="14" t="s">
        <v>20</v>
      </c>
      <c r="K11" s="48">
        <f t="shared" si="1"/>
        <v>9.4900000000000012E-2</v>
      </c>
      <c r="L11" s="36"/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193</v>
      </c>
      <c r="C12" t="s">
        <v>31</v>
      </c>
      <c r="D12" t="s">
        <v>30</v>
      </c>
      <c r="E12" s="28">
        <v>152446</v>
      </c>
      <c r="F12" s="13">
        <v>1465.4633980000001</v>
      </c>
      <c r="G12" s="14">
        <f t="shared" si="0"/>
        <v>4.5199999999999997E-2</v>
      </c>
      <c r="H12" s="15"/>
      <c r="J12" s="14" t="s">
        <v>30</v>
      </c>
      <c r="K12" s="48">
        <f t="shared" si="1"/>
        <v>8.1299999999999997E-2</v>
      </c>
      <c r="L12" s="36"/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197</v>
      </c>
      <c r="C13" t="s">
        <v>27</v>
      </c>
      <c r="D13" t="s">
        <v>24</v>
      </c>
      <c r="E13" s="28">
        <v>74227</v>
      </c>
      <c r="F13" s="13">
        <v>1452.102801</v>
      </c>
      <c r="G13" s="14">
        <f t="shared" si="0"/>
        <v>4.48E-2</v>
      </c>
      <c r="H13" s="15"/>
      <c r="J13" s="14" t="s">
        <v>14</v>
      </c>
      <c r="K13" s="48">
        <f t="shared" si="1"/>
        <v>7.9100000000000004E-2</v>
      </c>
      <c r="L13" s="36"/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201</v>
      </c>
      <c r="C14" t="s">
        <v>46</v>
      </c>
      <c r="D14" t="s">
        <v>26</v>
      </c>
      <c r="E14" s="28">
        <v>450000</v>
      </c>
      <c r="F14" s="13">
        <v>1221.3</v>
      </c>
      <c r="G14" s="14">
        <f t="shared" si="0"/>
        <v>3.7699999999999997E-2</v>
      </c>
      <c r="H14" s="15"/>
      <c r="J14" s="14" t="s">
        <v>24</v>
      </c>
      <c r="K14" s="48">
        <f t="shared" si="1"/>
        <v>7.3199999999999987E-2</v>
      </c>
      <c r="L14" s="36"/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16</v>
      </c>
      <c r="C15" t="s">
        <v>17</v>
      </c>
      <c r="D15" t="s">
        <v>10</v>
      </c>
      <c r="E15" s="28">
        <v>369000</v>
      </c>
      <c r="F15" s="13">
        <v>1155.8924999999999</v>
      </c>
      <c r="G15" s="14">
        <f t="shared" si="0"/>
        <v>3.5700000000000003E-2</v>
      </c>
      <c r="H15" s="15"/>
      <c r="J15" s="14" t="s">
        <v>22</v>
      </c>
      <c r="K15" s="48">
        <f t="shared" si="1"/>
        <v>4.2499999999999996E-2</v>
      </c>
      <c r="L15" s="36"/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225</v>
      </c>
      <c r="C16" t="s">
        <v>71</v>
      </c>
      <c r="D16" t="s">
        <v>28</v>
      </c>
      <c r="E16" s="28">
        <v>78900</v>
      </c>
      <c r="F16" s="13">
        <v>1117.6185</v>
      </c>
      <c r="G16" s="14">
        <f t="shared" si="0"/>
        <v>3.4500000000000003E-2</v>
      </c>
      <c r="H16" s="15"/>
      <c r="J16" s="14" t="s">
        <v>18</v>
      </c>
      <c r="K16" s="48">
        <f t="shared" si="1"/>
        <v>4.1800000000000004E-2</v>
      </c>
      <c r="L16" s="36"/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239</v>
      </c>
      <c r="C17" t="s">
        <v>101</v>
      </c>
      <c r="D17" t="s">
        <v>26</v>
      </c>
      <c r="E17" s="28">
        <v>81582</v>
      </c>
      <c r="F17" s="13">
        <v>1117.1431170000001</v>
      </c>
      <c r="G17" s="14">
        <f t="shared" si="0"/>
        <v>3.4500000000000003E-2</v>
      </c>
      <c r="H17" s="15"/>
      <c r="J17" s="14" t="s">
        <v>28</v>
      </c>
      <c r="K17" s="48">
        <f t="shared" si="1"/>
        <v>3.4500000000000003E-2</v>
      </c>
      <c r="L17" s="36"/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192</v>
      </c>
      <c r="C18" t="s">
        <v>15</v>
      </c>
      <c r="D18" t="s">
        <v>14</v>
      </c>
      <c r="E18" s="28">
        <v>90887</v>
      </c>
      <c r="F18" s="13">
        <v>1045.4277175</v>
      </c>
      <c r="G18" s="14">
        <f t="shared" si="0"/>
        <v>3.2300000000000002E-2</v>
      </c>
      <c r="H18" s="15"/>
      <c r="J18" s="14" t="s">
        <v>106</v>
      </c>
      <c r="K18" s="48">
        <f t="shared" si="1"/>
        <v>2.5999999999999999E-2</v>
      </c>
      <c r="L18" s="36"/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212</v>
      </c>
      <c r="C19" t="s">
        <v>98</v>
      </c>
      <c r="D19" t="s">
        <v>10</v>
      </c>
      <c r="E19" s="28">
        <v>93000</v>
      </c>
      <c r="F19" s="13">
        <v>1031.3235</v>
      </c>
      <c r="G19" s="14">
        <f t="shared" si="0"/>
        <v>3.1800000000000002E-2</v>
      </c>
      <c r="H19" s="15"/>
      <c r="J19" s="14" t="s">
        <v>102</v>
      </c>
      <c r="K19" s="48">
        <f t="shared" si="1"/>
        <v>2.0500000000000001E-2</v>
      </c>
      <c r="L19" s="36"/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241</v>
      </c>
      <c r="C20" t="s">
        <v>103</v>
      </c>
      <c r="D20" t="s">
        <v>10</v>
      </c>
      <c r="E20" s="28">
        <v>52617</v>
      </c>
      <c r="F20" s="13">
        <v>922.42862700000001</v>
      </c>
      <c r="G20" s="14">
        <f t="shared" si="0"/>
        <v>2.8500000000000001E-2</v>
      </c>
      <c r="H20" s="15"/>
      <c r="J20" s="14" t="s">
        <v>134</v>
      </c>
      <c r="K20" s="48">
        <f t="shared" si="1"/>
        <v>1.9299999999999998E-2</v>
      </c>
      <c r="L20" s="36"/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203</v>
      </c>
      <c r="C21" t="s">
        <v>48</v>
      </c>
      <c r="D21" t="s">
        <v>26</v>
      </c>
      <c r="E21" s="28">
        <v>19500</v>
      </c>
      <c r="F21" s="13">
        <v>913.40925000000004</v>
      </c>
      <c r="G21" s="14">
        <f t="shared" si="0"/>
        <v>2.8199999999999999E-2</v>
      </c>
      <c r="H21" s="15"/>
      <c r="J21" s="14" t="s">
        <v>45</v>
      </c>
      <c r="K21" s="48">
        <f t="shared" si="1"/>
        <v>1.9199999999999998E-2</v>
      </c>
      <c r="L21" s="36"/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248</v>
      </c>
      <c r="C22" t="s">
        <v>112</v>
      </c>
      <c r="D22" t="s">
        <v>20</v>
      </c>
      <c r="E22" s="28">
        <v>21660</v>
      </c>
      <c r="F22" s="13">
        <v>799.56807000000003</v>
      </c>
      <c r="G22" s="14">
        <f t="shared" si="0"/>
        <v>2.47E-2</v>
      </c>
      <c r="H22" s="15"/>
      <c r="J22" s="14" t="s">
        <v>47</v>
      </c>
      <c r="K22" s="48">
        <f t="shared" si="1"/>
        <v>1.26E-2</v>
      </c>
      <c r="L22" s="36"/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196</v>
      </c>
      <c r="C23" t="s">
        <v>25</v>
      </c>
      <c r="D23" t="s">
        <v>14</v>
      </c>
      <c r="E23" s="28">
        <v>78900</v>
      </c>
      <c r="F23" s="13">
        <v>778.38795000000005</v>
      </c>
      <c r="G23" s="14">
        <f t="shared" si="0"/>
        <v>2.4E-2</v>
      </c>
      <c r="H23" s="15"/>
      <c r="J23" s="14" t="s">
        <v>43</v>
      </c>
      <c r="K23" s="48">
        <f t="shared" si="1"/>
        <v>1.17E-2</v>
      </c>
      <c r="L23" s="36"/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673</v>
      </c>
      <c r="C24" t="s">
        <v>128</v>
      </c>
      <c r="D24" t="s">
        <v>18</v>
      </c>
      <c r="E24" s="28">
        <v>4196</v>
      </c>
      <c r="F24" s="13">
        <v>721.97634799999992</v>
      </c>
      <c r="G24" s="14">
        <f t="shared" si="0"/>
        <v>2.23E-2</v>
      </c>
      <c r="H24" s="15"/>
      <c r="J24" s="14" t="s">
        <v>32</v>
      </c>
      <c r="K24" s="48">
        <f t="shared" si="1"/>
        <v>1.14E-2</v>
      </c>
      <c r="L24" s="36"/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229</v>
      </c>
      <c r="C25" t="s">
        <v>80</v>
      </c>
      <c r="D25" t="s">
        <v>30</v>
      </c>
      <c r="E25" s="28">
        <v>180000</v>
      </c>
      <c r="F25" s="13">
        <v>715.86</v>
      </c>
      <c r="G25" s="14">
        <f t="shared" si="0"/>
        <v>2.2100000000000002E-2</v>
      </c>
      <c r="H25" s="15"/>
      <c r="J25" s="14" t="s">
        <v>411</v>
      </c>
      <c r="K25" s="48">
        <f t="shared" si="1"/>
        <v>1.11E-2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253</v>
      </c>
      <c r="C26" t="s">
        <v>118</v>
      </c>
      <c r="D26" t="s">
        <v>102</v>
      </c>
      <c r="E26" s="28">
        <v>111900</v>
      </c>
      <c r="F26" s="13">
        <v>664.35029999999995</v>
      </c>
      <c r="G26" s="14">
        <f t="shared" si="0"/>
        <v>2.0500000000000001E-2</v>
      </c>
      <c r="H26" s="15"/>
      <c r="J26" s="14" t="s">
        <v>38</v>
      </c>
      <c r="K26" s="48">
        <f t="shared" si="1"/>
        <v>1.06E-2</v>
      </c>
      <c r="L26" s="36"/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195</v>
      </c>
      <c r="C27" t="s">
        <v>21</v>
      </c>
      <c r="D27" t="s">
        <v>20</v>
      </c>
      <c r="E27" s="28">
        <v>165000</v>
      </c>
      <c r="F27" s="13">
        <v>659.17499999999995</v>
      </c>
      <c r="G27" s="14">
        <f t="shared" si="0"/>
        <v>2.0299999999999999E-2</v>
      </c>
      <c r="H27" s="15"/>
      <c r="J27" s="14" t="s">
        <v>36</v>
      </c>
      <c r="K27" s="48">
        <f t="shared" si="1"/>
        <v>9.4999999999999998E-3</v>
      </c>
      <c r="L27" s="54"/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204</v>
      </c>
      <c r="C28" t="s">
        <v>53</v>
      </c>
      <c r="D28" t="s">
        <v>18</v>
      </c>
      <c r="E28" s="28">
        <v>14400</v>
      </c>
      <c r="F28" s="13">
        <v>631.00800000000004</v>
      </c>
      <c r="G28" s="14">
        <f t="shared" si="0"/>
        <v>1.95E-2</v>
      </c>
      <c r="H28" s="15"/>
      <c r="J28" t="s">
        <v>34</v>
      </c>
      <c r="K28" s="48">
        <f t="shared" si="1"/>
        <v>8.8000000000000005E-3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260</v>
      </c>
      <c r="C29" t="s">
        <v>124</v>
      </c>
      <c r="D29" t="s">
        <v>45</v>
      </c>
      <c r="E29" s="28">
        <v>243000</v>
      </c>
      <c r="F29" s="13">
        <v>622.44449999999995</v>
      </c>
      <c r="G29" s="14">
        <f t="shared" si="0"/>
        <v>1.9199999999999998E-2</v>
      </c>
      <c r="H29" s="15"/>
      <c r="J29" s="14" t="s">
        <v>105</v>
      </c>
      <c r="K29" s="48">
        <f t="shared" si="1"/>
        <v>8.5000000000000006E-3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500</v>
      </c>
      <c r="C30" t="s">
        <v>501</v>
      </c>
      <c r="D30" t="s">
        <v>14</v>
      </c>
      <c r="E30" s="28">
        <v>40500</v>
      </c>
      <c r="F30" s="13">
        <v>489.80700000000002</v>
      </c>
      <c r="G30" s="14">
        <f t="shared" si="0"/>
        <v>1.5100000000000001E-2</v>
      </c>
      <c r="H30" s="15"/>
      <c r="J30" s="14" t="s">
        <v>322</v>
      </c>
      <c r="K30" s="48">
        <f t="shared" si="1"/>
        <v>6.1999999999999998E-3</v>
      </c>
      <c r="N30" s="36"/>
      <c r="P30" s="14"/>
    </row>
    <row r="31" spans="1:16" ht="12.75" customHeight="1" x14ac:dyDescent="0.2">
      <c r="A31">
        <f>+MAX($A$8:A30)+1</f>
        <v>23</v>
      </c>
      <c r="B31" t="s">
        <v>252</v>
      </c>
      <c r="C31" t="s">
        <v>117</v>
      </c>
      <c r="D31" t="s">
        <v>30</v>
      </c>
      <c r="E31" s="28">
        <v>92360</v>
      </c>
      <c r="F31" s="13">
        <v>454.68828000000002</v>
      </c>
      <c r="G31" s="14">
        <f t="shared" si="0"/>
        <v>1.4E-2</v>
      </c>
      <c r="H31" s="15"/>
      <c r="J31" s="14" t="s">
        <v>41</v>
      </c>
      <c r="K31" s="48">
        <f t="shared" si="1"/>
        <v>5.1000000000000004E-3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205</v>
      </c>
      <c r="C32" t="s">
        <v>50</v>
      </c>
      <c r="D32" t="s">
        <v>22</v>
      </c>
      <c r="E32" s="28">
        <v>7800</v>
      </c>
      <c r="F32" s="13">
        <v>438.75389999999999</v>
      </c>
      <c r="G32" s="14">
        <f t="shared" si="0"/>
        <v>1.35E-2</v>
      </c>
      <c r="H32" s="15"/>
      <c r="J32" s="14" t="s">
        <v>64</v>
      </c>
      <c r="K32" s="48">
        <f>+SUMIFS($G$5:$G$997,$B$5:$B$997,"CBLO / Reverse Repo Investments")+SUMIFS($G$5:$G$997,$B$5:$B$997,"Net Receivable/Payable")</f>
        <v>-2.1999999999999988E-3</v>
      </c>
    </row>
    <row r="33" spans="1:8" ht="12.75" customHeight="1" x14ac:dyDescent="0.2">
      <c r="A33">
        <f>+MAX($A$8:A32)+1</f>
        <v>25</v>
      </c>
      <c r="B33" t="s">
        <v>245</v>
      </c>
      <c r="C33" t="s">
        <v>110</v>
      </c>
      <c r="D33" t="s">
        <v>26</v>
      </c>
      <c r="E33" s="28">
        <v>36907</v>
      </c>
      <c r="F33" s="13">
        <v>416.42168100000004</v>
      </c>
      <c r="G33" s="14">
        <f t="shared" si="0"/>
        <v>1.2800000000000001E-2</v>
      </c>
      <c r="H33" s="15"/>
    </row>
    <row r="34" spans="1:8" ht="12.75" customHeight="1" x14ac:dyDescent="0.2">
      <c r="A34">
        <f>+MAX($A$8:A33)+1</f>
        <v>26</v>
      </c>
      <c r="B34" t="s">
        <v>463</v>
      </c>
      <c r="C34" t="s">
        <v>464</v>
      </c>
      <c r="D34" t="s">
        <v>24</v>
      </c>
      <c r="E34" s="28">
        <v>485901</v>
      </c>
      <c r="F34" s="13">
        <v>399.6535725</v>
      </c>
      <c r="G34" s="14">
        <f t="shared" si="0"/>
        <v>1.23E-2</v>
      </c>
      <c r="H34" s="15"/>
    </row>
    <row r="35" spans="1:8" ht="12.75" customHeight="1" x14ac:dyDescent="0.2">
      <c r="A35">
        <f>+MAX($A$8:A34)+1</f>
        <v>27</v>
      </c>
      <c r="B35" t="s">
        <v>213</v>
      </c>
      <c r="C35" t="s">
        <v>59</v>
      </c>
      <c r="D35" t="s">
        <v>22</v>
      </c>
      <c r="E35" s="28">
        <v>41850</v>
      </c>
      <c r="F35" s="13">
        <v>396.27764999999999</v>
      </c>
      <c r="G35" s="14">
        <f t="shared" si="0"/>
        <v>1.2200000000000001E-2</v>
      </c>
      <c r="H35" s="15"/>
    </row>
    <row r="36" spans="1:8" ht="12.75" customHeight="1" x14ac:dyDescent="0.2">
      <c r="A36">
        <f>+MAX($A$8:A35)+1</f>
        <v>28</v>
      </c>
      <c r="B36" t="s">
        <v>251</v>
      </c>
      <c r="C36" t="s">
        <v>548</v>
      </c>
      <c r="D36" t="s">
        <v>10</v>
      </c>
      <c r="E36" s="28">
        <v>108000</v>
      </c>
      <c r="F36" s="13">
        <v>382.75200000000001</v>
      </c>
      <c r="G36" s="14">
        <f t="shared" si="0"/>
        <v>1.18E-2</v>
      </c>
      <c r="H36" s="15"/>
    </row>
    <row r="37" spans="1:8" ht="12.75" customHeight="1" x14ac:dyDescent="0.2">
      <c r="A37">
        <f>+MAX($A$8:A36)+1</f>
        <v>29</v>
      </c>
      <c r="B37" t="s">
        <v>496</v>
      </c>
      <c r="C37" t="s">
        <v>497</v>
      </c>
      <c r="D37" t="s">
        <v>43</v>
      </c>
      <c r="E37" s="28">
        <v>36000</v>
      </c>
      <c r="F37" s="13">
        <v>377.892</v>
      </c>
      <c r="G37" s="14">
        <f t="shared" si="0"/>
        <v>1.17E-2</v>
      </c>
      <c r="H37" s="15"/>
    </row>
    <row r="38" spans="1:8" ht="12.75" customHeight="1" x14ac:dyDescent="0.2">
      <c r="A38">
        <f>+MAX($A$8:A37)+1</f>
        <v>30</v>
      </c>
      <c r="B38" s="1" t="s">
        <v>519</v>
      </c>
      <c r="C38" t="s">
        <v>520</v>
      </c>
      <c r="D38" t="s">
        <v>32</v>
      </c>
      <c r="E38" s="28">
        <v>180000</v>
      </c>
      <c r="F38" s="13">
        <v>369.63</v>
      </c>
      <c r="G38" s="14">
        <f t="shared" si="0"/>
        <v>1.14E-2</v>
      </c>
      <c r="H38" s="15"/>
    </row>
    <row r="39" spans="1:8" ht="12.75" customHeight="1" x14ac:dyDescent="0.2">
      <c r="A39">
        <f>+MAX($A$8:A38)+1</f>
        <v>31</v>
      </c>
      <c r="B39" t="s">
        <v>425</v>
      </c>
      <c r="C39" t="s">
        <v>426</v>
      </c>
      <c r="D39" t="s">
        <v>411</v>
      </c>
      <c r="E39" s="28">
        <v>64800</v>
      </c>
      <c r="F39" s="13">
        <v>359.38080000000002</v>
      </c>
      <c r="G39" s="14">
        <f t="shared" si="0"/>
        <v>1.11E-2</v>
      </c>
      <c r="H39" s="15"/>
    </row>
    <row r="40" spans="1:8" ht="12.75" customHeight="1" x14ac:dyDescent="0.2">
      <c r="A40">
        <f>+MAX($A$8:A39)+1</f>
        <v>32</v>
      </c>
      <c r="B40" t="s">
        <v>312</v>
      </c>
      <c r="C40" t="s">
        <v>504</v>
      </c>
      <c r="D40" t="s">
        <v>134</v>
      </c>
      <c r="E40" s="28">
        <v>45000</v>
      </c>
      <c r="F40" s="13">
        <v>357.6825</v>
      </c>
      <c r="G40" s="14">
        <f t="shared" si="0"/>
        <v>1.0999999999999999E-2</v>
      </c>
      <c r="H40" s="15"/>
    </row>
    <row r="41" spans="1:8" ht="12.75" customHeight="1" x14ac:dyDescent="0.2">
      <c r="A41">
        <f>+MAX($A$8:A40)+1</f>
        <v>33</v>
      </c>
      <c r="B41" t="s">
        <v>217</v>
      </c>
      <c r="C41" t="s">
        <v>29</v>
      </c>
      <c r="D41" t="s">
        <v>10</v>
      </c>
      <c r="E41" s="28">
        <v>58800</v>
      </c>
      <c r="F41" s="13">
        <v>349.03680000000003</v>
      </c>
      <c r="G41" s="14">
        <f t="shared" ref="G41:G61" si="2">+ROUND(F41/VLOOKUP("Grand Total",$B$4:$F$293,5,0),4)</f>
        <v>1.0800000000000001E-2</v>
      </c>
      <c r="H41" s="15"/>
    </row>
    <row r="42" spans="1:8" ht="12.75" customHeight="1" x14ac:dyDescent="0.2">
      <c r="A42">
        <f>+MAX($A$8:A41)+1</f>
        <v>34</v>
      </c>
      <c r="B42" t="s">
        <v>223</v>
      </c>
      <c r="C42" t="s">
        <v>70</v>
      </c>
      <c r="D42" t="s">
        <v>10</v>
      </c>
      <c r="E42" s="28">
        <v>345600</v>
      </c>
      <c r="F42" s="13">
        <v>347.15519999999998</v>
      </c>
      <c r="G42" s="14">
        <f t="shared" si="2"/>
        <v>1.0699999999999999E-2</v>
      </c>
      <c r="H42" s="15"/>
    </row>
    <row r="43" spans="1:8" ht="12.75" customHeight="1" x14ac:dyDescent="0.2">
      <c r="A43">
        <f>+MAX($A$8:A42)+1</f>
        <v>35</v>
      </c>
      <c r="B43" t="s">
        <v>505</v>
      </c>
      <c r="C43" t="s">
        <v>506</v>
      </c>
      <c r="D43" t="s">
        <v>38</v>
      </c>
      <c r="E43" s="28">
        <v>135000</v>
      </c>
      <c r="F43" s="13">
        <v>344.04750000000001</v>
      </c>
      <c r="G43" s="14">
        <f t="shared" si="2"/>
        <v>1.06E-2</v>
      </c>
      <c r="H43" s="15"/>
    </row>
    <row r="44" spans="1:8" ht="12.75" customHeight="1" x14ac:dyDescent="0.2">
      <c r="A44">
        <f>+MAX($A$8:A43)+1</f>
        <v>36</v>
      </c>
      <c r="B44" t="s">
        <v>434</v>
      </c>
      <c r="C44" t="s">
        <v>435</v>
      </c>
      <c r="D44" t="s">
        <v>106</v>
      </c>
      <c r="E44" s="28">
        <v>117000</v>
      </c>
      <c r="F44" s="13">
        <v>339.24149999999997</v>
      </c>
      <c r="G44" s="14">
        <f t="shared" si="2"/>
        <v>1.0500000000000001E-2</v>
      </c>
      <c r="H44" s="15"/>
    </row>
    <row r="45" spans="1:8" ht="12.75" customHeight="1" x14ac:dyDescent="0.2">
      <c r="A45">
        <f>+MAX($A$8:A44)+1</f>
        <v>37</v>
      </c>
      <c r="B45" t="s">
        <v>215</v>
      </c>
      <c r="C45" t="s">
        <v>61</v>
      </c>
      <c r="D45" t="s">
        <v>22</v>
      </c>
      <c r="E45" s="28">
        <v>50998</v>
      </c>
      <c r="F45" s="13">
        <v>321.057909</v>
      </c>
      <c r="G45" s="14">
        <f t="shared" si="2"/>
        <v>9.9000000000000008E-3</v>
      </c>
      <c r="H45" s="15"/>
    </row>
    <row r="46" spans="1:8" ht="12.75" customHeight="1" x14ac:dyDescent="0.2">
      <c r="A46">
        <f>+MAX($A$8:A45)+1</f>
        <v>38</v>
      </c>
      <c r="B46" t="s">
        <v>247</v>
      </c>
      <c r="C46" t="s">
        <v>114</v>
      </c>
      <c r="D46" t="s">
        <v>36</v>
      </c>
      <c r="E46" s="28">
        <v>159000</v>
      </c>
      <c r="F46" s="13">
        <v>308.142</v>
      </c>
      <c r="G46" s="14">
        <f t="shared" si="2"/>
        <v>9.4999999999999998E-3</v>
      </c>
      <c r="H46" s="15"/>
    </row>
    <row r="47" spans="1:8" ht="12.75" customHeight="1" x14ac:dyDescent="0.2">
      <c r="A47">
        <f>+MAX($A$8:A46)+1</f>
        <v>39</v>
      </c>
      <c r="B47" t="s">
        <v>618</v>
      </c>
      <c r="C47" t="s">
        <v>619</v>
      </c>
      <c r="D47" t="s">
        <v>106</v>
      </c>
      <c r="E47" s="28">
        <v>294657</v>
      </c>
      <c r="F47" s="13">
        <v>293.62570049999999</v>
      </c>
      <c r="G47" s="14">
        <f t="shared" si="2"/>
        <v>9.1000000000000004E-3</v>
      </c>
      <c r="H47" s="15"/>
    </row>
    <row r="48" spans="1:8" ht="12.75" customHeight="1" x14ac:dyDescent="0.2">
      <c r="A48">
        <f>+MAX($A$8:A47)+1</f>
        <v>40</v>
      </c>
      <c r="B48" t="s">
        <v>461</v>
      </c>
      <c r="C48" t="s">
        <v>462</v>
      </c>
      <c r="D48" t="s">
        <v>26</v>
      </c>
      <c r="E48" s="28">
        <v>77760</v>
      </c>
      <c r="F48" s="13">
        <v>293.54399999999998</v>
      </c>
      <c r="G48" s="14">
        <f t="shared" si="2"/>
        <v>9.1000000000000004E-3</v>
      </c>
      <c r="H48" s="15"/>
    </row>
    <row r="49" spans="1:11" ht="12.75" customHeight="1" x14ac:dyDescent="0.2">
      <c r="A49">
        <f>+MAX($A$8:A48)+1</f>
        <v>41</v>
      </c>
      <c r="B49" t="s">
        <v>214</v>
      </c>
      <c r="C49" t="s">
        <v>65</v>
      </c>
      <c r="D49" t="s">
        <v>34</v>
      </c>
      <c r="E49" s="28">
        <v>64800</v>
      </c>
      <c r="F49" s="13">
        <v>285.02280000000002</v>
      </c>
      <c r="G49" s="14">
        <f t="shared" si="2"/>
        <v>8.8000000000000005E-3</v>
      </c>
      <c r="H49" s="15"/>
    </row>
    <row r="50" spans="1:11" ht="12.75" customHeight="1" x14ac:dyDescent="0.2">
      <c r="A50">
        <f>+MAX($A$8:A49)+1</f>
        <v>42</v>
      </c>
      <c r="B50" t="s">
        <v>285</v>
      </c>
      <c r="C50" t="s">
        <v>177</v>
      </c>
      <c r="D50" t="s">
        <v>47</v>
      </c>
      <c r="E50" s="28">
        <v>108000</v>
      </c>
      <c r="F50" s="13">
        <v>275.13</v>
      </c>
      <c r="G50" s="14">
        <f t="shared" si="2"/>
        <v>8.5000000000000006E-3</v>
      </c>
      <c r="H50" s="15"/>
    </row>
    <row r="51" spans="1:11" ht="12.75" customHeight="1" x14ac:dyDescent="0.2">
      <c r="A51">
        <f>+MAX($A$8:A50)+1</f>
        <v>43</v>
      </c>
      <c r="B51" t="s">
        <v>476</v>
      </c>
      <c r="C51" t="s">
        <v>477</v>
      </c>
      <c r="D51" t="s">
        <v>105</v>
      </c>
      <c r="E51" s="28">
        <v>18900</v>
      </c>
      <c r="F51" s="13">
        <v>274.9194</v>
      </c>
      <c r="G51" s="14">
        <f t="shared" si="2"/>
        <v>8.5000000000000006E-3</v>
      </c>
      <c r="H51" s="15"/>
    </row>
    <row r="52" spans="1:11" ht="12.75" customHeight="1" x14ac:dyDescent="0.2">
      <c r="A52">
        <f>+MAX($A$8:A51)+1</f>
        <v>44</v>
      </c>
      <c r="B52" t="s">
        <v>550</v>
      </c>
      <c r="C52" t="s">
        <v>551</v>
      </c>
      <c r="D52" t="s">
        <v>134</v>
      </c>
      <c r="E52" s="28">
        <v>70800</v>
      </c>
      <c r="F52" s="13">
        <v>269.42939999999999</v>
      </c>
      <c r="G52" s="14">
        <f t="shared" si="2"/>
        <v>8.3000000000000001E-3</v>
      </c>
      <c r="H52" s="15"/>
    </row>
    <row r="53" spans="1:11" ht="12.75" customHeight="1" x14ac:dyDescent="0.2">
      <c r="A53">
        <f>+MAX($A$8:A52)+1</f>
        <v>45</v>
      </c>
      <c r="B53" t="s">
        <v>452</v>
      </c>
      <c r="C53" t="s">
        <v>453</v>
      </c>
      <c r="D53" t="s">
        <v>24</v>
      </c>
      <c r="E53" s="28">
        <v>165000</v>
      </c>
      <c r="F53" s="13">
        <v>261.52499999999998</v>
      </c>
      <c r="G53" s="14">
        <f t="shared" si="2"/>
        <v>8.0999999999999996E-3</v>
      </c>
      <c r="H53" s="15"/>
    </row>
    <row r="54" spans="1:11" ht="12.75" customHeight="1" x14ac:dyDescent="0.2">
      <c r="A54">
        <f>+MAX($A$8:A53)+1</f>
        <v>46</v>
      </c>
      <c r="B54" t="s">
        <v>521</v>
      </c>
      <c r="C54" t="s">
        <v>522</v>
      </c>
      <c r="D54" t="s">
        <v>24</v>
      </c>
      <c r="E54" s="28">
        <v>5400</v>
      </c>
      <c r="F54" s="13">
        <v>259.86689999999999</v>
      </c>
      <c r="G54" s="14">
        <f t="shared" si="2"/>
        <v>8.0000000000000002E-3</v>
      </c>
      <c r="H54" s="15"/>
    </row>
    <row r="55" spans="1:11" ht="12.75" customHeight="1" x14ac:dyDescent="0.2">
      <c r="A55">
        <f>+MAX($A$8:A54)+1</f>
        <v>47</v>
      </c>
      <c r="B55" t="s">
        <v>40</v>
      </c>
      <c r="C55" t="s">
        <v>42</v>
      </c>
      <c r="D55" t="s">
        <v>10</v>
      </c>
      <c r="E55" s="28">
        <v>162000</v>
      </c>
      <c r="F55" s="13">
        <v>254.01599999999999</v>
      </c>
      <c r="G55" s="14">
        <f t="shared" si="2"/>
        <v>7.7999999999999996E-3</v>
      </c>
      <c r="H55" s="15"/>
    </row>
    <row r="56" spans="1:11" ht="12.75" customHeight="1" x14ac:dyDescent="0.2">
      <c r="A56">
        <f>+MAX($A$8:A55)+1</f>
        <v>48</v>
      </c>
      <c r="B56" t="s">
        <v>269</v>
      </c>
      <c r="C56" t="s">
        <v>82</v>
      </c>
      <c r="D56" t="s">
        <v>14</v>
      </c>
      <c r="E56" s="28">
        <v>39000</v>
      </c>
      <c r="F56" s="13">
        <v>250.32149999999999</v>
      </c>
      <c r="G56" s="14">
        <f t="shared" si="2"/>
        <v>7.7000000000000002E-3</v>
      </c>
      <c r="H56" s="15"/>
    </row>
    <row r="57" spans="1:11" ht="12.75" customHeight="1" x14ac:dyDescent="0.2">
      <c r="A57">
        <f>+MAX($A$8:A56)+1</f>
        <v>49</v>
      </c>
      <c r="B57" t="s">
        <v>430</v>
      </c>
      <c r="C57" t="s">
        <v>68</v>
      </c>
      <c r="D57" t="s">
        <v>22</v>
      </c>
      <c r="E57" s="28">
        <v>38700</v>
      </c>
      <c r="F57" s="13">
        <v>224.4213</v>
      </c>
      <c r="G57" s="14">
        <f t="shared" si="2"/>
        <v>6.8999999999999999E-3</v>
      </c>
      <c r="H57" s="15"/>
    </row>
    <row r="58" spans="1:11" ht="12.75" customHeight="1" x14ac:dyDescent="0.2">
      <c r="A58">
        <f>+MAX($A$8:A57)+1</f>
        <v>50</v>
      </c>
      <c r="B58" s="65" t="s">
        <v>674</v>
      </c>
      <c r="C58" s="65" t="s">
        <v>675</v>
      </c>
      <c r="D58" t="s">
        <v>106</v>
      </c>
      <c r="E58" s="28">
        <v>78000</v>
      </c>
      <c r="F58" s="13">
        <v>206.7</v>
      </c>
      <c r="G58" s="14">
        <f t="shared" si="2"/>
        <v>6.4000000000000003E-3</v>
      </c>
      <c r="H58" s="15"/>
    </row>
    <row r="59" spans="1:11" ht="12.75" customHeight="1" x14ac:dyDescent="0.2">
      <c r="A59">
        <f>+MAX($A$8:A58)+1</f>
        <v>51</v>
      </c>
      <c r="B59" s="65" t="s">
        <v>206</v>
      </c>
      <c r="C59" s="65" t="s">
        <v>52</v>
      </c>
      <c r="D59" t="s">
        <v>41</v>
      </c>
      <c r="E59" s="28">
        <v>117000</v>
      </c>
      <c r="F59" s="13">
        <v>163.7415</v>
      </c>
      <c r="G59" s="14">
        <f t="shared" si="2"/>
        <v>5.1000000000000004E-3</v>
      </c>
      <c r="H59" s="15"/>
    </row>
    <row r="60" spans="1:11" ht="12.75" customHeight="1" x14ac:dyDescent="0.2">
      <c r="A60">
        <f>+MAX($A$8:A59)+1</f>
        <v>52</v>
      </c>
      <c r="B60" s="65" t="s">
        <v>255</v>
      </c>
      <c r="C60" s="65" t="s">
        <v>119</v>
      </c>
      <c r="D60" t="s">
        <v>47</v>
      </c>
      <c r="E60" s="28">
        <v>28000</v>
      </c>
      <c r="F60" s="13">
        <v>134.00800000000001</v>
      </c>
      <c r="G60" s="14">
        <f t="shared" si="2"/>
        <v>4.1000000000000003E-3</v>
      </c>
      <c r="H60" s="15"/>
    </row>
    <row r="61" spans="1:11" ht="12.75" customHeight="1" x14ac:dyDescent="0.2">
      <c r="A61">
        <f>+MAX($A$8:A60)+1</f>
        <v>53</v>
      </c>
      <c r="B61" s="65" t="s">
        <v>396</v>
      </c>
      <c r="C61" s="65" t="s">
        <v>130</v>
      </c>
      <c r="D61" t="s">
        <v>20</v>
      </c>
      <c r="E61" s="28">
        <v>45000</v>
      </c>
      <c r="F61" s="13">
        <v>101.0475</v>
      </c>
      <c r="G61" s="14">
        <f t="shared" si="2"/>
        <v>3.0999999999999999E-3</v>
      </c>
      <c r="H61" s="15"/>
    </row>
    <row r="62" spans="1:11" ht="12.75" customHeight="1" x14ac:dyDescent="0.2">
      <c r="B62" s="18" t="s">
        <v>85</v>
      </c>
      <c r="C62" s="18"/>
      <c r="D62" s="18"/>
      <c r="E62" s="29"/>
      <c r="F62" s="19">
        <f>SUM(F9:F61)</f>
        <v>32277.865441500009</v>
      </c>
      <c r="G62" s="20">
        <f>SUM(G9:G61)</f>
        <v>0.996</v>
      </c>
      <c r="H62" s="21"/>
      <c r="I62" s="35"/>
    </row>
    <row r="63" spans="1:11" s="46" customFormat="1" ht="12.75" customHeight="1" x14ac:dyDescent="0.2">
      <c r="B63" s="67"/>
      <c r="C63" s="67"/>
      <c r="D63" s="67"/>
      <c r="E63" s="68"/>
      <c r="F63" s="69"/>
      <c r="G63" s="70"/>
      <c r="H63" s="71"/>
      <c r="I63" s="35"/>
      <c r="K63" s="48"/>
    </row>
    <row r="64" spans="1:11" ht="12.75" customHeight="1" x14ac:dyDescent="0.2">
      <c r="B64" s="16" t="s">
        <v>141</v>
      </c>
      <c r="C64" s="16"/>
      <c r="F64" s="13"/>
      <c r="G64" s="14"/>
      <c r="H64" s="15"/>
      <c r="J64" s="17"/>
      <c r="K64" s="37"/>
    </row>
    <row r="65" spans="1:11" ht="12.75" customHeight="1" x14ac:dyDescent="0.2">
      <c r="A65">
        <f>+MAX($A$8:A64)+1</f>
        <v>54</v>
      </c>
      <c r="B65" t="s">
        <v>255</v>
      </c>
      <c r="C65" s="123" t="s">
        <v>724</v>
      </c>
      <c r="D65" t="s">
        <v>322</v>
      </c>
      <c r="E65" s="28">
        <v>42000</v>
      </c>
      <c r="F65" s="13">
        <v>200.40299999999999</v>
      </c>
      <c r="G65" s="14">
        <f>+ROUND(F65/VLOOKUP("Grand Total",$B$4:$F$293,5,0),4)</f>
        <v>6.1999999999999998E-3</v>
      </c>
      <c r="H65" s="15">
        <v>43153</v>
      </c>
      <c r="J65" s="14"/>
      <c r="K65" s="48"/>
    </row>
    <row r="66" spans="1:11" ht="12.75" customHeight="1" x14ac:dyDescent="0.2">
      <c r="B66" s="18" t="s">
        <v>85</v>
      </c>
      <c r="C66" s="18"/>
      <c r="D66" s="18"/>
      <c r="E66" s="29"/>
      <c r="F66" s="19">
        <f>SUM(F65:F65)</f>
        <v>200.40299999999999</v>
      </c>
      <c r="G66" s="20">
        <f>SUM(G65:G65)</f>
        <v>6.1999999999999998E-3</v>
      </c>
      <c r="H66" s="21"/>
      <c r="I66" s="35"/>
    </row>
    <row r="67" spans="1:11" s="46" customFormat="1" ht="12.75" customHeight="1" x14ac:dyDescent="0.2">
      <c r="B67" s="67"/>
      <c r="C67" s="67"/>
      <c r="D67" s="67"/>
      <c r="E67" s="68"/>
      <c r="F67" s="69"/>
      <c r="G67" s="70"/>
      <c r="H67" s="71"/>
      <c r="I67" s="35"/>
      <c r="K67" s="48"/>
    </row>
    <row r="68" spans="1:11" ht="12.75" customHeight="1" x14ac:dyDescent="0.2">
      <c r="A68" s="95" t="s">
        <v>370</v>
      </c>
      <c r="B68" s="16" t="s">
        <v>93</v>
      </c>
      <c r="C68" s="16"/>
      <c r="F68" s="13">
        <v>434.52888999999999</v>
      </c>
      <c r="G68" s="14">
        <f>+ROUND(F68/VLOOKUP("Grand Total",$B$4:$F$293,5,0),4)</f>
        <v>1.34E-2</v>
      </c>
      <c r="H68" s="15">
        <v>43132</v>
      </c>
    </row>
    <row r="69" spans="1:11" ht="12.75" customHeight="1" x14ac:dyDescent="0.2">
      <c r="B69" s="18" t="s">
        <v>85</v>
      </c>
      <c r="C69" s="18"/>
      <c r="D69" s="18"/>
      <c r="E69" s="29"/>
      <c r="F69" s="19">
        <f>SUM(F68)</f>
        <v>434.52888999999999</v>
      </c>
      <c r="G69" s="20">
        <f>SUM(G68)</f>
        <v>1.34E-2</v>
      </c>
      <c r="H69" s="21"/>
    </row>
    <row r="70" spans="1:11" ht="12.75" customHeight="1" x14ac:dyDescent="0.2">
      <c r="F70" s="13"/>
      <c r="G70" s="14"/>
      <c r="H70" s="15"/>
      <c r="I70" s="35"/>
    </row>
    <row r="71" spans="1:11" ht="12.75" customHeight="1" x14ac:dyDescent="0.2">
      <c r="B71" s="16" t="s">
        <v>94</v>
      </c>
      <c r="C71" s="16"/>
      <c r="F71" s="13"/>
      <c r="G71" s="14"/>
      <c r="H71" s="15"/>
      <c r="I71" s="35"/>
    </row>
    <row r="72" spans="1:11" ht="12.75" customHeight="1" x14ac:dyDescent="0.2">
      <c r="B72" s="16" t="s">
        <v>95</v>
      </c>
      <c r="C72" s="16"/>
      <c r="F72" s="13">
        <v>-504.23652280000533</v>
      </c>
      <c r="G72" s="125">
        <f>+ROUND(F72/VLOOKUP("Grand Total",$B$4:$F$293,5,0),4)</f>
        <v>-1.5599999999999999E-2</v>
      </c>
      <c r="H72" s="15"/>
    </row>
    <row r="73" spans="1:11" ht="12.75" customHeight="1" x14ac:dyDescent="0.2">
      <c r="B73" s="18" t="s">
        <v>85</v>
      </c>
      <c r="C73" s="18"/>
      <c r="D73" s="18"/>
      <c r="E73" s="29"/>
      <c r="F73" s="19">
        <f>SUM(F72)</f>
        <v>-504.23652280000533</v>
      </c>
      <c r="G73" s="126">
        <f>SUM(G72)</f>
        <v>-1.5599999999999999E-2</v>
      </c>
      <c r="H73" s="21"/>
    </row>
    <row r="74" spans="1:11" ht="12.75" customHeight="1" x14ac:dyDescent="0.2">
      <c r="B74" s="22" t="s">
        <v>96</v>
      </c>
      <c r="C74" s="22"/>
      <c r="D74" s="22"/>
      <c r="E74" s="30"/>
      <c r="F74" s="23">
        <f>+SUMIF($B$5:B73,"Total",$F$5:F73)</f>
        <v>32408.5608087</v>
      </c>
      <c r="G74" s="24">
        <f>+SUMIF($B$5:B73,"Total",$G$5:G73)</f>
        <v>1</v>
      </c>
      <c r="H74" s="25"/>
    </row>
    <row r="75" spans="1:11" ht="12.75" customHeight="1" x14ac:dyDescent="0.2">
      <c r="I75"/>
      <c r="K75"/>
    </row>
    <row r="76" spans="1:11" ht="12.75" customHeight="1" x14ac:dyDescent="0.2">
      <c r="B76" s="16" t="s">
        <v>769</v>
      </c>
      <c r="C76" s="16"/>
      <c r="F76" s="13"/>
      <c r="G76" s="14"/>
      <c r="I76"/>
      <c r="K76"/>
    </row>
    <row r="77" spans="1:11" ht="12.75" customHeight="1" x14ac:dyDescent="0.2">
      <c r="B77" s="16"/>
      <c r="C77" s="16"/>
      <c r="F77" s="13"/>
      <c r="G77" s="14"/>
      <c r="I77"/>
      <c r="K77"/>
    </row>
    <row r="78" spans="1:11" ht="12.75" customHeight="1" x14ac:dyDescent="0.2">
      <c r="B78" s="16"/>
      <c r="C78" s="16"/>
      <c r="F78" s="13"/>
      <c r="G78" s="14"/>
      <c r="I78"/>
      <c r="K78"/>
    </row>
    <row r="79" spans="1:11" ht="12.75" customHeight="1" x14ac:dyDescent="0.2">
      <c r="I79"/>
      <c r="K79"/>
    </row>
    <row r="80" spans="1:11" ht="12.75" customHeight="1" x14ac:dyDescent="0.2">
      <c r="F80" s="13"/>
      <c r="I80"/>
      <c r="K80"/>
    </row>
    <row r="81" spans="5:11" ht="12.75" customHeight="1" x14ac:dyDescent="0.2">
      <c r="I81"/>
      <c r="K81"/>
    </row>
    <row r="82" spans="5:11" ht="12.75" customHeight="1" x14ac:dyDescent="0.2">
      <c r="I82"/>
      <c r="K82"/>
    </row>
    <row r="83" spans="5:11" ht="12.75" customHeight="1" x14ac:dyDescent="0.2">
      <c r="I83"/>
      <c r="K83"/>
    </row>
    <row r="84" spans="5:11" ht="12.75" customHeight="1" x14ac:dyDescent="0.2">
      <c r="I84"/>
      <c r="K84"/>
    </row>
    <row r="85" spans="5:11" ht="12.75" customHeight="1" x14ac:dyDescent="0.2">
      <c r="I85"/>
      <c r="K85"/>
    </row>
    <row r="86" spans="5:11" ht="12.75" customHeight="1" x14ac:dyDescent="0.2">
      <c r="I86"/>
      <c r="K86"/>
    </row>
    <row r="87" spans="5:11" ht="12.75" customHeight="1" x14ac:dyDescent="0.2">
      <c r="I87"/>
      <c r="K87"/>
    </row>
    <row r="88" spans="5:11" ht="12.75" customHeight="1" x14ac:dyDescent="0.2"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ht="12.75" customHeight="1" x14ac:dyDescent="0.2">
      <c r="E97"/>
      <c r="I97"/>
      <c r="K97"/>
    </row>
    <row r="98" spans="5:11" ht="12.75" customHeight="1" x14ac:dyDescent="0.2">
      <c r="E98"/>
      <c r="I98"/>
      <c r="K98"/>
    </row>
    <row r="99" spans="5:11" ht="12.75" customHeight="1" x14ac:dyDescent="0.2">
      <c r="E99"/>
      <c r="I99"/>
      <c r="K99"/>
    </row>
    <row r="100" spans="5:11" ht="12.75" customHeight="1" x14ac:dyDescent="0.2">
      <c r="E100"/>
      <c r="I100"/>
      <c r="K100"/>
    </row>
    <row r="101" spans="5:11" ht="12.75" customHeight="1" x14ac:dyDescent="0.2">
      <c r="E101"/>
      <c r="I101"/>
      <c r="K101"/>
    </row>
    <row r="102" spans="5:11" ht="12.75" customHeight="1" x14ac:dyDescent="0.2">
      <c r="E102"/>
      <c r="I102"/>
      <c r="K102"/>
    </row>
    <row r="103" spans="5:11" ht="12.75" customHeight="1" x14ac:dyDescent="0.2">
      <c r="E103"/>
      <c r="I103"/>
      <c r="K103"/>
    </row>
    <row r="104" spans="5:11" ht="12.75" customHeight="1" x14ac:dyDescent="0.2">
      <c r="E104"/>
      <c r="I104"/>
      <c r="K104"/>
    </row>
    <row r="105" spans="5:11" ht="12.75" customHeight="1" x14ac:dyDescent="0.2">
      <c r="E105"/>
      <c r="I105"/>
      <c r="K105"/>
    </row>
    <row r="106" spans="5:11" ht="12.75" customHeight="1" x14ac:dyDescent="0.2">
      <c r="E106"/>
      <c r="I106"/>
      <c r="K106"/>
    </row>
    <row r="107" spans="5:11" ht="12.75" customHeight="1" x14ac:dyDescent="0.2">
      <c r="E107"/>
      <c r="I107"/>
      <c r="K107"/>
    </row>
    <row r="108" spans="5:11" ht="12.75" customHeight="1" x14ac:dyDescent="0.2">
      <c r="E108"/>
      <c r="I108"/>
      <c r="K108"/>
    </row>
    <row r="109" spans="5:11" ht="12.75" customHeight="1" x14ac:dyDescent="0.2">
      <c r="E109"/>
      <c r="I109"/>
      <c r="K109"/>
    </row>
    <row r="110" spans="5:11" ht="12.75" customHeight="1" x14ac:dyDescent="0.2">
      <c r="E110"/>
      <c r="I110"/>
      <c r="K110"/>
    </row>
    <row r="111" spans="5:11" ht="12.75" customHeight="1" x14ac:dyDescent="0.2">
      <c r="E111"/>
      <c r="I111"/>
      <c r="K111"/>
    </row>
  </sheetData>
  <sheetProtection password="EDB3" sheet="1" objects="1" scenarios="1"/>
  <sortState ref="J9:K26">
    <sortCondition descending="1" ref="K9:K2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36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21.5703125" bestFit="1" customWidth="1"/>
    <col min="11" max="11" width="8" style="36" customWidth="1"/>
  </cols>
  <sheetData>
    <row r="1" spans="1:16" ht="18.75" x14ac:dyDescent="0.2">
      <c r="A1" s="94" t="s">
        <v>374</v>
      </c>
      <c r="B1" s="127" t="s">
        <v>131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406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239</v>
      </c>
      <c r="C9" t="s">
        <v>101</v>
      </c>
      <c r="D9" t="s">
        <v>26</v>
      </c>
      <c r="E9" s="28">
        <v>84280</v>
      </c>
      <c r="F9" s="13">
        <v>1154.08818</v>
      </c>
      <c r="G9" s="14">
        <f t="shared" ref="G9:G40" si="0">+ROUND(F9/VLOOKUP("Grand Total",$B$4:$F$303,5,0),4)</f>
        <v>8.3500000000000005E-2</v>
      </c>
      <c r="H9" s="15"/>
      <c r="J9" s="65" t="s">
        <v>26</v>
      </c>
      <c r="K9" s="103">
        <f t="shared" ref="K9:K32" si="1">SUMIFS($G$5:$G$327,$D$5:$D$327,J9)</f>
        <v>0.1678</v>
      </c>
    </row>
    <row r="10" spans="1:16" s="65" customFormat="1" ht="12.75" customHeight="1" x14ac:dyDescent="0.2">
      <c r="A10" s="65">
        <f>+MAX($A$7:A9)+1</f>
        <v>2</v>
      </c>
      <c r="B10" s="65" t="s">
        <v>209</v>
      </c>
      <c r="C10" s="65" t="s">
        <v>49</v>
      </c>
      <c r="D10" s="65" t="s">
        <v>20</v>
      </c>
      <c r="E10" s="85">
        <v>7350</v>
      </c>
      <c r="F10" s="86">
        <v>698.96294999999998</v>
      </c>
      <c r="G10" s="90">
        <f t="shared" si="0"/>
        <v>5.0599999999999999E-2</v>
      </c>
      <c r="H10" s="89"/>
      <c r="I10" s="73"/>
      <c r="J10" s="14" t="s">
        <v>10</v>
      </c>
      <c r="K10" s="48">
        <f t="shared" si="1"/>
        <v>0.15309999999999999</v>
      </c>
      <c r="L10" s="84"/>
      <c r="M10" s="90"/>
    </row>
    <row r="11" spans="1:16" ht="12.75" customHeight="1" x14ac:dyDescent="0.2">
      <c r="A11">
        <f>+MAX($A$7:A10)+1</f>
        <v>3</v>
      </c>
      <c r="B11" t="s">
        <v>201</v>
      </c>
      <c r="C11" t="s">
        <v>46</v>
      </c>
      <c r="D11" t="s">
        <v>26</v>
      </c>
      <c r="E11" s="28">
        <v>222108</v>
      </c>
      <c r="F11" s="13">
        <v>602.80111199999999</v>
      </c>
      <c r="G11" s="14">
        <f t="shared" si="0"/>
        <v>4.36E-2</v>
      </c>
      <c r="H11" s="15"/>
      <c r="J11" s="14" t="s">
        <v>20</v>
      </c>
      <c r="K11" s="48">
        <f t="shared" si="1"/>
        <v>0.113</v>
      </c>
      <c r="L11" s="36"/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194</v>
      </c>
      <c r="C12" t="s">
        <v>11</v>
      </c>
      <c r="D12" t="s">
        <v>10</v>
      </c>
      <c r="E12" s="28">
        <v>157499</v>
      </c>
      <c r="F12" s="13">
        <v>555.8927205</v>
      </c>
      <c r="G12" s="14">
        <f t="shared" si="0"/>
        <v>4.02E-2</v>
      </c>
      <c r="H12" s="15"/>
      <c r="J12" s="14" t="s">
        <v>30</v>
      </c>
      <c r="K12" s="48">
        <f t="shared" si="1"/>
        <v>8.4400000000000003E-2</v>
      </c>
      <c r="L12" s="36"/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248</v>
      </c>
      <c r="C13" t="s">
        <v>112</v>
      </c>
      <c r="D13" t="s">
        <v>20</v>
      </c>
      <c r="E13" s="28">
        <v>13500</v>
      </c>
      <c r="F13" s="13">
        <v>498.34575000000001</v>
      </c>
      <c r="G13" s="14">
        <f t="shared" si="0"/>
        <v>3.61E-2</v>
      </c>
      <c r="H13" s="15"/>
      <c r="J13" s="14" t="s">
        <v>14</v>
      </c>
      <c r="K13" s="48">
        <f t="shared" si="1"/>
        <v>7.279999999999999E-2</v>
      </c>
      <c r="L13" s="36"/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191</v>
      </c>
      <c r="C14" t="s">
        <v>13</v>
      </c>
      <c r="D14" t="s">
        <v>10</v>
      </c>
      <c r="E14" s="28">
        <v>24800</v>
      </c>
      <c r="F14" s="13">
        <v>497.41359999999997</v>
      </c>
      <c r="G14" s="14">
        <f t="shared" si="0"/>
        <v>3.5999999999999997E-2</v>
      </c>
      <c r="H14" s="15"/>
      <c r="J14" s="14" t="s">
        <v>18</v>
      </c>
      <c r="K14" s="48">
        <f t="shared" si="1"/>
        <v>5.5399999999999998E-2</v>
      </c>
      <c r="L14" s="36"/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193</v>
      </c>
      <c r="C15" t="s">
        <v>31</v>
      </c>
      <c r="D15" t="s">
        <v>30</v>
      </c>
      <c r="E15" s="28">
        <v>47490</v>
      </c>
      <c r="F15" s="13">
        <v>456.52136999999999</v>
      </c>
      <c r="G15" s="14">
        <f t="shared" si="0"/>
        <v>3.3000000000000002E-2</v>
      </c>
      <c r="H15" s="15"/>
      <c r="J15" s="14" t="s">
        <v>47</v>
      </c>
      <c r="K15" s="48">
        <f t="shared" si="1"/>
        <v>3.9600000000000003E-2</v>
      </c>
      <c r="L15" s="36"/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192</v>
      </c>
      <c r="C16" t="s">
        <v>15</v>
      </c>
      <c r="D16" t="s">
        <v>14</v>
      </c>
      <c r="E16" s="28">
        <v>39064</v>
      </c>
      <c r="F16" s="13">
        <v>449.33366000000001</v>
      </c>
      <c r="G16" s="14">
        <f t="shared" si="0"/>
        <v>3.2500000000000001E-2</v>
      </c>
      <c r="H16" s="15"/>
      <c r="J16" s="14" t="s">
        <v>134</v>
      </c>
      <c r="K16" s="48">
        <f t="shared" si="1"/>
        <v>3.4099999999999998E-2</v>
      </c>
      <c r="L16" s="36"/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16</v>
      </c>
      <c r="C17" t="s">
        <v>17</v>
      </c>
      <c r="D17" t="s">
        <v>10</v>
      </c>
      <c r="E17" s="28">
        <v>135000</v>
      </c>
      <c r="F17" s="13">
        <v>422.88749999999999</v>
      </c>
      <c r="G17" s="14">
        <f t="shared" si="0"/>
        <v>3.0599999999999999E-2</v>
      </c>
      <c r="H17" s="15"/>
      <c r="J17" s="14" t="s">
        <v>38</v>
      </c>
      <c r="K17" s="48">
        <f t="shared" si="1"/>
        <v>3.2200000000000006E-2</v>
      </c>
      <c r="L17" s="36"/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264</v>
      </c>
      <c r="C18" t="s">
        <v>135</v>
      </c>
      <c r="D18" t="s">
        <v>18</v>
      </c>
      <c r="E18" s="28">
        <v>13569</v>
      </c>
      <c r="F18" s="13">
        <v>398.28407249999998</v>
      </c>
      <c r="G18" s="14">
        <f t="shared" si="0"/>
        <v>2.8799999999999999E-2</v>
      </c>
      <c r="H18" s="15"/>
      <c r="J18" s="14" t="s">
        <v>43</v>
      </c>
      <c r="K18" s="48">
        <f t="shared" si="1"/>
        <v>2.58E-2</v>
      </c>
      <c r="L18" s="36"/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252</v>
      </c>
      <c r="C19" t="s">
        <v>117</v>
      </c>
      <c r="D19" t="s">
        <v>30</v>
      </c>
      <c r="E19" s="28">
        <v>75900</v>
      </c>
      <c r="F19" s="13">
        <v>373.65570000000002</v>
      </c>
      <c r="G19" s="14">
        <f t="shared" si="0"/>
        <v>2.7E-2</v>
      </c>
      <c r="H19" s="15"/>
      <c r="J19" s="14" t="s">
        <v>28</v>
      </c>
      <c r="K19" s="48">
        <f t="shared" si="1"/>
        <v>2.47E-2</v>
      </c>
      <c r="L19" s="36"/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204</v>
      </c>
      <c r="C20" t="s">
        <v>53</v>
      </c>
      <c r="D20" t="s">
        <v>18</v>
      </c>
      <c r="E20" s="28">
        <v>8400</v>
      </c>
      <c r="F20" s="13">
        <v>368.08800000000002</v>
      </c>
      <c r="G20" s="14">
        <f t="shared" si="0"/>
        <v>2.6599999999999999E-2</v>
      </c>
      <c r="H20" s="15"/>
      <c r="J20" s="14" t="s">
        <v>99</v>
      </c>
      <c r="K20" s="48">
        <f t="shared" si="1"/>
        <v>2.4399999999999998E-2</v>
      </c>
      <c r="L20" s="36"/>
      <c r="M20" s="14"/>
      <c r="N20" s="36"/>
      <c r="P20" s="14"/>
    </row>
    <row r="21" spans="1:16" ht="12.75" customHeight="1" x14ac:dyDescent="0.2">
      <c r="A21">
        <f>+MAX($A$7:A20)+1</f>
        <v>13</v>
      </c>
      <c r="B21" t="s">
        <v>265</v>
      </c>
      <c r="C21" t="s">
        <v>136</v>
      </c>
      <c r="D21" t="s">
        <v>26</v>
      </c>
      <c r="E21" s="28">
        <v>10800</v>
      </c>
      <c r="F21" s="13">
        <v>350.97300000000001</v>
      </c>
      <c r="G21" s="14">
        <f t="shared" si="0"/>
        <v>2.5399999999999999E-2</v>
      </c>
      <c r="H21" s="15"/>
      <c r="J21" s="14" t="s">
        <v>45</v>
      </c>
      <c r="K21" s="48">
        <f t="shared" si="1"/>
        <v>2.4E-2</v>
      </c>
      <c r="L21" s="36"/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229</v>
      </c>
      <c r="C22" t="s">
        <v>80</v>
      </c>
      <c r="D22" t="s">
        <v>30</v>
      </c>
      <c r="E22" s="28">
        <v>84900</v>
      </c>
      <c r="F22" s="13">
        <v>337.64729999999997</v>
      </c>
      <c r="G22" s="14">
        <f t="shared" si="0"/>
        <v>2.4400000000000002E-2</v>
      </c>
      <c r="H22" s="15"/>
      <c r="J22" s="14" t="s">
        <v>106</v>
      </c>
      <c r="K22" s="48">
        <f t="shared" si="1"/>
        <v>2.3900000000000001E-2</v>
      </c>
      <c r="L22" s="36"/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269</v>
      </c>
      <c r="C23" t="s">
        <v>82</v>
      </c>
      <c r="D23" t="s">
        <v>14</v>
      </c>
      <c r="E23" s="28">
        <v>43500</v>
      </c>
      <c r="F23" s="13">
        <v>279.20474999999999</v>
      </c>
      <c r="G23" s="14">
        <f t="shared" si="0"/>
        <v>2.0199999999999999E-2</v>
      </c>
      <c r="H23" s="15"/>
      <c r="J23" s="14" t="s">
        <v>41</v>
      </c>
      <c r="K23" s="48">
        <f t="shared" si="1"/>
        <v>2.1299999999999999E-2</v>
      </c>
      <c r="L23" s="36"/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198</v>
      </c>
      <c r="C24" t="s">
        <v>39</v>
      </c>
      <c r="D24" t="s">
        <v>20</v>
      </c>
      <c r="E24" s="28">
        <v>7860</v>
      </c>
      <c r="F24" s="13">
        <v>262.29998999999998</v>
      </c>
      <c r="G24" s="14">
        <f t="shared" si="0"/>
        <v>1.9E-2</v>
      </c>
      <c r="H24" s="15"/>
      <c r="J24" s="14" t="s">
        <v>22</v>
      </c>
      <c r="K24" s="48">
        <f t="shared" si="1"/>
        <v>1.9200000000000002E-2</v>
      </c>
      <c r="L24" s="36"/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227</v>
      </c>
      <c r="C25" t="s">
        <v>591</v>
      </c>
      <c r="D25" t="s">
        <v>47</v>
      </c>
      <c r="E25" s="28">
        <v>75000</v>
      </c>
      <c r="F25" s="13">
        <v>228.48750000000001</v>
      </c>
      <c r="G25" s="14">
        <f t="shared" si="0"/>
        <v>1.6500000000000001E-2</v>
      </c>
      <c r="H25" s="15"/>
      <c r="J25" s="14" t="s">
        <v>144</v>
      </c>
      <c r="K25" s="48">
        <f t="shared" si="1"/>
        <v>1.44E-2</v>
      </c>
      <c r="L25" s="36"/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241</v>
      </c>
      <c r="C26" t="s">
        <v>103</v>
      </c>
      <c r="D26" t="s">
        <v>10</v>
      </c>
      <c r="E26" s="28">
        <v>12900</v>
      </c>
      <c r="F26" s="13">
        <v>226.1499</v>
      </c>
      <c r="G26" s="14">
        <f t="shared" si="0"/>
        <v>1.6400000000000001E-2</v>
      </c>
      <c r="H26" s="15"/>
      <c r="J26" s="14" t="s">
        <v>24</v>
      </c>
      <c r="K26" s="48">
        <f t="shared" si="1"/>
        <v>1.4E-2</v>
      </c>
      <c r="L26" s="36"/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262</v>
      </c>
      <c r="C27" t="s">
        <v>129</v>
      </c>
      <c r="D27" t="s">
        <v>26</v>
      </c>
      <c r="E27" s="28">
        <v>18900</v>
      </c>
      <c r="F27" s="13">
        <v>211.93514999999999</v>
      </c>
      <c r="G27" s="14">
        <f t="shared" si="0"/>
        <v>1.5299999999999999E-2</v>
      </c>
      <c r="H27" s="15"/>
      <c r="J27" s="14" t="s">
        <v>133</v>
      </c>
      <c r="K27" s="48">
        <f t="shared" si="1"/>
        <v>1.2800000000000001E-2</v>
      </c>
      <c r="L27" s="36"/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243</v>
      </c>
      <c r="C28" t="s">
        <v>107</v>
      </c>
      <c r="D28" t="s">
        <v>99</v>
      </c>
      <c r="E28" s="28">
        <v>100800</v>
      </c>
      <c r="F28" s="13">
        <v>205.07759999999999</v>
      </c>
      <c r="G28" s="14">
        <f t="shared" si="0"/>
        <v>1.4800000000000001E-2</v>
      </c>
      <c r="H28" s="15"/>
      <c r="J28" s="14" t="s">
        <v>509</v>
      </c>
      <c r="K28" s="48">
        <f t="shared" si="1"/>
        <v>1.0800000000000001E-2</v>
      </c>
      <c r="L28" s="36"/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311</v>
      </c>
      <c r="C29" t="s">
        <v>132</v>
      </c>
      <c r="D29" t="s">
        <v>24</v>
      </c>
      <c r="E29" s="28">
        <v>6900</v>
      </c>
      <c r="F29" s="13">
        <v>193.78305</v>
      </c>
      <c r="G29" s="14">
        <f t="shared" si="0"/>
        <v>1.4E-2</v>
      </c>
      <c r="H29" s="15"/>
      <c r="J29" t="s">
        <v>32</v>
      </c>
      <c r="K29" s="48">
        <f t="shared" si="1"/>
        <v>9.2999999999999992E-3</v>
      </c>
      <c r="L29" s="36"/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285</v>
      </c>
      <c r="C30" t="s">
        <v>177</v>
      </c>
      <c r="D30" t="s">
        <v>47</v>
      </c>
      <c r="E30" s="28">
        <v>73800</v>
      </c>
      <c r="F30" s="13">
        <v>188.00550000000001</v>
      </c>
      <c r="G30" s="14">
        <f t="shared" si="0"/>
        <v>1.3599999999999999E-2</v>
      </c>
      <c r="H30" s="15"/>
      <c r="J30" s="14" t="s">
        <v>34</v>
      </c>
      <c r="K30" s="48">
        <f t="shared" si="1"/>
        <v>8.6E-3</v>
      </c>
      <c r="L30" s="36"/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225</v>
      </c>
      <c r="C31" t="s">
        <v>71</v>
      </c>
      <c r="D31" t="s">
        <v>28</v>
      </c>
      <c r="E31" s="28">
        <v>12750</v>
      </c>
      <c r="F31" s="13">
        <v>180.60374999999999</v>
      </c>
      <c r="G31" s="14">
        <f t="shared" si="0"/>
        <v>1.3100000000000001E-2</v>
      </c>
      <c r="H31" s="15"/>
      <c r="J31" s="14" t="s">
        <v>105</v>
      </c>
      <c r="K31" s="48">
        <f t="shared" si="1"/>
        <v>8.0999999999999996E-3</v>
      </c>
      <c r="L31" s="36"/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267</v>
      </c>
      <c r="C32" t="s">
        <v>138</v>
      </c>
      <c r="D32" t="s">
        <v>133</v>
      </c>
      <c r="E32" s="28">
        <v>19800</v>
      </c>
      <c r="F32" s="13">
        <v>176.38829999999999</v>
      </c>
      <c r="G32" s="14">
        <f t="shared" si="0"/>
        <v>1.2800000000000001E-2</v>
      </c>
      <c r="H32" s="15"/>
      <c r="J32" s="14" t="s">
        <v>319</v>
      </c>
      <c r="K32" s="48">
        <f t="shared" si="1"/>
        <v>1.6000000000000001E-3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397</v>
      </c>
      <c r="C33" t="s">
        <v>398</v>
      </c>
      <c r="D33" t="s">
        <v>134</v>
      </c>
      <c r="E33" s="28">
        <v>16608</v>
      </c>
      <c r="F33" s="13">
        <v>175.50504000000001</v>
      </c>
      <c r="G33" s="14">
        <f t="shared" si="0"/>
        <v>1.2699999999999999E-2</v>
      </c>
      <c r="H33" s="15"/>
      <c r="J33" s="14" t="s">
        <v>64</v>
      </c>
      <c r="K33" s="48">
        <f>+SUMIFS($G$5:$G$998,$B$5:$B$998,"CBLO / Reverse Repo Investments")+SUMIFS($G$5:$G$998,$B$5:$B$998,"Net Receivable/Payable")</f>
        <v>4.6999999999999993E-3</v>
      </c>
      <c r="L33" s="54"/>
      <c r="N33" s="36"/>
      <c r="P33" s="14"/>
    </row>
    <row r="34" spans="1:16" ht="12.75" customHeight="1" x14ac:dyDescent="0.2">
      <c r="A34">
        <f>+MAX($A$7:A33)+1</f>
        <v>26</v>
      </c>
      <c r="B34" t="s">
        <v>260</v>
      </c>
      <c r="C34" t="s">
        <v>124</v>
      </c>
      <c r="D34" t="s">
        <v>45</v>
      </c>
      <c r="E34" s="28">
        <v>66900</v>
      </c>
      <c r="F34" s="13">
        <v>171.36435</v>
      </c>
      <c r="G34" s="14">
        <f t="shared" si="0"/>
        <v>1.24E-2</v>
      </c>
      <c r="H34" s="15"/>
    </row>
    <row r="35" spans="1:16" ht="12.75" customHeight="1" x14ac:dyDescent="0.2">
      <c r="A35">
        <f>+MAX($A$7:A34)+1</f>
        <v>27</v>
      </c>
      <c r="B35" t="s">
        <v>230</v>
      </c>
      <c r="C35" t="s">
        <v>81</v>
      </c>
      <c r="D35" t="s">
        <v>45</v>
      </c>
      <c r="E35" s="28">
        <v>51900</v>
      </c>
      <c r="F35" s="13">
        <v>161.01974999999999</v>
      </c>
      <c r="G35" s="14">
        <f t="shared" si="0"/>
        <v>1.1599999999999999E-2</v>
      </c>
      <c r="H35" s="15"/>
    </row>
    <row r="36" spans="1:16" ht="12.75" customHeight="1" x14ac:dyDescent="0.2">
      <c r="A36">
        <f>+MAX($A$7:A35)+1</f>
        <v>28</v>
      </c>
      <c r="B36" t="s">
        <v>224</v>
      </c>
      <c r="C36" t="s">
        <v>66</v>
      </c>
      <c r="D36" t="s">
        <v>28</v>
      </c>
      <c r="E36" s="28">
        <v>45600</v>
      </c>
      <c r="F36" s="13">
        <v>160.30680000000001</v>
      </c>
      <c r="G36" s="14">
        <f t="shared" si="0"/>
        <v>1.1599999999999999E-2</v>
      </c>
      <c r="H36" s="15"/>
    </row>
    <row r="37" spans="1:16" ht="12.75" customHeight="1" x14ac:dyDescent="0.2">
      <c r="A37">
        <f>+MAX($A$7:A36)+1</f>
        <v>29</v>
      </c>
      <c r="B37" t="s">
        <v>346</v>
      </c>
      <c r="C37" t="s">
        <v>412</v>
      </c>
      <c r="D37" t="s">
        <v>134</v>
      </c>
      <c r="E37" s="28">
        <v>12900</v>
      </c>
      <c r="F37" s="13">
        <v>155.6772</v>
      </c>
      <c r="G37" s="14">
        <f t="shared" si="0"/>
        <v>1.1299999999999999E-2</v>
      </c>
      <c r="H37" s="15"/>
    </row>
    <row r="38" spans="1:16" ht="12.75" customHeight="1" x14ac:dyDescent="0.2">
      <c r="A38">
        <f>+MAX($A$7:A37)+1</f>
        <v>30</v>
      </c>
      <c r="B38" t="s">
        <v>549</v>
      </c>
      <c r="C38" t="s">
        <v>475</v>
      </c>
      <c r="D38" t="s">
        <v>22</v>
      </c>
      <c r="E38" s="28">
        <v>40500</v>
      </c>
      <c r="F38" s="13">
        <v>152.19900000000001</v>
      </c>
      <c r="G38" s="14">
        <f t="shared" si="0"/>
        <v>1.0999999999999999E-2</v>
      </c>
      <c r="H38" s="15"/>
    </row>
    <row r="39" spans="1:16" ht="12.75" customHeight="1" x14ac:dyDescent="0.2">
      <c r="A39">
        <f>+MAX($A$7:A38)+1</f>
        <v>31</v>
      </c>
      <c r="B39" t="s">
        <v>620</v>
      </c>
      <c r="C39" t="s">
        <v>621</v>
      </c>
      <c r="D39" t="s">
        <v>14</v>
      </c>
      <c r="E39" s="28">
        <v>21900</v>
      </c>
      <c r="F39" s="13">
        <v>151.97505000000001</v>
      </c>
      <c r="G39" s="14">
        <f t="shared" si="0"/>
        <v>1.0999999999999999E-2</v>
      </c>
      <c r="H39" s="15"/>
    </row>
    <row r="40" spans="1:16" ht="12.75" customHeight="1" x14ac:dyDescent="0.2">
      <c r="A40">
        <f>+MAX($A$7:A39)+1</f>
        <v>32</v>
      </c>
      <c r="B40" t="s">
        <v>507</v>
      </c>
      <c r="C40" t="s">
        <v>508</v>
      </c>
      <c r="D40" t="s">
        <v>509</v>
      </c>
      <c r="E40" s="28">
        <v>35700</v>
      </c>
      <c r="F40" s="13">
        <v>149.01179999999999</v>
      </c>
      <c r="G40" s="14">
        <f t="shared" si="0"/>
        <v>1.0800000000000001E-2</v>
      </c>
      <c r="H40" s="15"/>
    </row>
    <row r="41" spans="1:16" ht="12.75" customHeight="1" x14ac:dyDescent="0.2">
      <c r="A41">
        <f>+MAX($A$7:A40)+1</f>
        <v>33</v>
      </c>
      <c r="B41" t="s">
        <v>525</v>
      </c>
      <c r="C41" t="s">
        <v>526</v>
      </c>
      <c r="D41" t="s">
        <v>41</v>
      </c>
      <c r="E41" s="28">
        <v>5478</v>
      </c>
      <c r="F41" s="13">
        <v>148.73317800000001</v>
      </c>
      <c r="G41" s="14">
        <f t="shared" ref="G41:G61" si="2">+ROUND(F41/VLOOKUP("Grand Total",$B$4:$F$303,5,0),4)</f>
        <v>1.0800000000000001E-2</v>
      </c>
      <c r="H41" s="15"/>
    </row>
    <row r="42" spans="1:16" ht="12.75" customHeight="1" x14ac:dyDescent="0.2">
      <c r="A42">
        <f>+MAX($A$7:A41)+1</f>
        <v>34</v>
      </c>
      <c r="B42" t="s">
        <v>217</v>
      </c>
      <c r="C42" t="s">
        <v>29</v>
      </c>
      <c r="D42" t="s">
        <v>10</v>
      </c>
      <c r="E42" s="28">
        <v>24900</v>
      </c>
      <c r="F42" s="13">
        <v>147.8064</v>
      </c>
      <c r="G42" s="14">
        <f t="shared" si="2"/>
        <v>1.0699999999999999E-2</v>
      </c>
      <c r="H42" s="15"/>
    </row>
    <row r="43" spans="1:16" ht="12.75" customHeight="1" x14ac:dyDescent="0.2">
      <c r="A43">
        <f>+MAX($A$7:A42)+1</f>
        <v>35</v>
      </c>
      <c r="B43" t="s">
        <v>576</v>
      </c>
      <c r="C43" t="s">
        <v>577</v>
      </c>
      <c r="D43" t="s">
        <v>106</v>
      </c>
      <c r="E43" s="28">
        <v>55080</v>
      </c>
      <c r="F43" s="13">
        <v>146.76066</v>
      </c>
      <c r="G43" s="14">
        <f t="shared" si="2"/>
        <v>1.06E-2</v>
      </c>
      <c r="H43" s="15"/>
    </row>
    <row r="44" spans="1:16" ht="12.75" customHeight="1" x14ac:dyDescent="0.2">
      <c r="A44">
        <f>+MAX($A$7:A43)+1</f>
        <v>36</v>
      </c>
      <c r="B44" t="s">
        <v>478</v>
      </c>
      <c r="C44" t="s">
        <v>479</v>
      </c>
      <c r="D44" t="s">
        <v>41</v>
      </c>
      <c r="E44" s="28">
        <v>34500</v>
      </c>
      <c r="F44" s="13">
        <v>145.43475000000001</v>
      </c>
      <c r="G44" s="14">
        <f t="shared" si="2"/>
        <v>1.0500000000000001E-2</v>
      </c>
      <c r="H44" s="15"/>
    </row>
    <row r="45" spans="1:16" ht="12.75" customHeight="1" x14ac:dyDescent="0.2">
      <c r="A45">
        <f>+MAX($A$7:A44)+1</f>
        <v>37</v>
      </c>
      <c r="B45" t="s">
        <v>296</v>
      </c>
      <c r="C45" t="s">
        <v>178</v>
      </c>
      <c r="D45" t="s">
        <v>38</v>
      </c>
      <c r="E45" s="28">
        <v>64800</v>
      </c>
      <c r="F45" s="13">
        <v>144.73079999999999</v>
      </c>
      <c r="G45" s="14">
        <f t="shared" si="2"/>
        <v>1.0500000000000001E-2</v>
      </c>
      <c r="H45" s="15"/>
    </row>
    <row r="46" spans="1:16" ht="12.75" customHeight="1" x14ac:dyDescent="0.2">
      <c r="A46">
        <f>+MAX($A$7:A45)+1</f>
        <v>38</v>
      </c>
      <c r="B46" t="s">
        <v>676</v>
      </c>
      <c r="C46" t="s">
        <v>677</v>
      </c>
      <c r="D46" t="s">
        <v>144</v>
      </c>
      <c r="E46" s="28">
        <v>118800</v>
      </c>
      <c r="F46" s="13">
        <v>142.02539999999999</v>
      </c>
      <c r="G46" s="14">
        <f t="shared" si="2"/>
        <v>1.03E-2</v>
      </c>
      <c r="H46" s="15"/>
    </row>
    <row r="47" spans="1:16" ht="12.75" customHeight="1" x14ac:dyDescent="0.2">
      <c r="A47">
        <f>+MAX($A$7:A46)+1</f>
        <v>39</v>
      </c>
      <c r="B47" t="s">
        <v>212</v>
      </c>
      <c r="C47" t="s">
        <v>98</v>
      </c>
      <c r="D47" t="s">
        <v>10</v>
      </c>
      <c r="E47" s="28">
        <v>12600</v>
      </c>
      <c r="F47" s="13">
        <v>139.7277</v>
      </c>
      <c r="G47" s="14">
        <f t="shared" si="2"/>
        <v>1.01E-2</v>
      </c>
      <c r="H47" s="15"/>
    </row>
    <row r="48" spans="1:16" ht="12.75" customHeight="1" x14ac:dyDescent="0.2">
      <c r="A48">
        <f>+MAX($A$7:A47)+1</f>
        <v>40</v>
      </c>
      <c r="B48" t="s">
        <v>445</v>
      </c>
      <c r="C48" t="s">
        <v>446</v>
      </c>
      <c r="D48" t="s">
        <v>134</v>
      </c>
      <c r="E48" s="28">
        <v>78900</v>
      </c>
      <c r="F48" s="13">
        <v>139.17959999999999</v>
      </c>
      <c r="G48" s="14">
        <f t="shared" si="2"/>
        <v>1.01E-2</v>
      </c>
      <c r="H48" s="15"/>
    </row>
    <row r="49" spans="1:8" ht="12.75" customHeight="1" x14ac:dyDescent="0.2">
      <c r="A49">
        <f>+MAX($A$7:A48)+1</f>
        <v>41</v>
      </c>
      <c r="B49" t="s">
        <v>496</v>
      </c>
      <c r="C49" t="s">
        <v>497</v>
      </c>
      <c r="D49" t="s">
        <v>43</v>
      </c>
      <c r="E49" s="28">
        <v>12900</v>
      </c>
      <c r="F49" s="13">
        <v>135.41130000000001</v>
      </c>
      <c r="G49" s="14">
        <f t="shared" si="2"/>
        <v>9.7999999999999997E-3</v>
      </c>
      <c r="H49" s="15"/>
    </row>
    <row r="50" spans="1:8" ht="12.75" customHeight="1" x14ac:dyDescent="0.2">
      <c r="A50">
        <f>+MAX($A$7:A49)+1</f>
        <v>42</v>
      </c>
      <c r="B50" t="s">
        <v>327</v>
      </c>
      <c r="C50" t="s">
        <v>328</v>
      </c>
      <c r="D50" t="s">
        <v>38</v>
      </c>
      <c r="E50" s="28">
        <v>7380</v>
      </c>
      <c r="F50" s="13">
        <v>134.37872999999999</v>
      </c>
      <c r="G50" s="14">
        <f t="shared" si="2"/>
        <v>9.7000000000000003E-3</v>
      </c>
      <c r="H50" s="15"/>
    </row>
    <row r="51" spans="1:8" ht="12.75" customHeight="1" x14ac:dyDescent="0.2">
      <c r="A51">
        <f>+MAX($A$7:A50)+1</f>
        <v>43</v>
      </c>
      <c r="B51" t="s">
        <v>523</v>
      </c>
      <c r="C51" t="s">
        <v>524</v>
      </c>
      <c r="D51" t="s">
        <v>99</v>
      </c>
      <c r="E51" s="28">
        <v>36900</v>
      </c>
      <c r="F51" s="13">
        <v>132.45255</v>
      </c>
      <c r="G51" s="14">
        <f t="shared" si="2"/>
        <v>9.5999999999999992E-3</v>
      </c>
      <c r="H51" s="15"/>
    </row>
    <row r="52" spans="1:8" ht="12.75" customHeight="1" x14ac:dyDescent="0.2">
      <c r="A52">
        <f>+MAX($A$7:A51)+1</f>
        <v>44</v>
      </c>
      <c r="B52" t="s">
        <v>266</v>
      </c>
      <c r="C52" t="s">
        <v>137</v>
      </c>
      <c r="D52" t="s">
        <v>47</v>
      </c>
      <c r="E52" s="28">
        <v>64800</v>
      </c>
      <c r="F52" s="13">
        <v>131.4468</v>
      </c>
      <c r="G52" s="14">
        <f t="shared" si="2"/>
        <v>9.4999999999999998E-3</v>
      </c>
      <c r="H52" s="15"/>
    </row>
    <row r="53" spans="1:8" ht="12.75" customHeight="1" x14ac:dyDescent="0.2">
      <c r="A53">
        <f>+MAX($A$7:A52)+1</f>
        <v>45</v>
      </c>
      <c r="B53" t="s">
        <v>309</v>
      </c>
      <c r="C53" t="s">
        <v>76</v>
      </c>
      <c r="D53" t="s">
        <v>38</v>
      </c>
      <c r="E53" s="28">
        <v>37608</v>
      </c>
      <c r="F53" s="13">
        <v>129.54075599999999</v>
      </c>
      <c r="G53" s="14">
        <f t="shared" si="2"/>
        <v>9.4000000000000004E-3</v>
      </c>
      <c r="H53" s="15"/>
    </row>
    <row r="54" spans="1:8" ht="12.75" customHeight="1" x14ac:dyDescent="0.2">
      <c r="A54">
        <f>+MAX($A$7:A53)+1</f>
        <v>46</v>
      </c>
      <c r="B54" t="s">
        <v>340</v>
      </c>
      <c r="C54" t="s">
        <v>341</v>
      </c>
      <c r="D54" t="s">
        <v>32</v>
      </c>
      <c r="E54" s="28">
        <v>57000</v>
      </c>
      <c r="F54" s="13">
        <v>128.79150000000001</v>
      </c>
      <c r="G54" s="14">
        <f t="shared" si="2"/>
        <v>9.2999999999999992E-3</v>
      </c>
      <c r="H54" s="15"/>
    </row>
    <row r="55" spans="1:8" ht="12.75" customHeight="1" x14ac:dyDescent="0.2">
      <c r="A55">
        <f>+MAX($A$7:A54)+1</f>
        <v>47</v>
      </c>
      <c r="B55" t="s">
        <v>320</v>
      </c>
      <c r="C55" t="s">
        <v>321</v>
      </c>
      <c r="D55" t="s">
        <v>10</v>
      </c>
      <c r="E55" s="28">
        <v>79590</v>
      </c>
      <c r="F55" s="13">
        <v>126.30933</v>
      </c>
      <c r="G55" s="14">
        <f t="shared" si="2"/>
        <v>9.1000000000000004E-3</v>
      </c>
      <c r="H55" s="15"/>
    </row>
    <row r="56" spans="1:8" ht="12.75" customHeight="1" x14ac:dyDescent="0.2">
      <c r="A56">
        <f>+MAX($A$7:A55)+1</f>
        <v>48</v>
      </c>
      <c r="B56" t="s">
        <v>210</v>
      </c>
      <c r="C56" t="s">
        <v>55</v>
      </c>
      <c r="D56" t="s">
        <v>43</v>
      </c>
      <c r="E56" s="28">
        <v>7080</v>
      </c>
      <c r="F56" s="13">
        <v>126.26826</v>
      </c>
      <c r="G56" s="14">
        <f t="shared" si="2"/>
        <v>9.1000000000000004E-3</v>
      </c>
      <c r="H56" s="15"/>
    </row>
    <row r="57" spans="1:8" ht="12.75" customHeight="1" x14ac:dyDescent="0.2">
      <c r="A57">
        <f>+MAX($A$7:A56)+1</f>
        <v>49</v>
      </c>
      <c r="B57" t="s">
        <v>196</v>
      </c>
      <c r="C57" t="s">
        <v>25</v>
      </c>
      <c r="D57" t="s">
        <v>14</v>
      </c>
      <c r="E57" s="28">
        <v>12780</v>
      </c>
      <c r="F57" s="13">
        <v>126.08109</v>
      </c>
      <c r="G57" s="14">
        <f t="shared" si="2"/>
        <v>9.1000000000000004E-3</v>
      </c>
      <c r="H57" s="15"/>
    </row>
    <row r="58" spans="1:8" ht="12.75" customHeight="1" x14ac:dyDescent="0.2">
      <c r="A58">
        <f>+MAX($A$7:A57)+1</f>
        <v>50</v>
      </c>
      <c r="B58" t="s">
        <v>214</v>
      </c>
      <c r="C58" t="s">
        <v>65</v>
      </c>
      <c r="D58" t="s">
        <v>34</v>
      </c>
      <c r="E58" s="28">
        <v>27000</v>
      </c>
      <c r="F58" s="13">
        <v>118.7595</v>
      </c>
      <c r="G58" s="14">
        <f t="shared" si="2"/>
        <v>8.6E-3</v>
      </c>
      <c r="H58" s="15"/>
    </row>
    <row r="59" spans="1:8" ht="12.75" customHeight="1" x14ac:dyDescent="0.2">
      <c r="A59">
        <f>+MAX($A$7:A58)+1</f>
        <v>51</v>
      </c>
      <c r="B59" t="s">
        <v>215</v>
      </c>
      <c r="C59" t="s">
        <v>61</v>
      </c>
      <c r="D59" t="s">
        <v>22</v>
      </c>
      <c r="E59" s="28">
        <v>18000</v>
      </c>
      <c r="F59" s="13">
        <v>113.319</v>
      </c>
      <c r="G59" s="14">
        <f t="shared" si="2"/>
        <v>8.2000000000000007E-3</v>
      </c>
      <c r="H59" s="15"/>
    </row>
    <row r="60" spans="1:8" ht="12.75" customHeight="1" x14ac:dyDescent="0.2">
      <c r="A60">
        <f>+MAX($A$7:A59)+1</f>
        <v>52</v>
      </c>
      <c r="B60" t="s">
        <v>678</v>
      </c>
      <c r="C60" t="s">
        <v>679</v>
      </c>
      <c r="D60" t="s">
        <v>105</v>
      </c>
      <c r="E60" s="28">
        <v>108000</v>
      </c>
      <c r="F60" s="13">
        <v>111.726</v>
      </c>
      <c r="G60" s="14">
        <f t="shared" si="2"/>
        <v>8.0999999999999996E-3</v>
      </c>
      <c r="H60" s="15"/>
    </row>
    <row r="61" spans="1:8" ht="12.75" customHeight="1" x14ac:dyDescent="0.2">
      <c r="A61">
        <f>+MAX($A$7:A60)+1</f>
        <v>53</v>
      </c>
      <c r="B61" t="s">
        <v>396</v>
      </c>
      <c r="C61" t="s">
        <v>130</v>
      </c>
      <c r="D61" t="s">
        <v>20</v>
      </c>
      <c r="E61" s="28">
        <v>45000</v>
      </c>
      <c r="F61" s="13">
        <v>101.0475</v>
      </c>
      <c r="G61" s="14">
        <f t="shared" si="2"/>
        <v>7.3000000000000001E-3</v>
      </c>
      <c r="H61" s="15"/>
    </row>
    <row r="62" spans="1:8" ht="12.75" customHeight="1" x14ac:dyDescent="0.2">
      <c r="A62">
        <f>+MAX($A$7:A61)+1</f>
        <v>54</v>
      </c>
      <c r="B62" t="s">
        <v>618</v>
      </c>
      <c r="C62" t="s">
        <v>619</v>
      </c>
      <c r="D62" t="s">
        <v>106</v>
      </c>
      <c r="E62" s="28">
        <v>97200</v>
      </c>
      <c r="F62" s="13">
        <v>96.859800000000007</v>
      </c>
      <c r="G62" s="14">
        <f t="shared" ref="G62:G63" si="3">+ROUND(F62/VLOOKUP("Grand Total",$B$4:$F$303,5,0),4)</f>
        <v>7.0000000000000001E-3</v>
      </c>
      <c r="H62" s="15"/>
    </row>
    <row r="63" spans="1:8" ht="12.75" customHeight="1" x14ac:dyDescent="0.2">
      <c r="A63">
        <f>+MAX($A$7:A62)+1</f>
        <v>55</v>
      </c>
      <c r="B63" t="s">
        <v>399</v>
      </c>
      <c r="C63" t="s">
        <v>400</v>
      </c>
      <c r="D63" t="s">
        <v>43</v>
      </c>
      <c r="E63" s="28">
        <v>27000</v>
      </c>
      <c r="F63" s="13">
        <v>94.742999999999995</v>
      </c>
      <c r="G63" s="14">
        <f t="shared" si="3"/>
        <v>6.8999999999999999E-3</v>
      </c>
      <c r="H63" s="15"/>
    </row>
    <row r="64" spans="1:8" ht="12.75" customHeight="1" x14ac:dyDescent="0.2">
      <c r="A64">
        <f>+MAX($A$7:A63)+1</f>
        <v>56</v>
      </c>
      <c r="B64" t="s">
        <v>674</v>
      </c>
      <c r="C64" t="s">
        <v>675</v>
      </c>
      <c r="D64" t="s">
        <v>106</v>
      </c>
      <c r="E64" s="28">
        <v>33000</v>
      </c>
      <c r="F64" s="13">
        <v>87.45</v>
      </c>
      <c r="G64" s="14">
        <f t="shared" ref="G64:G67" si="4">+ROUND(F64/VLOOKUP("Grand Total",$B$4:$F$303,5,0),4)</f>
        <v>6.3E-3</v>
      </c>
      <c r="H64" s="15"/>
    </row>
    <row r="65" spans="1:11" ht="12.75" customHeight="1" x14ac:dyDescent="0.2">
      <c r="A65">
        <f>+MAX($A$7:A64)+1</f>
        <v>57</v>
      </c>
      <c r="B65" t="s">
        <v>355</v>
      </c>
      <c r="C65" t="s">
        <v>356</v>
      </c>
      <c r="D65" t="s">
        <v>144</v>
      </c>
      <c r="E65" s="28">
        <v>118800</v>
      </c>
      <c r="F65" s="13">
        <v>56.014200000000002</v>
      </c>
      <c r="G65" s="14">
        <f t="shared" si="4"/>
        <v>4.1000000000000003E-3</v>
      </c>
      <c r="H65" s="15"/>
    </row>
    <row r="66" spans="1:11" ht="12.75" customHeight="1" x14ac:dyDescent="0.2">
      <c r="A66">
        <f>+MAX($A$7:A65)+1</f>
        <v>58</v>
      </c>
      <c r="B66" t="s">
        <v>624</v>
      </c>
      <c r="C66" t="s">
        <v>625</v>
      </c>
      <c r="D66" t="s">
        <v>38</v>
      </c>
      <c r="E66" s="28">
        <v>3000</v>
      </c>
      <c r="F66" s="13">
        <v>24.303000000000001</v>
      </c>
      <c r="G66" s="14">
        <f t="shared" si="4"/>
        <v>1.8E-3</v>
      </c>
      <c r="H66" s="15"/>
    </row>
    <row r="67" spans="1:11" ht="12.75" customHeight="1" x14ac:dyDescent="0.2">
      <c r="A67">
        <f>+MAX($A$7:A66)+1</f>
        <v>59</v>
      </c>
      <c r="B67" t="s">
        <v>226</v>
      </c>
      <c r="C67" t="s">
        <v>77</v>
      </c>
      <c r="D67" t="s">
        <v>38</v>
      </c>
      <c r="E67" s="28">
        <v>3000</v>
      </c>
      <c r="F67" s="13">
        <v>10.974</v>
      </c>
      <c r="G67" s="14">
        <f t="shared" si="4"/>
        <v>8.0000000000000004E-4</v>
      </c>
      <c r="H67" s="15"/>
    </row>
    <row r="68" spans="1:11" ht="12.75" customHeight="1" x14ac:dyDescent="0.2">
      <c r="A68">
        <f>+MAX($A$7:A67)+1</f>
        <v>60</v>
      </c>
      <c r="B68" t="s">
        <v>459</v>
      </c>
      <c r="C68" s="123" t="s">
        <v>724</v>
      </c>
      <c r="D68" t="s">
        <v>38</v>
      </c>
      <c r="E68" s="28">
        <v>16500</v>
      </c>
      <c r="F68" s="13">
        <v>0</v>
      </c>
      <c r="G68" s="108" t="s">
        <v>546</v>
      </c>
      <c r="H68" s="15"/>
    </row>
    <row r="69" spans="1:11" ht="12.75" customHeight="1" x14ac:dyDescent="0.2">
      <c r="B69" s="18" t="s">
        <v>85</v>
      </c>
      <c r="C69" s="18"/>
      <c r="D69" s="18"/>
      <c r="E69" s="29"/>
      <c r="F69" s="19">
        <f>SUM(F9:F68)</f>
        <v>13734.164199000003</v>
      </c>
      <c r="G69" s="20">
        <f>SUM(G9:G68)</f>
        <v>0.99370000000000003</v>
      </c>
      <c r="H69" s="21"/>
      <c r="I69" s="49"/>
    </row>
    <row r="70" spans="1:11" ht="12.75" customHeight="1" x14ac:dyDescent="0.2">
      <c r="F70" s="13"/>
      <c r="G70" s="14"/>
      <c r="H70" s="15"/>
    </row>
    <row r="71" spans="1:11" ht="12.75" customHeight="1" x14ac:dyDescent="0.2">
      <c r="B71" s="16" t="s">
        <v>304</v>
      </c>
      <c r="C71" s="16"/>
      <c r="F71" s="13"/>
      <c r="G71" s="14"/>
      <c r="H71" s="15"/>
      <c r="J71" s="65"/>
    </row>
    <row r="72" spans="1:11" ht="12.75" customHeight="1" x14ac:dyDescent="0.2">
      <c r="A72">
        <f>+MAX($A$8:A71)+1</f>
        <v>61</v>
      </c>
      <c r="B72" s="1" t="s">
        <v>413</v>
      </c>
      <c r="C72" s="123" t="s">
        <v>724</v>
      </c>
      <c r="D72" t="s">
        <v>26</v>
      </c>
      <c r="E72" s="28">
        <v>50000</v>
      </c>
      <c r="F72" s="13">
        <v>0</v>
      </c>
      <c r="G72" s="108" t="s">
        <v>546</v>
      </c>
      <c r="H72" s="15"/>
    </row>
    <row r="73" spans="1:11" ht="12.75" customHeight="1" x14ac:dyDescent="0.2">
      <c r="A73">
        <f>+MAX($A$8:A72)+1</f>
        <v>62</v>
      </c>
      <c r="B73" s="65" t="s">
        <v>416</v>
      </c>
      <c r="C73" s="123" t="s">
        <v>724</v>
      </c>
      <c r="D73" t="s">
        <v>24</v>
      </c>
      <c r="E73" s="28">
        <v>20</v>
      </c>
      <c r="F73" s="13">
        <v>0</v>
      </c>
      <c r="G73" s="108" t="s">
        <v>546</v>
      </c>
      <c r="H73" s="15"/>
    </row>
    <row r="74" spans="1:11" ht="12.75" customHeight="1" x14ac:dyDescent="0.2">
      <c r="A74">
        <f>+MAX($A$8:A73)+1</f>
        <v>63</v>
      </c>
      <c r="B74" s="65" t="s">
        <v>414</v>
      </c>
      <c r="C74" s="121" t="s">
        <v>140</v>
      </c>
      <c r="D74" t="s">
        <v>34</v>
      </c>
      <c r="E74" s="28">
        <v>50000</v>
      </c>
      <c r="F74" s="13">
        <v>0</v>
      </c>
      <c r="G74" s="108" t="s">
        <v>546</v>
      </c>
      <c r="H74" s="15"/>
    </row>
    <row r="75" spans="1:11" ht="12.75" customHeight="1" x14ac:dyDescent="0.2">
      <c r="A75">
        <f>+MAX($A$8:A74)+1</f>
        <v>64</v>
      </c>
      <c r="B75" s="65" t="s">
        <v>415</v>
      </c>
      <c r="C75" s="123" t="s">
        <v>724</v>
      </c>
      <c r="D75" t="s">
        <v>32</v>
      </c>
      <c r="E75" s="28">
        <v>900</v>
      </c>
      <c r="F75" s="13">
        <v>0</v>
      </c>
      <c r="G75" s="108" t="s">
        <v>546</v>
      </c>
      <c r="H75" s="15"/>
    </row>
    <row r="76" spans="1:11" ht="12.75" customHeight="1" x14ac:dyDescent="0.2">
      <c r="A76">
        <f>+MAX($A$8:A75)+1</f>
        <v>65</v>
      </c>
      <c r="B76" s="65" t="s">
        <v>417</v>
      </c>
      <c r="C76" s="123" t="s">
        <v>724</v>
      </c>
      <c r="D76" t="s">
        <v>28</v>
      </c>
      <c r="E76" s="28">
        <v>200000</v>
      </c>
      <c r="F76" s="13">
        <v>0</v>
      </c>
      <c r="G76" s="108" t="s">
        <v>546</v>
      </c>
      <c r="H76" s="15"/>
    </row>
    <row r="77" spans="1:11" ht="12.75" customHeight="1" x14ac:dyDescent="0.2">
      <c r="B77" s="18" t="s">
        <v>85</v>
      </c>
      <c r="C77" s="18"/>
      <c r="D77" s="18"/>
      <c r="E77" s="29"/>
      <c r="F77" s="19">
        <f>SUM(F72:F76)</f>
        <v>0</v>
      </c>
      <c r="G77" s="51" t="s">
        <v>546</v>
      </c>
      <c r="H77" s="21"/>
      <c r="I77" s="49"/>
    </row>
    <row r="78" spans="1:11" ht="12.75" customHeight="1" x14ac:dyDescent="0.2">
      <c r="F78" s="13"/>
      <c r="G78" s="14"/>
      <c r="H78" s="15"/>
      <c r="J78" s="46"/>
      <c r="K78" s="48"/>
    </row>
    <row r="79" spans="1:11" ht="12.75" customHeight="1" x14ac:dyDescent="0.2">
      <c r="B79" s="16" t="s">
        <v>92</v>
      </c>
      <c r="C79" s="16"/>
      <c r="F79" s="13"/>
      <c r="G79" s="14"/>
      <c r="H79" s="15"/>
      <c r="I79" s="73"/>
    </row>
    <row r="80" spans="1:11" ht="12.75" customHeight="1" x14ac:dyDescent="0.2">
      <c r="A80">
        <f>+MAX($A$8:A79)+1</f>
        <v>66</v>
      </c>
      <c r="B80" t="s">
        <v>447</v>
      </c>
      <c r="C80" t="s">
        <v>353</v>
      </c>
      <c r="D80" t="s">
        <v>319</v>
      </c>
      <c r="E80" s="28">
        <v>1317.8731</v>
      </c>
      <c r="F80" s="13">
        <v>21.9663352</v>
      </c>
      <c r="G80" s="14">
        <f>+ROUND(F80/VLOOKUP("Grand Total",$B$4:$F$294,5,0),4)</f>
        <v>1.6000000000000001E-3</v>
      </c>
      <c r="H80" s="15" t="s">
        <v>371</v>
      </c>
      <c r="I80" s="73"/>
    </row>
    <row r="81" spans="1:12" ht="12.75" customHeight="1" x14ac:dyDescent="0.2">
      <c r="B81" s="18" t="s">
        <v>85</v>
      </c>
      <c r="C81" s="18"/>
      <c r="D81" s="18"/>
      <c r="E81" s="29"/>
      <c r="F81" s="19">
        <f>SUM(F80)</f>
        <v>21.9663352</v>
      </c>
      <c r="G81" s="20">
        <f>SUM(G80)</f>
        <v>1.6000000000000001E-3</v>
      </c>
      <c r="H81" s="21"/>
      <c r="I81" s="35"/>
    </row>
    <row r="82" spans="1:12" s="46" customFormat="1" ht="12.75" customHeight="1" x14ac:dyDescent="0.2">
      <c r="B82" s="67"/>
      <c r="C82" s="67"/>
      <c r="D82" s="67"/>
      <c r="E82" s="68"/>
      <c r="F82" s="69"/>
      <c r="G82" s="70"/>
      <c r="H82" s="35"/>
      <c r="I82" s="35"/>
      <c r="K82" s="48"/>
      <c r="L82"/>
    </row>
    <row r="83" spans="1:12" ht="12.75" customHeight="1" x14ac:dyDescent="0.2">
      <c r="A83" s="95" t="s">
        <v>370</v>
      </c>
      <c r="B83" s="16" t="s">
        <v>93</v>
      </c>
      <c r="C83" s="16"/>
      <c r="F83" s="13">
        <v>71.324190000000002</v>
      </c>
      <c r="G83" s="14">
        <f>+ROUND(F83/VLOOKUP("Grand Total",$B$4:$F$303,5,0),4)</f>
        <v>5.1999999999999998E-3</v>
      </c>
      <c r="H83" s="15">
        <v>43132</v>
      </c>
      <c r="L83" s="46"/>
    </row>
    <row r="84" spans="1:12" ht="12.75" customHeight="1" x14ac:dyDescent="0.2">
      <c r="B84" s="18" t="s">
        <v>85</v>
      </c>
      <c r="C84" s="18"/>
      <c r="D84" s="18"/>
      <c r="E84" s="29"/>
      <c r="F84" s="19">
        <f>SUM(F83)</f>
        <v>71.324190000000002</v>
      </c>
      <c r="G84" s="20">
        <f>SUM(G83)</f>
        <v>5.1999999999999998E-3</v>
      </c>
      <c r="H84" s="21"/>
      <c r="I84" s="49"/>
    </row>
    <row r="85" spans="1:12" ht="12.75" customHeight="1" x14ac:dyDescent="0.2">
      <c r="F85" s="13"/>
      <c r="G85" s="14"/>
      <c r="H85" s="15"/>
    </row>
    <row r="86" spans="1:12" ht="12.75" customHeight="1" x14ac:dyDescent="0.2">
      <c r="B86" s="16" t="s">
        <v>94</v>
      </c>
      <c r="C86" s="16"/>
      <c r="F86" s="13"/>
      <c r="G86" s="14"/>
      <c r="H86" s="15"/>
    </row>
    <row r="87" spans="1:12" ht="12.75" customHeight="1" x14ac:dyDescent="0.2">
      <c r="B87" s="16" t="s">
        <v>95</v>
      </c>
      <c r="C87" s="16"/>
      <c r="F87" s="13">
        <v>-4.5237422000045626</v>
      </c>
      <c r="G87" s="125">
        <f>+ROUND(F87/VLOOKUP("Grand Total",$B$4:$F$303,5,0),4)-0.02%</f>
        <v>-5.0000000000000001E-4</v>
      </c>
      <c r="H87" s="15"/>
    </row>
    <row r="88" spans="1:12" ht="12.75" customHeight="1" x14ac:dyDescent="0.2">
      <c r="B88" s="18" t="s">
        <v>85</v>
      </c>
      <c r="C88" s="18"/>
      <c r="D88" s="18"/>
      <c r="E88" s="29"/>
      <c r="F88" s="19">
        <f>SUM(F87)</f>
        <v>-4.5237422000045626</v>
      </c>
      <c r="G88" s="126">
        <f>SUM(G87)</f>
        <v>-5.0000000000000001E-4</v>
      </c>
      <c r="H88" s="21"/>
      <c r="I88" s="49"/>
    </row>
    <row r="89" spans="1:12" ht="12.75" customHeight="1" x14ac:dyDescent="0.2">
      <c r="B89" s="22" t="s">
        <v>96</v>
      </c>
      <c r="C89" s="22"/>
      <c r="D89" s="22"/>
      <c r="E89" s="30"/>
      <c r="F89" s="23">
        <f>+SUMIF($B$5:B88,"Total",$F$5:F88)</f>
        <v>13822.930981999998</v>
      </c>
      <c r="G89" s="24">
        <f>+SUMIF($B$5:B88,"Total",$G$5:G88)</f>
        <v>1.0000000000000002</v>
      </c>
      <c r="H89" s="25"/>
      <c r="I89" s="49"/>
    </row>
    <row r="90" spans="1:12" ht="12.75" customHeight="1" x14ac:dyDescent="0.2">
      <c r="F90" s="13"/>
    </row>
    <row r="91" spans="1:12" ht="12.75" customHeight="1" x14ac:dyDescent="0.2">
      <c r="B91" s="16" t="s">
        <v>186</v>
      </c>
    </row>
    <row r="92" spans="1:12" ht="12.75" customHeight="1" x14ac:dyDescent="0.2">
      <c r="B92" s="16" t="s">
        <v>187</v>
      </c>
      <c r="C92" s="16"/>
    </row>
    <row r="93" spans="1:12" ht="12.75" customHeight="1" x14ac:dyDescent="0.2">
      <c r="B93" s="53" t="s">
        <v>307</v>
      </c>
      <c r="C93" s="16"/>
    </row>
    <row r="94" spans="1:12" ht="12.75" customHeight="1" x14ac:dyDescent="0.2">
      <c r="B94" s="16" t="s">
        <v>188</v>
      </c>
      <c r="C94" s="16"/>
    </row>
    <row r="95" spans="1:12" ht="12.75" customHeight="1" x14ac:dyDescent="0.2">
      <c r="B95" s="16" t="s">
        <v>189</v>
      </c>
      <c r="C95" s="16"/>
    </row>
    <row r="96" spans="1:12" ht="12.75" customHeight="1" x14ac:dyDescent="0.2">
      <c r="B96" s="16"/>
    </row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sheetProtection password="EDB3" sheet="1" objects="1" scenarios="1"/>
  <sortState ref="J9:K31">
    <sortCondition descending="1" ref="K10:K32"/>
  </sortState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5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bestFit="1" customWidth="1"/>
    <col min="12" max="12" width="10.28515625" bestFit="1" customWidth="1"/>
  </cols>
  <sheetData>
    <row r="1" spans="1:16" ht="18.75" x14ac:dyDescent="0.2">
      <c r="A1" s="94" t="s">
        <v>375</v>
      </c>
      <c r="B1" s="127" t="s">
        <v>142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406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270</v>
      </c>
      <c r="C9" t="s">
        <v>143</v>
      </c>
      <c r="D9" t="s">
        <v>20</v>
      </c>
      <c r="E9" s="28">
        <v>14868</v>
      </c>
      <c r="F9" s="13">
        <v>4003.0008480000001</v>
      </c>
      <c r="G9" s="14">
        <f t="shared" ref="G9:G72" si="0">+ROUND(F9/VLOOKUP("Grand Total",$B$4:$F$300,5,0),4)</f>
        <v>2.4E-2</v>
      </c>
      <c r="H9" s="15"/>
      <c r="J9" s="14" t="s">
        <v>10</v>
      </c>
      <c r="K9" s="48">
        <f t="shared" ref="K9:K35" si="1">SUMIFS($G$5:$G$332,$D$5:$D$332,J9)</f>
        <v>0.10959999999999999</v>
      </c>
    </row>
    <row r="10" spans="1:16" s="65" customFormat="1" ht="12.75" customHeight="1" x14ac:dyDescent="0.2">
      <c r="A10" s="65">
        <f>+MAX($A$8:A9)+1</f>
        <v>2</v>
      </c>
      <c r="B10" s="65" t="s">
        <v>203</v>
      </c>
      <c r="C10" s="65" t="s">
        <v>48</v>
      </c>
      <c r="D10" s="65" t="s">
        <v>26</v>
      </c>
      <c r="E10" s="85">
        <v>75900</v>
      </c>
      <c r="F10" s="86">
        <v>3555.2698500000001</v>
      </c>
      <c r="G10" s="14">
        <f t="shared" si="0"/>
        <v>2.1299999999999999E-2</v>
      </c>
      <c r="H10" s="91"/>
      <c r="I10" s="73"/>
      <c r="J10" s="14" t="s">
        <v>41</v>
      </c>
      <c r="K10" s="48">
        <f t="shared" si="1"/>
        <v>9.1799999999999993E-2</v>
      </c>
    </row>
    <row r="11" spans="1:16" ht="12.75" customHeight="1" x14ac:dyDescent="0.2">
      <c r="A11">
        <f>+MAX($A$8:A10)+1</f>
        <v>3</v>
      </c>
      <c r="B11" t="s">
        <v>241</v>
      </c>
      <c r="C11" t="s">
        <v>103</v>
      </c>
      <c r="D11" t="s">
        <v>10</v>
      </c>
      <c r="E11" s="28">
        <v>180900</v>
      </c>
      <c r="F11" s="13">
        <v>3171.3579</v>
      </c>
      <c r="G11" s="14">
        <f t="shared" si="0"/>
        <v>1.9E-2</v>
      </c>
      <c r="H11" s="15"/>
      <c r="J11" s="14" t="s">
        <v>24</v>
      </c>
      <c r="K11" s="48">
        <f t="shared" si="1"/>
        <v>7.1899999999999992E-2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194</v>
      </c>
      <c r="C12" t="s">
        <v>11</v>
      </c>
      <c r="D12" t="s">
        <v>10</v>
      </c>
      <c r="E12" s="28">
        <v>840048</v>
      </c>
      <c r="F12" s="13">
        <v>2964.9494160000004</v>
      </c>
      <c r="G12" s="14">
        <f t="shared" si="0"/>
        <v>1.78E-2</v>
      </c>
      <c r="H12" s="15"/>
      <c r="J12" s="14" t="s">
        <v>134</v>
      </c>
      <c r="K12" s="48">
        <f t="shared" si="1"/>
        <v>6.4500000000000002E-2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281</v>
      </c>
      <c r="C13" t="s">
        <v>156</v>
      </c>
      <c r="D13" t="s">
        <v>41</v>
      </c>
      <c r="E13" s="28">
        <v>183087</v>
      </c>
      <c r="F13" s="13">
        <v>2811.9416894999999</v>
      </c>
      <c r="G13" s="14">
        <f t="shared" si="0"/>
        <v>1.6899999999999998E-2</v>
      </c>
      <c r="H13" s="15"/>
      <c r="J13" s="14" t="s">
        <v>144</v>
      </c>
      <c r="K13" s="48">
        <f t="shared" si="1"/>
        <v>5.8799999999999991E-2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285</v>
      </c>
      <c r="C14" t="s">
        <v>177</v>
      </c>
      <c r="D14" t="s">
        <v>47</v>
      </c>
      <c r="E14" s="28">
        <v>1045890</v>
      </c>
      <c r="F14" s="13">
        <v>2664.404775</v>
      </c>
      <c r="G14" s="14">
        <f t="shared" si="0"/>
        <v>1.6E-2</v>
      </c>
      <c r="H14" s="15"/>
      <c r="J14" s="14" t="s">
        <v>38</v>
      </c>
      <c r="K14" s="48">
        <f t="shared" si="1"/>
        <v>5.3699999999999998E-2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227</v>
      </c>
      <c r="C15" t="s">
        <v>591</v>
      </c>
      <c r="D15" t="s">
        <v>47</v>
      </c>
      <c r="E15" s="28">
        <v>834000</v>
      </c>
      <c r="F15" s="13">
        <v>2540.7809999999999</v>
      </c>
      <c r="G15" s="14">
        <f t="shared" si="0"/>
        <v>1.52E-2</v>
      </c>
      <c r="H15" s="15"/>
      <c r="J15" s="14" t="s">
        <v>18</v>
      </c>
      <c r="K15" s="48">
        <f t="shared" si="1"/>
        <v>4.7300000000000002E-2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312</v>
      </c>
      <c r="C16" t="s">
        <v>504</v>
      </c>
      <c r="D16" t="s">
        <v>134</v>
      </c>
      <c r="E16" s="28">
        <v>315900</v>
      </c>
      <c r="F16" s="13">
        <v>2510.9311499999999</v>
      </c>
      <c r="G16" s="14">
        <f t="shared" si="0"/>
        <v>1.4999999999999999E-2</v>
      </c>
      <c r="H16" s="15"/>
      <c r="J16" s="14" t="s">
        <v>26</v>
      </c>
      <c r="K16" s="48">
        <f t="shared" si="1"/>
        <v>4.2799999999999998E-2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191</v>
      </c>
      <c r="C17" t="s">
        <v>13</v>
      </c>
      <c r="D17" t="s">
        <v>10</v>
      </c>
      <c r="E17" s="28">
        <v>122934</v>
      </c>
      <c r="F17" s="13">
        <v>2465.687238</v>
      </c>
      <c r="G17" s="14">
        <f t="shared" si="0"/>
        <v>1.4800000000000001E-2</v>
      </c>
      <c r="H17" s="15"/>
      <c r="J17" s="14" t="s">
        <v>28</v>
      </c>
      <c r="K17" s="48">
        <f t="shared" si="1"/>
        <v>4.0100000000000004E-2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229</v>
      </c>
      <c r="C18" t="s">
        <v>80</v>
      </c>
      <c r="D18" t="s">
        <v>30</v>
      </c>
      <c r="E18" s="28">
        <v>597900</v>
      </c>
      <c r="F18" s="13">
        <v>2377.8483000000001</v>
      </c>
      <c r="G18" s="14">
        <f t="shared" si="0"/>
        <v>1.43E-2</v>
      </c>
      <c r="H18" s="15"/>
      <c r="J18" s="14" t="s">
        <v>47</v>
      </c>
      <c r="K18" s="48">
        <f t="shared" si="1"/>
        <v>3.9399999999999998E-2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273</v>
      </c>
      <c r="C19" t="s">
        <v>146</v>
      </c>
      <c r="D19" t="s">
        <v>38</v>
      </c>
      <c r="E19" s="28">
        <v>3456</v>
      </c>
      <c r="F19" s="13">
        <v>2353.9973759999998</v>
      </c>
      <c r="G19" s="14">
        <f t="shared" si="0"/>
        <v>1.41E-2</v>
      </c>
      <c r="H19" s="15"/>
      <c r="J19" s="14" t="s">
        <v>14</v>
      </c>
      <c r="K19" s="48">
        <f t="shared" si="1"/>
        <v>3.6799999999999999E-2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673</v>
      </c>
      <c r="C20" t="s">
        <v>128</v>
      </c>
      <c r="D20" t="s">
        <v>18</v>
      </c>
      <c r="E20" s="28">
        <v>13500</v>
      </c>
      <c r="F20" s="13">
        <v>2322.8505</v>
      </c>
      <c r="G20" s="14">
        <f t="shared" si="0"/>
        <v>1.3899999999999999E-2</v>
      </c>
      <c r="H20" s="15"/>
      <c r="J20" s="14" t="s">
        <v>22</v>
      </c>
      <c r="K20" s="48">
        <f t="shared" si="1"/>
        <v>3.4699999999999995E-2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16</v>
      </c>
      <c r="C21" t="s">
        <v>17</v>
      </c>
      <c r="D21" t="s">
        <v>10</v>
      </c>
      <c r="E21" s="28">
        <v>723600</v>
      </c>
      <c r="F21" s="13">
        <v>2266.6770000000001</v>
      </c>
      <c r="G21" s="14">
        <f t="shared" si="0"/>
        <v>1.3599999999999999E-2</v>
      </c>
      <c r="H21" s="15"/>
      <c r="J21" s="14" t="s">
        <v>37</v>
      </c>
      <c r="K21" s="48">
        <f t="shared" si="1"/>
        <v>3.0699999999999998E-2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272</v>
      </c>
      <c r="C22" t="s">
        <v>363</v>
      </c>
      <c r="D22" t="s">
        <v>24</v>
      </c>
      <c r="E22" s="28">
        <v>135000</v>
      </c>
      <c r="F22" s="13">
        <v>2265.0974999999999</v>
      </c>
      <c r="G22" s="14">
        <f t="shared" si="0"/>
        <v>1.3599999999999999E-2</v>
      </c>
      <c r="H22" s="15"/>
      <c r="J22" s="14" t="s">
        <v>43</v>
      </c>
      <c r="K22" s="48">
        <f t="shared" si="1"/>
        <v>2.7199999999999998E-2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269</v>
      </c>
      <c r="C23" t="s">
        <v>82</v>
      </c>
      <c r="D23" t="s">
        <v>14</v>
      </c>
      <c r="E23" s="28">
        <v>351900</v>
      </c>
      <c r="F23" s="13">
        <v>2258.6701499999999</v>
      </c>
      <c r="G23" s="14">
        <f t="shared" si="0"/>
        <v>1.35E-2</v>
      </c>
      <c r="H23" s="15"/>
      <c r="J23" s="14" t="s">
        <v>32</v>
      </c>
      <c r="K23" s="48">
        <f t="shared" si="1"/>
        <v>2.6700000000000002E-2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528</v>
      </c>
      <c r="C24" t="s">
        <v>529</v>
      </c>
      <c r="D24" t="s">
        <v>530</v>
      </c>
      <c r="E24" s="28">
        <v>189000</v>
      </c>
      <c r="F24" s="13">
        <v>2247.4935</v>
      </c>
      <c r="G24" s="14">
        <f t="shared" si="0"/>
        <v>1.35E-2</v>
      </c>
      <c r="H24" s="15"/>
      <c r="J24" s="14" t="s">
        <v>106</v>
      </c>
      <c r="K24" s="48">
        <f t="shared" si="1"/>
        <v>2.47E-2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531</v>
      </c>
      <c r="C25" t="s">
        <v>556</v>
      </c>
      <c r="D25" t="s">
        <v>37</v>
      </c>
      <c r="E25" s="28">
        <v>159990</v>
      </c>
      <c r="F25" s="13">
        <v>2224.3409700000002</v>
      </c>
      <c r="G25" s="14">
        <f t="shared" si="0"/>
        <v>1.3299999999999999E-2</v>
      </c>
      <c r="H25" s="15"/>
      <c r="J25" s="14" t="s">
        <v>30</v>
      </c>
      <c r="K25" s="48">
        <f t="shared" si="1"/>
        <v>2.4E-2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576</v>
      </c>
      <c r="C26" t="s">
        <v>577</v>
      </c>
      <c r="D26" t="s">
        <v>106</v>
      </c>
      <c r="E26" s="28">
        <v>828990</v>
      </c>
      <c r="F26" s="13">
        <v>2208.8438550000001</v>
      </c>
      <c r="G26" s="14">
        <f t="shared" si="0"/>
        <v>1.32E-2</v>
      </c>
      <c r="H26" s="15"/>
      <c r="J26" s="14" t="s">
        <v>20</v>
      </c>
      <c r="K26" s="48">
        <f t="shared" si="1"/>
        <v>2.4E-2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275</v>
      </c>
      <c r="C27" t="s">
        <v>150</v>
      </c>
      <c r="D27" t="s">
        <v>28</v>
      </c>
      <c r="E27" s="28">
        <v>356700</v>
      </c>
      <c r="F27" s="13">
        <v>2158.0349999999999</v>
      </c>
      <c r="G27" s="14">
        <f t="shared" si="0"/>
        <v>1.29E-2</v>
      </c>
      <c r="H27" s="15"/>
      <c r="J27" s="14" t="s">
        <v>102</v>
      </c>
      <c r="K27" s="48">
        <f t="shared" si="1"/>
        <v>2.0400000000000001E-2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283</v>
      </c>
      <c r="C28" t="s">
        <v>284</v>
      </c>
      <c r="D28" t="s">
        <v>41</v>
      </c>
      <c r="E28" s="28">
        <v>326700</v>
      </c>
      <c r="F28" s="13">
        <v>2112.4422</v>
      </c>
      <c r="G28" s="14">
        <f t="shared" si="0"/>
        <v>1.2699999999999999E-2</v>
      </c>
      <c r="H28" s="15"/>
      <c r="J28" s="14" t="s">
        <v>322</v>
      </c>
      <c r="K28" s="48">
        <f t="shared" si="1"/>
        <v>1.89E-2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296</v>
      </c>
      <c r="C29" t="s">
        <v>178</v>
      </c>
      <c r="D29" t="s">
        <v>38</v>
      </c>
      <c r="E29" s="28">
        <v>939900</v>
      </c>
      <c r="F29" s="13">
        <v>2099.26665</v>
      </c>
      <c r="G29" s="14">
        <f t="shared" si="0"/>
        <v>1.26E-2</v>
      </c>
      <c r="H29" s="15"/>
      <c r="J29" s="14" t="s">
        <v>105</v>
      </c>
      <c r="K29" s="48">
        <f t="shared" si="1"/>
        <v>1.83E-2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224</v>
      </c>
      <c r="C30" t="s">
        <v>66</v>
      </c>
      <c r="D30" t="s">
        <v>28</v>
      </c>
      <c r="E30" s="28">
        <v>597000</v>
      </c>
      <c r="F30" s="13">
        <v>2098.7534999999998</v>
      </c>
      <c r="G30" s="14">
        <f t="shared" si="0"/>
        <v>1.26E-2</v>
      </c>
      <c r="H30" s="15"/>
      <c r="J30" s="14" t="s">
        <v>45</v>
      </c>
      <c r="K30" s="48">
        <f t="shared" si="1"/>
        <v>1.7399999999999999E-2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445</v>
      </c>
      <c r="C31" t="s">
        <v>446</v>
      </c>
      <c r="D31" t="s">
        <v>134</v>
      </c>
      <c r="E31" s="28">
        <v>1188000</v>
      </c>
      <c r="F31" s="13">
        <v>2095.6320000000001</v>
      </c>
      <c r="G31" s="14">
        <f t="shared" si="0"/>
        <v>1.26E-2</v>
      </c>
      <c r="H31" s="15"/>
      <c r="J31" s="14" t="s">
        <v>530</v>
      </c>
      <c r="K31" s="48">
        <f t="shared" si="1"/>
        <v>1.35E-2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213</v>
      </c>
      <c r="C32" t="s">
        <v>59</v>
      </c>
      <c r="D32" t="s">
        <v>22</v>
      </c>
      <c r="E32" s="28">
        <v>219900</v>
      </c>
      <c r="F32" s="13">
        <v>2082.2330999999999</v>
      </c>
      <c r="G32" s="14">
        <f t="shared" si="0"/>
        <v>1.2500000000000001E-2</v>
      </c>
      <c r="H32" s="15"/>
      <c r="J32" s="14" t="s">
        <v>148</v>
      </c>
      <c r="K32" s="48">
        <f t="shared" si="1"/>
        <v>1.01E-2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226</v>
      </c>
      <c r="C33" t="s">
        <v>77</v>
      </c>
      <c r="D33" t="s">
        <v>38</v>
      </c>
      <c r="E33" s="28">
        <v>568080</v>
      </c>
      <c r="F33" s="13">
        <v>2078.0366399999998</v>
      </c>
      <c r="G33" s="14">
        <f t="shared" si="0"/>
        <v>1.2500000000000001E-2</v>
      </c>
      <c r="H33" s="15"/>
      <c r="J33" s="14" t="s">
        <v>133</v>
      </c>
      <c r="K33" s="48">
        <f t="shared" si="1"/>
        <v>1.01E-2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268</v>
      </c>
      <c r="C34" t="s">
        <v>139</v>
      </c>
      <c r="D34" t="s">
        <v>134</v>
      </c>
      <c r="E34" s="28">
        <v>288000</v>
      </c>
      <c r="F34" s="13">
        <v>2070.7199999999998</v>
      </c>
      <c r="G34" s="14">
        <f t="shared" si="0"/>
        <v>1.24E-2</v>
      </c>
      <c r="H34" s="15"/>
      <c r="J34" s="14" t="s">
        <v>482</v>
      </c>
      <c r="K34" s="48">
        <f t="shared" si="1"/>
        <v>7.6E-3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212</v>
      </c>
      <c r="C35" t="s">
        <v>98</v>
      </c>
      <c r="D35" t="s">
        <v>10</v>
      </c>
      <c r="E35" s="28">
        <v>183900</v>
      </c>
      <c r="F35" s="13">
        <v>2039.35905</v>
      </c>
      <c r="G35" s="14">
        <f t="shared" si="0"/>
        <v>1.2200000000000001E-2</v>
      </c>
      <c r="H35" s="15"/>
      <c r="J35" s="14" t="s">
        <v>319</v>
      </c>
      <c r="K35" s="48">
        <f t="shared" si="1"/>
        <v>4.0999999999999995E-3</v>
      </c>
      <c r="L35" s="54"/>
      <c r="M35" s="14"/>
      <c r="N35" s="36"/>
      <c r="P35" s="14"/>
    </row>
    <row r="36" spans="1:16" ht="12.75" customHeight="1" x14ac:dyDescent="0.2">
      <c r="A36">
        <f>+MAX($A$8:A35)+1</f>
        <v>28</v>
      </c>
      <c r="B36" t="s">
        <v>500</v>
      </c>
      <c r="C36" t="s">
        <v>501</v>
      </c>
      <c r="D36" t="s">
        <v>14</v>
      </c>
      <c r="E36" s="28">
        <v>165000</v>
      </c>
      <c r="F36" s="13">
        <v>1995.51</v>
      </c>
      <c r="G36" s="14">
        <f t="shared" si="0"/>
        <v>1.2E-2</v>
      </c>
      <c r="H36" s="15"/>
      <c r="J36" s="14" t="s">
        <v>64</v>
      </c>
      <c r="K36" s="48">
        <f>+SUMIFS($G$5:$G$997,$B$5:$B$997,"CBLO / Reverse Repo Investments")+SUMIFS($G$5:$G$997,$B$5:$B$997,"Net Receivable/Payable")</f>
        <v>3.09E-2</v>
      </c>
      <c r="L36" s="54">
        <f>+SUM($K$9:K33)</f>
        <v>0.9573999999999997</v>
      </c>
      <c r="M36" s="14"/>
      <c r="N36" s="36"/>
      <c r="P36" s="14"/>
    </row>
    <row r="37" spans="1:16" ht="12.75" customHeight="1" x14ac:dyDescent="0.2">
      <c r="A37">
        <f>+MAX($A$8:A36)+1</f>
        <v>29</v>
      </c>
      <c r="B37" t="s">
        <v>288</v>
      </c>
      <c r="C37" t="s">
        <v>149</v>
      </c>
      <c r="D37" t="s">
        <v>41</v>
      </c>
      <c r="E37" s="28">
        <v>270900</v>
      </c>
      <c r="F37" s="13">
        <v>1991.25045</v>
      </c>
      <c r="G37" s="14">
        <f t="shared" si="0"/>
        <v>1.1900000000000001E-2</v>
      </c>
      <c r="H37" s="15"/>
      <c r="J37" s="14"/>
      <c r="K37" s="48"/>
      <c r="M37" s="14"/>
      <c r="N37" s="36"/>
      <c r="P37" s="14"/>
    </row>
    <row r="38" spans="1:16" ht="12.75" customHeight="1" x14ac:dyDescent="0.2">
      <c r="A38">
        <f>+MAX($A$8:A37)+1</f>
        <v>30</v>
      </c>
      <c r="B38" t="s">
        <v>316</v>
      </c>
      <c r="C38" t="s">
        <v>317</v>
      </c>
      <c r="D38" t="s">
        <v>144</v>
      </c>
      <c r="E38" s="28">
        <v>405000</v>
      </c>
      <c r="F38" s="13">
        <v>1976.8050000000001</v>
      </c>
      <c r="G38" s="14">
        <f t="shared" si="0"/>
        <v>1.18E-2</v>
      </c>
      <c r="H38" s="15"/>
      <c r="J38" s="14"/>
      <c r="M38" s="14"/>
      <c r="N38" s="36"/>
      <c r="P38" s="14"/>
    </row>
    <row r="39" spans="1:16" ht="12.75" customHeight="1" x14ac:dyDescent="0.2">
      <c r="A39">
        <f>+MAX($A$8:A38)+1</f>
        <v>31</v>
      </c>
      <c r="B39" t="s">
        <v>347</v>
      </c>
      <c r="C39" t="s">
        <v>155</v>
      </c>
      <c r="D39" t="s">
        <v>24</v>
      </c>
      <c r="E39" s="28">
        <v>187890</v>
      </c>
      <c r="F39" s="13">
        <v>1975.945185</v>
      </c>
      <c r="G39" s="14">
        <f t="shared" si="0"/>
        <v>1.18E-2</v>
      </c>
      <c r="H39" s="15"/>
    </row>
    <row r="40" spans="1:16" ht="12.75" customHeight="1" x14ac:dyDescent="0.2">
      <c r="A40">
        <f>+MAX($A$8:A39)+1</f>
        <v>32</v>
      </c>
      <c r="B40" t="s">
        <v>510</v>
      </c>
      <c r="C40" t="s">
        <v>511</v>
      </c>
      <c r="D40" t="s">
        <v>24</v>
      </c>
      <c r="E40" s="28">
        <v>426000</v>
      </c>
      <c r="F40" s="13">
        <v>1974.51</v>
      </c>
      <c r="G40" s="14">
        <f t="shared" si="0"/>
        <v>1.18E-2</v>
      </c>
      <c r="H40" s="15"/>
    </row>
    <row r="41" spans="1:16" ht="12.75" customHeight="1" x14ac:dyDescent="0.2">
      <c r="A41">
        <f>+MAX($A$8:A40)+1</f>
        <v>33</v>
      </c>
      <c r="B41" t="s">
        <v>231</v>
      </c>
      <c r="C41" t="s">
        <v>78</v>
      </c>
      <c r="D41" t="s">
        <v>26</v>
      </c>
      <c r="E41" s="28">
        <v>59808</v>
      </c>
      <c r="F41" s="13">
        <v>1965.0516480000001</v>
      </c>
      <c r="G41" s="14">
        <f t="shared" si="0"/>
        <v>1.18E-2</v>
      </c>
      <c r="H41" s="15"/>
    </row>
    <row r="42" spans="1:16" ht="12.75" customHeight="1" x14ac:dyDescent="0.2">
      <c r="A42">
        <f>+MAX($A$8:A41)+1</f>
        <v>34</v>
      </c>
      <c r="B42" t="s">
        <v>573</v>
      </c>
      <c r="C42" t="s">
        <v>574</v>
      </c>
      <c r="D42" t="s">
        <v>134</v>
      </c>
      <c r="E42" s="28">
        <v>408000</v>
      </c>
      <c r="F42" s="13">
        <v>1959.0119999999999</v>
      </c>
      <c r="G42" s="14">
        <f t="shared" si="0"/>
        <v>1.17E-2</v>
      </c>
      <c r="H42" s="15"/>
    </row>
    <row r="43" spans="1:16" ht="12.75" customHeight="1" x14ac:dyDescent="0.2">
      <c r="A43">
        <f>+MAX($A$8:A42)+1</f>
        <v>35</v>
      </c>
      <c r="B43" t="s">
        <v>192</v>
      </c>
      <c r="C43" t="s">
        <v>15</v>
      </c>
      <c r="D43" t="s">
        <v>14</v>
      </c>
      <c r="E43" s="28">
        <v>164267</v>
      </c>
      <c r="F43" s="13">
        <v>1889.4811675000001</v>
      </c>
      <c r="G43" s="14">
        <f t="shared" si="0"/>
        <v>1.1299999999999999E-2</v>
      </c>
      <c r="H43" s="15"/>
    </row>
    <row r="44" spans="1:16" ht="12.75" customHeight="1" x14ac:dyDescent="0.2">
      <c r="A44">
        <f>+MAX($A$8:A43)+1</f>
        <v>36</v>
      </c>
      <c r="B44" t="s">
        <v>206</v>
      </c>
      <c r="C44" t="s">
        <v>52</v>
      </c>
      <c r="D44" t="s">
        <v>41</v>
      </c>
      <c r="E44" s="28">
        <v>1350000</v>
      </c>
      <c r="F44" s="13">
        <v>1889.325</v>
      </c>
      <c r="G44" s="14">
        <f t="shared" si="0"/>
        <v>1.1299999999999999E-2</v>
      </c>
      <c r="H44" s="15"/>
    </row>
    <row r="45" spans="1:16" ht="12.75" customHeight="1" x14ac:dyDescent="0.2">
      <c r="A45">
        <f>+MAX($A$8:A44)+1</f>
        <v>37</v>
      </c>
      <c r="B45" t="s">
        <v>215</v>
      </c>
      <c r="C45" t="s">
        <v>61</v>
      </c>
      <c r="D45" t="s">
        <v>22</v>
      </c>
      <c r="E45" s="28">
        <v>297600</v>
      </c>
      <c r="F45" s="13">
        <v>1873.5408</v>
      </c>
      <c r="G45" s="14">
        <f t="shared" si="0"/>
        <v>1.12E-2</v>
      </c>
      <c r="H45" s="15"/>
    </row>
    <row r="46" spans="1:16" ht="12.75" customHeight="1" x14ac:dyDescent="0.2">
      <c r="A46">
        <f>+MAX($A$8:A45)+1</f>
        <v>38</v>
      </c>
      <c r="B46" t="s">
        <v>271</v>
      </c>
      <c r="C46" t="s">
        <v>145</v>
      </c>
      <c r="D46" t="s">
        <v>22</v>
      </c>
      <c r="E46" s="28">
        <v>135000</v>
      </c>
      <c r="F46" s="13">
        <v>1839.24</v>
      </c>
      <c r="G46" s="14">
        <f t="shared" si="0"/>
        <v>1.0999999999999999E-2</v>
      </c>
      <c r="H46" s="15"/>
    </row>
    <row r="47" spans="1:16" ht="12.75" customHeight="1" x14ac:dyDescent="0.2">
      <c r="A47">
        <f>+MAX($A$8:A46)+1</f>
        <v>39</v>
      </c>
      <c r="B47" t="s">
        <v>338</v>
      </c>
      <c r="C47" t="s">
        <v>339</v>
      </c>
      <c r="D47" t="s">
        <v>18</v>
      </c>
      <c r="E47" s="28">
        <v>162000</v>
      </c>
      <c r="F47" s="13">
        <v>1827.0360000000001</v>
      </c>
      <c r="G47" s="14">
        <f t="shared" si="0"/>
        <v>1.09E-2</v>
      </c>
      <c r="H47" s="15"/>
    </row>
    <row r="48" spans="1:16" ht="12.75" customHeight="1" x14ac:dyDescent="0.2">
      <c r="A48">
        <f>+MAX($A$8:A47)+1</f>
        <v>40</v>
      </c>
      <c r="B48" t="s">
        <v>297</v>
      </c>
      <c r="C48" t="s">
        <v>180</v>
      </c>
      <c r="D48" t="s">
        <v>102</v>
      </c>
      <c r="E48" s="28">
        <v>177108</v>
      </c>
      <c r="F48" s="13">
        <v>1814.2943519999999</v>
      </c>
      <c r="G48" s="14">
        <f t="shared" si="0"/>
        <v>1.09E-2</v>
      </c>
      <c r="H48" s="15"/>
    </row>
    <row r="49" spans="1:8" ht="12.75" customHeight="1" x14ac:dyDescent="0.2">
      <c r="A49">
        <f>+MAX($A$8:A48)+1</f>
        <v>41</v>
      </c>
      <c r="B49" t="s">
        <v>274</v>
      </c>
      <c r="C49" t="s">
        <v>313</v>
      </c>
      <c r="D49" t="s">
        <v>41</v>
      </c>
      <c r="E49" s="28">
        <v>505080</v>
      </c>
      <c r="F49" s="13">
        <v>1740.25314</v>
      </c>
      <c r="G49" s="14">
        <f t="shared" si="0"/>
        <v>1.04E-2</v>
      </c>
      <c r="H49" s="15"/>
    </row>
    <row r="50" spans="1:8" ht="12.75" customHeight="1" x14ac:dyDescent="0.2">
      <c r="A50">
        <f>+MAX($A$8:A49)+1</f>
        <v>42</v>
      </c>
      <c r="B50" t="s">
        <v>502</v>
      </c>
      <c r="C50" t="s">
        <v>503</v>
      </c>
      <c r="D50" t="s">
        <v>18</v>
      </c>
      <c r="E50" s="28">
        <v>148000</v>
      </c>
      <c r="F50" s="13">
        <v>1716.874</v>
      </c>
      <c r="G50" s="14">
        <f t="shared" si="0"/>
        <v>1.03E-2</v>
      </c>
      <c r="H50" s="15"/>
    </row>
    <row r="51" spans="1:8" ht="12.75" customHeight="1" x14ac:dyDescent="0.2">
      <c r="A51">
        <f>+MAX($A$8:A50)+1</f>
        <v>43</v>
      </c>
      <c r="B51" t="s">
        <v>559</v>
      </c>
      <c r="C51" t="s">
        <v>560</v>
      </c>
      <c r="D51" t="s">
        <v>144</v>
      </c>
      <c r="E51" s="28">
        <v>45000</v>
      </c>
      <c r="F51" s="13">
        <v>1687.6575</v>
      </c>
      <c r="G51" s="14">
        <f t="shared" si="0"/>
        <v>1.01E-2</v>
      </c>
      <c r="H51" s="15"/>
    </row>
    <row r="52" spans="1:8" ht="12.75" customHeight="1" x14ac:dyDescent="0.2">
      <c r="A52">
        <f>+MAX($A$8:A51)+1</f>
        <v>44</v>
      </c>
      <c r="B52" t="s">
        <v>467</v>
      </c>
      <c r="C52" t="s">
        <v>468</v>
      </c>
      <c r="D52" t="s">
        <v>32</v>
      </c>
      <c r="E52" s="28">
        <v>324000</v>
      </c>
      <c r="F52" s="13">
        <v>1685.934</v>
      </c>
      <c r="G52" s="14">
        <f t="shared" si="0"/>
        <v>1.01E-2</v>
      </c>
      <c r="H52" s="15"/>
    </row>
    <row r="53" spans="1:8" ht="12.75" customHeight="1" x14ac:dyDescent="0.2">
      <c r="A53">
        <f>+MAX($A$8:A52)+1</f>
        <v>45</v>
      </c>
      <c r="B53" t="s">
        <v>276</v>
      </c>
      <c r="C53" t="s">
        <v>153</v>
      </c>
      <c r="D53" t="s">
        <v>148</v>
      </c>
      <c r="E53" s="28">
        <v>129900</v>
      </c>
      <c r="F53" s="13">
        <v>1685.3226</v>
      </c>
      <c r="G53" s="14">
        <f t="shared" si="0"/>
        <v>1.01E-2</v>
      </c>
      <c r="H53" s="15"/>
    </row>
    <row r="54" spans="1:8" ht="12.75" customHeight="1" x14ac:dyDescent="0.2">
      <c r="A54">
        <f>+MAX($A$8:A53)+1</f>
        <v>46</v>
      </c>
      <c r="B54" t="s">
        <v>282</v>
      </c>
      <c r="C54" t="s">
        <v>157</v>
      </c>
      <c r="D54" t="s">
        <v>133</v>
      </c>
      <c r="E54" s="28">
        <v>223890</v>
      </c>
      <c r="F54" s="13">
        <v>1683.7647449999999</v>
      </c>
      <c r="G54" s="14">
        <f t="shared" si="0"/>
        <v>1.01E-2</v>
      </c>
      <c r="H54" s="15"/>
    </row>
    <row r="55" spans="1:8" ht="12.75" customHeight="1" x14ac:dyDescent="0.2">
      <c r="A55">
        <f>+MAX($A$8:A54)+1</f>
        <v>47</v>
      </c>
      <c r="B55" t="s">
        <v>202</v>
      </c>
      <c r="C55" t="s">
        <v>44</v>
      </c>
      <c r="D55" t="s">
        <v>24</v>
      </c>
      <c r="E55" s="28">
        <v>288900</v>
      </c>
      <c r="F55" s="13">
        <v>1681.9757999999999</v>
      </c>
      <c r="G55" s="14">
        <f t="shared" si="0"/>
        <v>1.01E-2</v>
      </c>
      <c r="H55" s="15"/>
    </row>
    <row r="56" spans="1:8" ht="12.75" customHeight="1" x14ac:dyDescent="0.2">
      <c r="A56">
        <f>+MAX($A$8:A55)+1</f>
        <v>48</v>
      </c>
      <c r="B56" t="s">
        <v>496</v>
      </c>
      <c r="C56" t="s">
        <v>497</v>
      </c>
      <c r="D56" t="s">
        <v>43</v>
      </c>
      <c r="E56" s="28">
        <v>159000</v>
      </c>
      <c r="F56" s="13">
        <v>1669.0229999999999</v>
      </c>
      <c r="G56" s="14">
        <f t="shared" si="0"/>
        <v>0.01</v>
      </c>
      <c r="H56" s="15"/>
    </row>
    <row r="57" spans="1:8" ht="12.75" customHeight="1" x14ac:dyDescent="0.2">
      <c r="A57">
        <f>+MAX($A$8:A56)+1</f>
        <v>49</v>
      </c>
      <c r="B57" t="s">
        <v>251</v>
      </c>
      <c r="C57" t="s">
        <v>548</v>
      </c>
      <c r="D57" t="s">
        <v>10</v>
      </c>
      <c r="E57" s="28">
        <v>467160</v>
      </c>
      <c r="F57" s="13">
        <v>1655.6150399999999</v>
      </c>
      <c r="G57" s="14">
        <f t="shared" si="0"/>
        <v>9.9000000000000008E-3</v>
      </c>
      <c r="H57" s="15"/>
    </row>
    <row r="58" spans="1:8" ht="12.75" customHeight="1" x14ac:dyDescent="0.2">
      <c r="A58">
        <f>+MAX($A$8:A57)+1</f>
        <v>50</v>
      </c>
      <c r="B58" t="s">
        <v>622</v>
      </c>
      <c r="C58" t="s">
        <v>623</v>
      </c>
      <c r="D58" t="s">
        <v>28</v>
      </c>
      <c r="E58" s="28">
        <v>1350000</v>
      </c>
      <c r="F58" s="13">
        <v>1653.75</v>
      </c>
      <c r="G58" s="14">
        <f t="shared" si="0"/>
        <v>9.9000000000000008E-3</v>
      </c>
      <c r="H58" s="15"/>
    </row>
    <row r="59" spans="1:8" ht="12.75" customHeight="1" x14ac:dyDescent="0.2">
      <c r="A59">
        <f>+MAX($A$8:A58)+1</f>
        <v>51</v>
      </c>
      <c r="B59" t="s">
        <v>557</v>
      </c>
      <c r="C59" t="s">
        <v>558</v>
      </c>
      <c r="D59" t="s">
        <v>41</v>
      </c>
      <c r="E59" s="28">
        <v>216708</v>
      </c>
      <c r="F59" s="13">
        <v>1643.9468880000002</v>
      </c>
      <c r="G59" s="14">
        <f t="shared" si="0"/>
        <v>9.9000000000000008E-3</v>
      </c>
      <c r="H59" s="15"/>
    </row>
    <row r="60" spans="1:8" ht="12.75" customHeight="1" x14ac:dyDescent="0.2">
      <c r="A60">
        <f>+MAX($A$8:A59)+1</f>
        <v>52</v>
      </c>
      <c r="B60" t="s">
        <v>280</v>
      </c>
      <c r="C60" t="s">
        <v>151</v>
      </c>
      <c r="D60" t="s">
        <v>134</v>
      </c>
      <c r="E60" s="28">
        <v>60480</v>
      </c>
      <c r="F60" s="13">
        <v>1640.4897599999999</v>
      </c>
      <c r="G60" s="14">
        <f t="shared" si="0"/>
        <v>9.7999999999999997E-3</v>
      </c>
      <c r="H60" s="15"/>
    </row>
    <row r="61" spans="1:8" ht="12.75" customHeight="1" x14ac:dyDescent="0.2">
      <c r="A61">
        <f>+MAX($A$8:A60)+1</f>
        <v>53</v>
      </c>
      <c r="B61" t="s">
        <v>287</v>
      </c>
      <c r="C61" t="s">
        <v>175</v>
      </c>
      <c r="D61" t="s">
        <v>30</v>
      </c>
      <c r="E61" s="28">
        <v>387000</v>
      </c>
      <c r="F61" s="13">
        <v>1616.1120000000001</v>
      </c>
      <c r="G61" s="14">
        <f t="shared" si="0"/>
        <v>9.7000000000000003E-3</v>
      </c>
      <c r="H61" s="15"/>
    </row>
    <row r="62" spans="1:8" ht="12.75" customHeight="1" x14ac:dyDescent="0.2">
      <c r="A62">
        <f>+MAX($A$8:A61)+1</f>
        <v>54</v>
      </c>
      <c r="B62" t="s">
        <v>594</v>
      </c>
      <c r="C62" t="s">
        <v>595</v>
      </c>
      <c r="D62" t="s">
        <v>26</v>
      </c>
      <c r="E62" s="28">
        <v>577800</v>
      </c>
      <c r="F62" s="13">
        <v>1614.6621</v>
      </c>
      <c r="G62" s="14">
        <f t="shared" si="0"/>
        <v>9.7000000000000003E-3</v>
      </c>
      <c r="H62" s="15"/>
    </row>
    <row r="63" spans="1:8" ht="12.75" customHeight="1" x14ac:dyDescent="0.2">
      <c r="A63">
        <f>+MAX($A$8:A62)+1</f>
        <v>55</v>
      </c>
      <c r="B63" t="s">
        <v>263</v>
      </c>
      <c r="C63" t="s">
        <v>442</v>
      </c>
      <c r="D63" t="s">
        <v>105</v>
      </c>
      <c r="E63" s="28">
        <v>939000</v>
      </c>
      <c r="F63" s="13">
        <v>1590.1965</v>
      </c>
      <c r="G63" s="14">
        <f t="shared" si="0"/>
        <v>9.4999999999999998E-3</v>
      </c>
      <c r="H63" s="15"/>
    </row>
    <row r="64" spans="1:8" ht="12.75" customHeight="1" x14ac:dyDescent="0.2">
      <c r="A64">
        <f>+MAX($A$8:A63)+1</f>
        <v>56</v>
      </c>
      <c r="B64" t="s">
        <v>264</v>
      </c>
      <c r="C64" t="s">
        <v>135</v>
      </c>
      <c r="D64" t="s">
        <v>18</v>
      </c>
      <c r="E64" s="28">
        <v>54108</v>
      </c>
      <c r="F64" s="13">
        <v>1588.20507</v>
      </c>
      <c r="G64" s="14">
        <f t="shared" si="0"/>
        <v>9.4999999999999998E-3</v>
      </c>
      <c r="H64" s="15"/>
    </row>
    <row r="65" spans="1:8" ht="12.75" customHeight="1" x14ac:dyDescent="0.2">
      <c r="A65">
        <f>+MAX($A$8:A64)+1</f>
        <v>57</v>
      </c>
      <c r="B65" t="s">
        <v>401</v>
      </c>
      <c r="C65" t="s">
        <v>402</v>
      </c>
      <c r="D65" t="s">
        <v>102</v>
      </c>
      <c r="E65" s="28">
        <v>108000</v>
      </c>
      <c r="F65" s="13">
        <v>1577.4480000000001</v>
      </c>
      <c r="G65" s="14">
        <f t="shared" si="0"/>
        <v>9.4999999999999998E-3</v>
      </c>
      <c r="H65" s="15"/>
    </row>
    <row r="66" spans="1:8" ht="12.75" customHeight="1" x14ac:dyDescent="0.2">
      <c r="A66">
        <f>+MAX($A$8:A65)+1</f>
        <v>58</v>
      </c>
      <c r="B66" t="s">
        <v>277</v>
      </c>
      <c r="C66" t="s">
        <v>147</v>
      </c>
      <c r="D66" t="s">
        <v>41</v>
      </c>
      <c r="E66" s="28">
        <v>202463</v>
      </c>
      <c r="F66" s="13">
        <v>1576.9843069999999</v>
      </c>
      <c r="G66" s="14">
        <f t="shared" si="0"/>
        <v>9.4999999999999998E-3</v>
      </c>
      <c r="H66" s="15"/>
    </row>
    <row r="67" spans="1:8" ht="12.75" customHeight="1" x14ac:dyDescent="0.2">
      <c r="A67">
        <f>+MAX($A$8:A66)+1</f>
        <v>59</v>
      </c>
      <c r="B67" t="s">
        <v>278</v>
      </c>
      <c r="C67" t="s">
        <v>154</v>
      </c>
      <c r="D67" t="s">
        <v>144</v>
      </c>
      <c r="E67" s="28">
        <v>219900</v>
      </c>
      <c r="F67" s="13">
        <v>1552.3840499999999</v>
      </c>
      <c r="G67" s="14">
        <f t="shared" si="0"/>
        <v>9.2999999999999992E-3</v>
      </c>
      <c r="H67" s="15"/>
    </row>
    <row r="68" spans="1:8" ht="12.75" customHeight="1" x14ac:dyDescent="0.2">
      <c r="A68">
        <f>+MAX($A$8:A67)+1</f>
        <v>60</v>
      </c>
      <c r="B68" t="s">
        <v>423</v>
      </c>
      <c r="C68" t="s">
        <v>424</v>
      </c>
      <c r="D68" t="s">
        <v>37</v>
      </c>
      <c r="E68" s="28">
        <v>1248000</v>
      </c>
      <c r="F68" s="13">
        <v>1550.64</v>
      </c>
      <c r="G68" s="14">
        <f t="shared" si="0"/>
        <v>9.2999999999999992E-3</v>
      </c>
      <c r="H68" s="15"/>
    </row>
    <row r="69" spans="1:8" ht="12.75" customHeight="1" x14ac:dyDescent="0.2">
      <c r="A69">
        <f>+MAX($A$8:A68)+1</f>
        <v>61</v>
      </c>
      <c r="B69" t="s">
        <v>443</v>
      </c>
      <c r="C69" t="s">
        <v>444</v>
      </c>
      <c r="D69" t="s">
        <v>24</v>
      </c>
      <c r="E69" s="28">
        <v>381000</v>
      </c>
      <c r="F69" s="13">
        <v>1549.527</v>
      </c>
      <c r="G69" s="14">
        <f t="shared" si="0"/>
        <v>9.2999999999999992E-3</v>
      </c>
      <c r="H69" s="15"/>
    </row>
    <row r="70" spans="1:8" ht="12.75" customHeight="1" x14ac:dyDescent="0.2">
      <c r="A70">
        <f>+MAX($A$8:A69)+1</f>
        <v>62</v>
      </c>
      <c r="B70" t="s">
        <v>592</v>
      </c>
      <c r="C70" t="s">
        <v>593</v>
      </c>
      <c r="D70" t="s">
        <v>106</v>
      </c>
      <c r="E70" s="28">
        <v>90900</v>
      </c>
      <c r="F70" s="13">
        <v>1539.4824000000001</v>
      </c>
      <c r="G70" s="14">
        <f t="shared" si="0"/>
        <v>9.1999999999999998E-3</v>
      </c>
      <c r="H70" s="15"/>
    </row>
    <row r="71" spans="1:8" ht="12.75" customHeight="1" x14ac:dyDescent="0.2">
      <c r="A71">
        <f>+MAX($A$8:A70)+1</f>
        <v>63</v>
      </c>
      <c r="B71" t="s">
        <v>527</v>
      </c>
      <c r="C71" t="s">
        <v>286</v>
      </c>
      <c r="D71" t="s">
        <v>41</v>
      </c>
      <c r="E71" s="28">
        <v>27900</v>
      </c>
      <c r="F71" s="13">
        <v>1531.3472999999999</v>
      </c>
      <c r="G71" s="14">
        <f t="shared" si="0"/>
        <v>9.1999999999999998E-3</v>
      </c>
      <c r="H71" s="15"/>
    </row>
    <row r="72" spans="1:8" ht="12.75" customHeight="1" x14ac:dyDescent="0.2">
      <c r="A72">
        <f>+MAX($A$8:A71)+1</f>
        <v>64</v>
      </c>
      <c r="B72" t="s">
        <v>210</v>
      </c>
      <c r="C72" t="s">
        <v>55</v>
      </c>
      <c r="D72" t="s">
        <v>43</v>
      </c>
      <c r="E72" s="28">
        <v>84708</v>
      </c>
      <c r="F72" s="13">
        <v>1510.7248259999999</v>
      </c>
      <c r="G72" s="14">
        <f t="shared" si="0"/>
        <v>9.1000000000000004E-3</v>
      </c>
      <c r="H72" s="15"/>
    </row>
    <row r="73" spans="1:8" ht="12.75" customHeight="1" x14ac:dyDescent="0.2">
      <c r="A73">
        <f>+MAX($A$8:A72)+1</f>
        <v>65</v>
      </c>
      <c r="B73" t="s">
        <v>260</v>
      </c>
      <c r="C73" t="s">
        <v>124</v>
      </c>
      <c r="D73" t="s">
        <v>45</v>
      </c>
      <c r="E73" s="28">
        <v>579000</v>
      </c>
      <c r="F73" s="13">
        <v>1483.1085</v>
      </c>
      <c r="G73" s="14">
        <f t="shared" ref="G73:G94" si="2">+ROUND(F73/VLOOKUP("Grand Total",$B$4:$F$300,5,0),4)</f>
        <v>8.8999999999999999E-3</v>
      </c>
      <c r="H73" s="15"/>
    </row>
    <row r="74" spans="1:8" ht="12.75" customHeight="1" x14ac:dyDescent="0.2">
      <c r="A74">
        <f>+MAX($A$8:A73)+1</f>
        <v>66</v>
      </c>
      <c r="B74" t="s">
        <v>476</v>
      </c>
      <c r="C74" t="s">
        <v>477</v>
      </c>
      <c r="D74" t="s">
        <v>105</v>
      </c>
      <c r="E74" s="28">
        <v>100800</v>
      </c>
      <c r="F74" s="13">
        <v>1466.2367999999999</v>
      </c>
      <c r="G74" s="14">
        <f t="shared" si="2"/>
        <v>8.8000000000000005E-3</v>
      </c>
      <c r="H74" s="15"/>
    </row>
    <row r="75" spans="1:8" ht="12.75" customHeight="1" x14ac:dyDescent="0.2">
      <c r="A75">
        <f>+MAX($A$8:A74)+1</f>
        <v>67</v>
      </c>
      <c r="B75" t="s">
        <v>230</v>
      </c>
      <c r="C75" t="s">
        <v>81</v>
      </c>
      <c r="D75" t="s">
        <v>45</v>
      </c>
      <c r="E75" s="28">
        <v>456000</v>
      </c>
      <c r="F75" s="13">
        <v>1414.74</v>
      </c>
      <c r="G75" s="14">
        <f t="shared" si="2"/>
        <v>8.5000000000000006E-3</v>
      </c>
      <c r="H75" s="15"/>
    </row>
    <row r="76" spans="1:8" ht="12.75" customHeight="1" x14ac:dyDescent="0.2">
      <c r="A76">
        <f>+MAX($A$8:A75)+1</f>
        <v>68</v>
      </c>
      <c r="B76" t="s">
        <v>418</v>
      </c>
      <c r="C76" t="s">
        <v>419</v>
      </c>
      <c r="D76" t="s">
        <v>32</v>
      </c>
      <c r="E76" s="28">
        <v>255000</v>
      </c>
      <c r="F76" s="13">
        <v>1402.2449999999999</v>
      </c>
      <c r="G76" s="14">
        <f t="shared" si="2"/>
        <v>8.3999999999999995E-3</v>
      </c>
      <c r="H76" s="15"/>
    </row>
    <row r="77" spans="1:8" ht="12.75" customHeight="1" x14ac:dyDescent="0.2">
      <c r="A77">
        <f>+MAX($A$8:A76)+1</f>
        <v>69</v>
      </c>
      <c r="B77" t="s">
        <v>626</v>
      </c>
      <c r="C77" t="s">
        <v>627</v>
      </c>
      <c r="D77" t="s">
        <v>144</v>
      </c>
      <c r="E77" s="28">
        <v>288000</v>
      </c>
      <c r="F77" s="13">
        <v>1397.808</v>
      </c>
      <c r="G77" s="14">
        <f t="shared" si="2"/>
        <v>8.3999999999999995E-3</v>
      </c>
      <c r="H77" s="15"/>
    </row>
    <row r="78" spans="1:8" ht="12.75" customHeight="1" x14ac:dyDescent="0.2">
      <c r="A78">
        <f>+MAX($A$8:A77)+1</f>
        <v>70</v>
      </c>
      <c r="B78" t="s">
        <v>266</v>
      </c>
      <c r="C78" t="s">
        <v>137</v>
      </c>
      <c r="D78" t="s">
        <v>47</v>
      </c>
      <c r="E78" s="28">
        <v>676800</v>
      </c>
      <c r="F78" s="13">
        <v>1372.8887999999999</v>
      </c>
      <c r="G78" s="14">
        <f t="shared" si="2"/>
        <v>8.2000000000000007E-3</v>
      </c>
      <c r="H78" s="15"/>
    </row>
    <row r="79" spans="1:8" ht="12.75" customHeight="1" x14ac:dyDescent="0.2">
      <c r="A79">
        <f>+MAX($A$8:A78)+1</f>
        <v>71</v>
      </c>
      <c r="B79" t="s">
        <v>340</v>
      </c>
      <c r="C79" t="s">
        <v>341</v>
      </c>
      <c r="D79" t="s">
        <v>32</v>
      </c>
      <c r="E79" s="28">
        <v>604800</v>
      </c>
      <c r="F79" s="13">
        <v>1366.5455999999999</v>
      </c>
      <c r="G79" s="14">
        <f t="shared" si="2"/>
        <v>8.2000000000000007E-3</v>
      </c>
      <c r="H79" s="15"/>
    </row>
    <row r="80" spans="1:8" ht="12.75" customHeight="1" x14ac:dyDescent="0.2">
      <c r="A80">
        <f>+MAX($A$8:A79)+1</f>
        <v>72</v>
      </c>
      <c r="B80" t="s">
        <v>357</v>
      </c>
      <c r="C80" t="s">
        <v>358</v>
      </c>
      <c r="D80" t="s">
        <v>43</v>
      </c>
      <c r="E80" s="28">
        <v>357000</v>
      </c>
      <c r="F80" s="13">
        <v>1358.028</v>
      </c>
      <c r="G80" s="14">
        <f t="shared" si="2"/>
        <v>8.0999999999999996E-3</v>
      </c>
      <c r="H80" s="15"/>
    </row>
    <row r="81" spans="1:8" ht="12.75" customHeight="1" x14ac:dyDescent="0.2">
      <c r="A81">
        <f>+MAX($A$8:A80)+1</f>
        <v>73</v>
      </c>
      <c r="B81" t="s">
        <v>359</v>
      </c>
      <c r="C81" t="s">
        <v>364</v>
      </c>
      <c r="D81" t="s">
        <v>37</v>
      </c>
      <c r="E81" s="28">
        <v>251890</v>
      </c>
      <c r="F81" s="13">
        <v>1344.9666549999999</v>
      </c>
      <c r="G81" s="14">
        <f t="shared" si="2"/>
        <v>8.0999999999999996E-3</v>
      </c>
      <c r="H81" s="15"/>
    </row>
    <row r="82" spans="1:8" ht="12.75" customHeight="1" x14ac:dyDescent="0.2">
      <c r="A82">
        <f>+MAX($A$8:A81)+1</f>
        <v>74</v>
      </c>
      <c r="B82" t="s">
        <v>676</v>
      </c>
      <c r="C82" t="s">
        <v>677</v>
      </c>
      <c r="D82" t="s">
        <v>144</v>
      </c>
      <c r="E82" s="28">
        <v>1125000</v>
      </c>
      <c r="F82" s="13">
        <v>1344.9375</v>
      </c>
      <c r="G82" s="14">
        <f t="shared" si="2"/>
        <v>8.0999999999999996E-3</v>
      </c>
      <c r="H82" s="15"/>
    </row>
    <row r="83" spans="1:8" ht="12.75" customHeight="1" x14ac:dyDescent="0.2">
      <c r="A83">
        <f>+MAX($A$8:A82)+1</f>
        <v>75</v>
      </c>
      <c r="B83" t="s">
        <v>463</v>
      </c>
      <c r="C83" t="s">
        <v>464</v>
      </c>
      <c r="D83" t="s">
        <v>24</v>
      </c>
      <c r="E83" s="28">
        <v>1590000</v>
      </c>
      <c r="F83" s="13">
        <v>1307.7750000000001</v>
      </c>
      <c r="G83" s="14">
        <f t="shared" si="2"/>
        <v>7.7999999999999996E-3</v>
      </c>
      <c r="H83" s="15"/>
    </row>
    <row r="84" spans="1:8" ht="12.75" customHeight="1" x14ac:dyDescent="0.2">
      <c r="A84">
        <f>+MAX($A$8:A83)+1</f>
        <v>76</v>
      </c>
      <c r="B84" t="s">
        <v>427</v>
      </c>
      <c r="C84" t="s">
        <v>428</v>
      </c>
      <c r="D84" t="s">
        <v>144</v>
      </c>
      <c r="E84" s="28">
        <v>81748</v>
      </c>
      <c r="F84" s="13">
        <v>1301.7142779999999</v>
      </c>
      <c r="G84" s="14">
        <f t="shared" si="2"/>
        <v>7.7999999999999996E-3</v>
      </c>
      <c r="H84" s="15"/>
    </row>
    <row r="85" spans="1:8" ht="12.75" customHeight="1" x14ac:dyDescent="0.2">
      <c r="A85">
        <f>+MAX($A$8:A84)+1</f>
        <v>77</v>
      </c>
      <c r="B85" t="s">
        <v>480</v>
      </c>
      <c r="C85" t="s">
        <v>481</v>
      </c>
      <c r="D85" t="s">
        <v>482</v>
      </c>
      <c r="E85" s="28">
        <v>318000</v>
      </c>
      <c r="F85" s="13">
        <v>1275.18</v>
      </c>
      <c r="G85" s="14">
        <f t="shared" si="2"/>
        <v>7.6E-3</v>
      </c>
      <c r="H85" s="15"/>
    </row>
    <row r="86" spans="1:8" ht="12.75" customHeight="1" x14ac:dyDescent="0.2">
      <c r="A86">
        <f>+MAX($A$8:A85)+1</f>
        <v>78</v>
      </c>
      <c r="B86" t="s">
        <v>323</v>
      </c>
      <c r="C86" t="s">
        <v>354</v>
      </c>
      <c r="D86" t="s">
        <v>10</v>
      </c>
      <c r="E86" s="28">
        <v>252000</v>
      </c>
      <c r="F86" s="13">
        <v>1268.82</v>
      </c>
      <c r="G86" s="14">
        <f t="shared" si="2"/>
        <v>7.6E-3</v>
      </c>
      <c r="H86" s="15"/>
    </row>
    <row r="87" spans="1:8" ht="12.75" customHeight="1" x14ac:dyDescent="0.2">
      <c r="A87">
        <f>+MAX($A$8:A86)+1</f>
        <v>79</v>
      </c>
      <c r="B87" t="s">
        <v>320</v>
      </c>
      <c r="C87" t="s">
        <v>321</v>
      </c>
      <c r="D87" t="s">
        <v>10</v>
      </c>
      <c r="E87" s="28">
        <v>789600</v>
      </c>
      <c r="F87" s="13">
        <v>1253.0952</v>
      </c>
      <c r="G87" s="14">
        <f t="shared" si="2"/>
        <v>7.4999999999999997E-3</v>
      </c>
      <c r="H87" s="15"/>
    </row>
    <row r="88" spans="1:8" ht="12.75" customHeight="1" x14ac:dyDescent="0.2">
      <c r="A88">
        <f>+MAX($A$8:A87)+1</f>
        <v>80</v>
      </c>
      <c r="B88" t="s">
        <v>279</v>
      </c>
      <c r="C88" t="s">
        <v>152</v>
      </c>
      <c r="D88" t="s">
        <v>38</v>
      </c>
      <c r="E88" s="28">
        <v>739680</v>
      </c>
      <c r="F88" s="13">
        <v>1248.9496799999999</v>
      </c>
      <c r="G88" s="14">
        <f t="shared" si="2"/>
        <v>7.4999999999999997E-3</v>
      </c>
      <c r="H88" s="15"/>
    </row>
    <row r="89" spans="1:8" ht="12.75" customHeight="1" x14ac:dyDescent="0.2">
      <c r="A89">
        <f>+MAX($A$8:A88)+1</f>
        <v>81</v>
      </c>
      <c r="B89" t="s">
        <v>465</v>
      </c>
      <c r="C89" t="s">
        <v>466</v>
      </c>
      <c r="D89" t="s">
        <v>24</v>
      </c>
      <c r="E89" s="28">
        <v>300000</v>
      </c>
      <c r="F89" s="13">
        <v>1245.75</v>
      </c>
      <c r="G89" s="14">
        <f t="shared" si="2"/>
        <v>7.4999999999999997E-3</v>
      </c>
      <c r="H89" s="15"/>
    </row>
    <row r="90" spans="1:8" ht="12.75" customHeight="1" x14ac:dyDescent="0.2">
      <c r="A90">
        <f>+MAX($A$8:A89)+1</f>
        <v>82</v>
      </c>
      <c r="B90" t="s">
        <v>615</v>
      </c>
      <c r="C90" t="s">
        <v>405</v>
      </c>
      <c r="D90" t="s">
        <v>10</v>
      </c>
      <c r="E90" s="28">
        <v>1080000</v>
      </c>
      <c r="F90" s="13">
        <v>1197.72</v>
      </c>
      <c r="G90" s="14">
        <f t="shared" si="2"/>
        <v>7.1999999999999998E-3</v>
      </c>
      <c r="H90" s="15"/>
    </row>
    <row r="91" spans="1:8" ht="12.75" customHeight="1" x14ac:dyDescent="0.2">
      <c r="A91">
        <f>+MAX($A$8:A90)+1</f>
        <v>83</v>
      </c>
      <c r="B91" t="s">
        <v>624</v>
      </c>
      <c r="C91" t="s">
        <v>625</v>
      </c>
      <c r="D91" t="s">
        <v>38</v>
      </c>
      <c r="E91" s="28">
        <v>143700</v>
      </c>
      <c r="F91" s="13">
        <v>1164.1137000000001</v>
      </c>
      <c r="G91" s="14">
        <f t="shared" si="2"/>
        <v>7.0000000000000001E-3</v>
      </c>
      <c r="H91" s="15"/>
    </row>
    <row r="92" spans="1:8" ht="12.75" customHeight="1" x14ac:dyDescent="0.2">
      <c r="A92">
        <f>+MAX($A$8:A91)+1</f>
        <v>84</v>
      </c>
      <c r="B92" t="s">
        <v>628</v>
      </c>
      <c r="C92" t="s">
        <v>629</v>
      </c>
      <c r="D92" t="s">
        <v>28</v>
      </c>
      <c r="E92" s="28">
        <v>669000</v>
      </c>
      <c r="F92" s="13">
        <v>777.04349999999999</v>
      </c>
      <c r="G92" s="14">
        <f t="shared" si="2"/>
        <v>4.7000000000000002E-3</v>
      </c>
      <c r="H92" s="15"/>
    </row>
    <row r="93" spans="1:8" ht="12.75" customHeight="1" x14ac:dyDescent="0.2">
      <c r="A93">
        <f>+MAX($A$8:A92)+1</f>
        <v>85</v>
      </c>
      <c r="B93" t="s">
        <v>355</v>
      </c>
      <c r="C93" t="s">
        <v>356</v>
      </c>
      <c r="D93" t="s">
        <v>144</v>
      </c>
      <c r="E93" s="28">
        <v>1155000</v>
      </c>
      <c r="F93" s="13">
        <v>544.58249999999998</v>
      </c>
      <c r="G93" s="14">
        <f t="shared" si="2"/>
        <v>3.3E-3</v>
      </c>
      <c r="H93" s="15"/>
    </row>
    <row r="94" spans="1:8" ht="12.75" customHeight="1" x14ac:dyDescent="0.2">
      <c r="A94">
        <f>+MAX($A$8:A93)+1</f>
        <v>86</v>
      </c>
      <c r="B94" t="s">
        <v>680</v>
      </c>
      <c r="C94" t="s">
        <v>681</v>
      </c>
      <c r="D94" t="s">
        <v>134</v>
      </c>
      <c r="E94" s="28">
        <v>33790</v>
      </c>
      <c r="F94" s="13">
        <v>500.09199999999998</v>
      </c>
      <c r="G94" s="14">
        <f t="shared" si="2"/>
        <v>3.0000000000000001E-3</v>
      </c>
      <c r="H94" s="15"/>
    </row>
    <row r="95" spans="1:8" ht="12.75" customHeight="1" x14ac:dyDescent="0.2">
      <c r="A95">
        <f>+MAX($A$8:A94)+1</f>
        <v>87</v>
      </c>
      <c r="B95" t="s">
        <v>682</v>
      </c>
      <c r="C95" t="s">
        <v>683</v>
      </c>
      <c r="D95" t="s">
        <v>18</v>
      </c>
      <c r="E95" s="28">
        <v>60000</v>
      </c>
      <c r="F95" s="13">
        <v>454.95</v>
      </c>
      <c r="G95" s="14">
        <f t="shared" ref="G95:G96" si="3">+ROUND(F95/VLOOKUP("Grand Total",$B$4:$F$300,5,0),4)</f>
        <v>2.7000000000000001E-3</v>
      </c>
      <c r="H95" s="15"/>
    </row>
    <row r="96" spans="1:8" ht="12.75" customHeight="1" x14ac:dyDescent="0.2">
      <c r="A96">
        <f>+MAX($A$8:A95)+1</f>
        <v>88</v>
      </c>
      <c r="B96" t="s">
        <v>674</v>
      </c>
      <c r="C96" t="s">
        <v>675</v>
      </c>
      <c r="D96" t="s">
        <v>106</v>
      </c>
      <c r="E96" s="28">
        <v>144000</v>
      </c>
      <c r="F96" s="13">
        <v>381.6</v>
      </c>
      <c r="G96" s="14">
        <f t="shared" si="3"/>
        <v>2.3E-3</v>
      </c>
      <c r="H96" s="15"/>
    </row>
    <row r="97" spans="1:12" ht="12.75" customHeight="1" x14ac:dyDescent="0.2">
      <c r="B97" s="18" t="s">
        <v>85</v>
      </c>
      <c r="C97" s="18"/>
      <c r="D97" s="18"/>
      <c r="E97" s="29"/>
      <c r="F97" s="19">
        <f>SUM(F9:F96)</f>
        <v>157834.83349899991</v>
      </c>
      <c r="G97" s="20">
        <f>SUM(G9:G96)</f>
        <v>0.94609999999999972</v>
      </c>
      <c r="H97" s="21"/>
      <c r="I97" s="49"/>
    </row>
    <row r="98" spans="1:12" ht="12.75" customHeight="1" x14ac:dyDescent="0.2">
      <c r="F98" s="13"/>
      <c r="G98" s="14"/>
      <c r="H98" s="15"/>
    </row>
    <row r="99" spans="1:12" ht="12.75" customHeight="1" x14ac:dyDescent="0.2">
      <c r="B99" s="16" t="s">
        <v>141</v>
      </c>
      <c r="C99" s="16"/>
      <c r="F99" s="13"/>
      <c r="G99" s="14"/>
      <c r="H99" s="73"/>
      <c r="I99"/>
      <c r="J99" s="36"/>
      <c r="K99"/>
    </row>
    <row r="100" spans="1:12" ht="12.75" customHeight="1" x14ac:dyDescent="0.2">
      <c r="A100">
        <f>+MAX($A$8:A99)+1</f>
        <v>89</v>
      </c>
      <c r="B100" t="s">
        <v>585</v>
      </c>
      <c r="C100" s="123" t="s">
        <v>724</v>
      </c>
      <c r="D100" t="s">
        <v>322</v>
      </c>
      <c r="E100" s="28">
        <v>1800000</v>
      </c>
      <c r="F100" s="13">
        <v>1611.9</v>
      </c>
      <c r="G100" s="14">
        <f t="shared" ref="G100:G101" si="4">+ROUND(F100/VLOOKUP("Grand Total",$B$4:$F$300,5,0),4)</f>
        <v>9.7000000000000003E-3</v>
      </c>
      <c r="H100" s="15">
        <v>43153</v>
      </c>
      <c r="I100"/>
      <c r="J100" s="36"/>
      <c r="K100"/>
    </row>
    <row r="101" spans="1:12" ht="12.75" customHeight="1" x14ac:dyDescent="0.2">
      <c r="A101">
        <f>+MAX($A$8:A100)+1</f>
        <v>90</v>
      </c>
      <c r="B101" t="s">
        <v>40</v>
      </c>
      <c r="C101" s="123" t="s">
        <v>724</v>
      </c>
      <c r="D101" t="s">
        <v>322</v>
      </c>
      <c r="E101" s="28">
        <v>972000</v>
      </c>
      <c r="F101" s="13">
        <v>1532.3579999999999</v>
      </c>
      <c r="G101" s="14">
        <f t="shared" si="4"/>
        <v>9.1999999999999998E-3</v>
      </c>
      <c r="H101" s="15">
        <v>43153</v>
      </c>
      <c r="I101"/>
      <c r="J101" s="36"/>
      <c r="K101"/>
    </row>
    <row r="102" spans="1:12" ht="12.75" customHeight="1" x14ac:dyDescent="0.2">
      <c r="B102" s="18" t="s">
        <v>85</v>
      </c>
      <c r="C102" s="18"/>
      <c r="D102" s="18"/>
      <c r="E102" s="29"/>
      <c r="F102" s="19">
        <f>SUM(F100:F101)</f>
        <v>3144.2579999999998</v>
      </c>
      <c r="G102" s="20">
        <f>SUM(G100:G101)</f>
        <v>1.89E-2</v>
      </c>
      <c r="H102" s="21"/>
      <c r="I102"/>
      <c r="J102" s="36"/>
      <c r="K102"/>
    </row>
    <row r="103" spans="1:12" ht="12.75" customHeight="1" x14ac:dyDescent="0.2">
      <c r="F103" s="13"/>
      <c r="G103" s="14"/>
      <c r="H103" s="15"/>
    </row>
    <row r="104" spans="1:12" ht="12.75" customHeight="1" x14ac:dyDescent="0.2">
      <c r="B104" s="16" t="s">
        <v>92</v>
      </c>
      <c r="C104" s="16"/>
      <c r="F104" s="13"/>
      <c r="G104" s="14"/>
      <c r="H104" s="73"/>
      <c r="I104"/>
      <c r="J104" s="36"/>
      <c r="K104"/>
    </row>
    <row r="105" spans="1:12" ht="12.75" customHeight="1" x14ac:dyDescent="0.2">
      <c r="A105">
        <f>+MAX($A$8:A104)+1</f>
        <v>91</v>
      </c>
      <c r="B105" t="s">
        <v>456</v>
      </c>
      <c r="C105" t="s">
        <v>299</v>
      </c>
      <c r="D105" t="s">
        <v>319</v>
      </c>
      <c r="E105" s="28">
        <v>1679159.6142</v>
      </c>
      <c r="F105" s="13">
        <v>524.34781439999995</v>
      </c>
      <c r="G105" s="14">
        <f t="shared" ref="G105:G106" si="5">+ROUND(F105/VLOOKUP("Grand Total",$B$4:$F$300,5,0),4)</f>
        <v>3.0999999999999999E-3</v>
      </c>
      <c r="H105" s="73" t="s">
        <v>371</v>
      </c>
      <c r="I105"/>
      <c r="J105" s="36"/>
      <c r="K105"/>
    </row>
    <row r="106" spans="1:12" ht="12.75" customHeight="1" x14ac:dyDescent="0.2">
      <c r="A106">
        <f>+MAX($A$8:A105)+1</f>
        <v>92</v>
      </c>
      <c r="B106" t="s">
        <v>447</v>
      </c>
      <c r="C106" t="s">
        <v>353</v>
      </c>
      <c r="D106" t="s">
        <v>319</v>
      </c>
      <c r="E106" s="28">
        <v>9884.0483000000004</v>
      </c>
      <c r="F106" s="13">
        <v>164.7475148</v>
      </c>
      <c r="G106" s="14">
        <f t="shared" si="5"/>
        <v>1E-3</v>
      </c>
      <c r="H106" s="73" t="s">
        <v>371</v>
      </c>
      <c r="I106"/>
      <c r="J106" s="36"/>
      <c r="K106"/>
    </row>
    <row r="107" spans="1:12" ht="12.75" customHeight="1" x14ac:dyDescent="0.2">
      <c r="B107" s="18" t="s">
        <v>85</v>
      </c>
      <c r="C107" s="18"/>
      <c r="D107" s="18"/>
      <c r="E107" s="29"/>
      <c r="F107" s="19">
        <f>SUM(F105:F106)</f>
        <v>689.09532919999992</v>
      </c>
      <c r="G107" s="20">
        <f>SUM(G105:G106)</f>
        <v>4.0999999999999995E-3</v>
      </c>
      <c r="H107" s="21"/>
      <c r="I107"/>
      <c r="J107" s="36"/>
      <c r="K107"/>
    </row>
    <row r="108" spans="1:12" s="46" customFormat="1" ht="12.75" customHeight="1" x14ac:dyDescent="0.2">
      <c r="B108" s="67"/>
      <c r="C108" s="67"/>
      <c r="D108" s="67"/>
      <c r="E108" s="68"/>
      <c r="F108" s="69"/>
      <c r="G108" s="70"/>
      <c r="H108" s="35"/>
      <c r="J108" s="48"/>
    </row>
    <row r="109" spans="1:12" ht="12.75" customHeight="1" x14ac:dyDescent="0.2">
      <c r="A109" s="95" t="s">
        <v>370</v>
      </c>
      <c r="B109" s="16" t="s">
        <v>93</v>
      </c>
      <c r="C109" s="16"/>
      <c r="F109" s="13">
        <v>6228.3301700000002</v>
      </c>
      <c r="G109" s="14">
        <f t="shared" ref="G109" si="6">+ROUND(F109/VLOOKUP("Grand Total",$B$4:$F$300,5,0),4)</f>
        <v>3.73E-2</v>
      </c>
      <c r="H109" s="15">
        <v>43132</v>
      </c>
      <c r="L109" s="46"/>
    </row>
    <row r="110" spans="1:12" ht="12.75" customHeight="1" x14ac:dyDescent="0.2">
      <c r="B110" s="18" t="s">
        <v>85</v>
      </c>
      <c r="C110" s="18"/>
      <c r="D110" s="18"/>
      <c r="E110" s="29"/>
      <c r="F110" s="19">
        <f>SUM(F109)</f>
        <v>6228.3301700000002</v>
      </c>
      <c r="G110" s="20">
        <f>SUM(G109)</f>
        <v>3.73E-2</v>
      </c>
      <c r="H110" s="21"/>
      <c r="I110" s="49"/>
    </row>
    <row r="111" spans="1:12" ht="12.75" customHeight="1" x14ac:dyDescent="0.2">
      <c r="F111" s="13"/>
      <c r="G111" s="14"/>
      <c r="H111" s="15"/>
    </row>
    <row r="112" spans="1:12" ht="12.75" customHeight="1" x14ac:dyDescent="0.2">
      <c r="B112" s="16" t="s">
        <v>94</v>
      </c>
      <c r="C112" s="16"/>
      <c r="F112" s="13"/>
      <c r="G112" s="14"/>
      <c r="H112" s="15"/>
      <c r="I112" s="56"/>
    </row>
    <row r="113" spans="2:11" ht="12.75" customHeight="1" x14ac:dyDescent="0.2">
      <c r="B113" s="16" t="s">
        <v>95</v>
      </c>
      <c r="C113" s="16"/>
      <c r="F113" s="13">
        <v>-1041.0674241000088</v>
      </c>
      <c r="G113" s="125">
        <f>+ROUND(F113/VLOOKUP("Grand Total",$B$4:$F$318,5,0),4)-0.02%</f>
        <v>-6.3999999999999994E-3</v>
      </c>
      <c r="H113" s="15"/>
      <c r="I113" s="55"/>
    </row>
    <row r="114" spans="2:11" ht="12.75" customHeight="1" x14ac:dyDescent="0.2">
      <c r="B114" s="18" t="s">
        <v>85</v>
      </c>
      <c r="C114" s="18"/>
      <c r="D114" s="18"/>
      <c r="E114" s="29"/>
      <c r="F114" s="19">
        <f>SUM(F113)</f>
        <v>-1041.0674241000088</v>
      </c>
      <c r="G114" s="126">
        <f>SUM(G113)</f>
        <v>-6.3999999999999994E-3</v>
      </c>
      <c r="H114" s="21"/>
      <c r="I114" s="39"/>
    </row>
    <row r="115" spans="2:11" ht="12.75" customHeight="1" x14ac:dyDescent="0.2">
      <c r="B115" s="22" t="s">
        <v>96</v>
      </c>
      <c r="C115" s="22"/>
      <c r="D115" s="22"/>
      <c r="E115" s="30"/>
      <c r="F115" s="23">
        <f>+SUMIF($B$5:B114,"Total",$F$5:F114)</f>
        <v>166855.44957409991</v>
      </c>
      <c r="G115" s="24">
        <f>+SUMIF($B$5:B114,"Total",$G$5:G114)</f>
        <v>0.99999999999999978</v>
      </c>
      <c r="H115" s="25"/>
      <c r="K115"/>
    </row>
    <row r="116" spans="2:11" ht="12.75" customHeight="1" x14ac:dyDescent="0.2">
      <c r="F116" s="13"/>
    </row>
    <row r="117" spans="2:11" ht="12.75" customHeight="1" x14ac:dyDescent="0.2">
      <c r="B117" s="16" t="s">
        <v>768</v>
      </c>
    </row>
    <row r="118" spans="2:11" ht="12.75" customHeight="1" x14ac:dyDescent="0.2">
      <c r="B118" s="53" t="s">
        <v>307</v>
      </c>
    </row>
    <row r="119" spans="2:11" ht="12.75" customHeight="1" x14ac:dyDescent="0.2">
      <c r="B119" s="16" t="s">
        <v>186</v>
      </c>
    </row>
    <row r="120" spans="2:11" ht="12.75" customHeight="1" x14ac:dyDescent="0.2"/>
    <row r="121" spans="2:11" ht="12.75" customHeight="1" x14ac:dyDescent="0.2"/>
    <row r="122" spans="2:11" ht="12.75" customHeight="1" x14ac:dyDescent="0.2"/>
    <row r="123" spans="2:11" ht="12.75" customHeight="1" x14ac:dyDescent="0.2"/>
    <row r="124" spans="2:11" ht="12.75" customHeight="1" x14ac:dyDescent="0.2"/>
    <row r="125" spans="2:11" ht="12.75" customHeight="1" x14ac:dyDescent="0.2"/>
    <row r="126" spans="2:11" ht="12.75" customHeight="1" x14ac:dyDescent="0.2"/>
    <row r="127" spans="2:11" ht="12.75" customHeight="1" x14ac:dyDescent="0.2"/>
    <row r="128" spans="2:11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</sheetData>
  <sheetProtection password="EDB3" sheet="1" objects="1" scenarios="1"/>
  <sortState ref="J9:K34">
    <sortCondition descending="1" ref="K11:K36"/>
  </sortState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3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376</v>
      </c>
      <c r="B1" s="127" t="s">
        <v>158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406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191</v>
      </c>
      <c r="C9" t="s">
        <v>13</v>
      </c>
      <c r="D9" t="s">
        <v>10</v>
      </c>
      <c r="E9" s="28">
        <v>87992</v>
      </c>
      <c r="F9" s="13">
        <v>1764.855544</v>
      </c>
      <c r="G9" s="14">
        <f t="shared" ref="G9:G40" si="0">+ROUND(F9/VLOOKUP("Grand Total",$B$4:$F$299,5,0),4)</f>
        <v>5.2299999999999999E-2</v>
      </c>
      <c r="H9" s="72" t="s">
        <v>371</v>
      </c>
      <c r="I9" s="107"/>
      <c r="J9" s="14" t="s">
        <v>10</v>
      </c>
      <c r="K9" s="48">
        <f t="shared" ref="K9:K30" si="1">SUMIFS($G$5:$G$330,$D$5:$D$330,J9)</f>
        <v>0.24860000000000002</v>
      </c>
    </row>
    <row r="10" spans="1:16" ht="12.75" customHeight="1" x14ac:dyDescent="0.2">
      <c r="A10">
        <f>+MAX($A$8:A9)+1</f>
        <v>2</v>
      </c>
      <c r="B10" t="s">
        <v>194</v>
      </c>
      <c r="C10" t="s">
        <v>11</v>
      </c>
      <c r="D10" t="s">
        <v>10</v>
      </c>
      <c r="E10" s="28">
        <v>476730</v>
      </c>
      <c r="F10" s="13">
        <v>1682.6185350000001</v>
      </c>
      <c r="G10" s="14">
        <f t="shared" si="0"/>
        <v>4.99E-2</v>
      </c>
      <c r="H10" s="15" t="s">
        <v>371</v>
      </c>
      <c r="I10" s="107"/>
      <c r="J10" s="14" t="s">
        <v>26</v>
      </c>
      <c r="K10" s="48">
        <f t="shared" si="1"/>
        <v>0.13320000000000001</v>
      </c>
    </row>
    <row r="11" spans="1:16" ht="12.75" customHeight="1" x14ac:dyDescent="0.2">
      <c r="A11">
        <f>+MAX($A$8:A10)+1</f>
        <v>3</v>
      </c>
      <c r="B11" t="s">
        <v>225</v>
      </c>
      <c r="C11" t="s">
        <v>71</v>
      </c>
      <c r="D11" t="s">
        <v>28</v>
      </c>
      <c r="E11" s="28">
        <v>79891</v>
      </c>
      <c r="F11" s="13">
        <v>1131.656015</v>
      </c>
      <c r="G11" s="14">
        <f t="shared" si="0"/>
        <v>3.3599999999999998E-2</v>
      </c>
      <c r="H11" s="15" t="s">
        <v>371</v>
      </c>
      <c r="I11" s="107"/>
      <c r="J11" s="14" t="s">
        <v>14</v>
      </c>
      <c r="K11" s="48">
        <f t="shared" si="1"/>
        <v>6.4899999999999999E-2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193</v>
      </c>
      <c r="C12" t="s">
        <v>31</v>
      </c>
      <c r="D12" t="s">
        <v>30</v>
      </c>
      <c r="E12" s="28">
        <v>114058</v>
      </c>
      <c r="F12" s="13">
        <v>1096.439554</v>
      </c>
      <c r="G12" s="14">
        <f t="shared" si="0"/>
        <v>3.2500000000000001E-2</v>
      </c>
      <c r="H12" s="15" t="s">
        <v>371</v>
      </c>
      <c r="I12" s="107"/>
      <c r="J12" s="14" t="s">
        <v>22</v>
      </c>
      <c r="K12" s="48">
        <f t="shared" si="1"/>
        <v>6.2100000000000002E-2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197</v>
      </c>
      <c r="C13" t="s">
        <v>27</v>
      </c>
      <c r="D13" t="s">
        <v>24</v>
      </c>
      <c r="E13" s="28">
        <v>53634</v>
      </c>
      <c r="F13" s="13">
        <v>1049.2419420000001</v>
      </c>
      <c r="G13" s="14">
        <f t="shared" si="0"/>
        <v>3.1099999999999999E-2</v>
      </c>
      <c r="H13" s="15" t="s">
        <v>371</v>
      </c>
      <c r="I13" s="107"/>
      <c r="J13" s="14" t="s">
        <v>20</v>
      </c>
      <c r="K13" s="48">
        <f t="shared" si="1"/>
        <v>5.850000000000001E-2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16</v>
      </c>
      <c r="C14" t="s">
        <v>17</v>
      </c>
      <c r="D14" t="s">
        <v>10</v>
      </c>
      <c r="E14" s="28">
        <v>333480</v>
      </c>
      <c r="F14" s="13">
        <v>1044.6261</v>
      </c>
      <c r="G14" s="14">
        <f t="shared" si="0"/>
        <v>3.1E-2</v>
      </c>
      <c r="H14" s="15" t="s">
        <v>371</v>
      </c>
      <c r="I14" s="107"/>
      <c r="J14" s="14" t="s">
        <v>24</v>
      </c>
      <c r="K14" s="48">
        <f t="shared" si="1"/>
        <v>5.7299999999999997E-2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192</v>
      </c>
      <c r="C15" t="s">
        <v>15</v>
      </c>
      <c r="D15" t="s">
        <v>14</v>
      </c>
      <c r="E15" s="28">
        <v>85286</v>
      </c>
      <c r="F15" s="13">
        <v>981.00221499999998</v>
      </c>
      <c r="G15" s="14">
        <f t="shared" si="0"/>
        <v>2.9100000000000001E-2</v>
      </c>
      <c r="H15" s="15" t="s">
        <v>371</v>
      </c>
      <c r="I15" s="107"/>
      <c r="J15" s="14" t="s">
        <v>28</v>
      </c>
      <c r="K15" s="48">
        <f t="shared" si="1"/>
        <v>4.4499999999999998E-2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231</v>
      </c>
      <c r="C16" t="s">
        <v>78</v>
      </c>
      <c r="D16" t="s">
        <v>26</v>
      </c>
      <c r="E16" s="28">
        <v>23800</v>
      </c>
      <c r="F16" s="13">
        <v>781.97280000000001</v>
      </c>
      <c r="G16" s="14">
        <f t="shared" si="0"/>
        <v>2.3199999999999998E-2</v>
      </c>
      <c r="H16" s="15" t="s">
        <v>371</v>
      </c>
      <c r="I16" s="107"/>
      <c r="J16" s="14" t="s">
        <v>36</v>
      </c>
      <c r="K16" s="48">
        <f t="shared" si="1"/>
        <v>3.8400000000000004E-2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209</v>
      </c>
      <c r="C17" t="s">
        <v>49</v>
      </c>
      <c r="D17" t="s">
        <v>20</v>
      </c>
      <c r="E17" s="28">
        <v>8078</v>
      </c>
      <c r="F17" s="13">
        <v>768.19356599999992</v>
      </c>
      <c r="G17" s="14">
        <f t="shared" si="0"/>
        <v>2.2800000000000001E-2</v>
      </c>
      <c r="H17" s="15" t="s">
        <v>371</v>
      </c>
      <c r="I17" s="107"/>
      <c r="J17" s="14" t="s">
        <v>134</v>
      </c>
      <c r="K17" s="48">
        <f t="shared" si="1"/>
        <v>3.6299999999999999E-2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239</v>
      </c>
      <c r="C18" t="s">
        <v>101</v>
      </c>
      <c r="D18" t="s">
        <v>26</v>
      </c>
      <c r="E18" s="28">
        <v>55445</v>
      </c>
      <c r="F18" s="13">
        <v>759.2361075</v>
      </c>
      <c r="G18" s="14">
        <f t="shared" si="0"/>
        <v>2.2499999999999999E-2</v>
      </c>
      <c r="H18" s="15" t="s">
        <v>371</v>
      </c>
      <c r="I18" s="107"/>
      <c r="J18" s="14" t="s">
        <v>38</v>
      </c>
      <c r="K18" s="48">
        <f t="shared" si="1"/>
        <v>3.2799999999999996E-2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346</v>
      </c>
      <c r="C19" t="s">
        <v>412</v>
      </c>
      <c r="D19" t="s">
        <v>134</v>
      </c>
      <c r="E19" s="28">
        <v>60000</v>
      </c>
      <c r="F19" s="13">
        <v>724.08</v>
      </c>
      <c r="G19" s="14">
        <f t="shared" si="0"/>
        <v>2.1499999999999998E-2</v>
      </c>
      <c r="H19" s="15" t="s">
        <v>371</v>
      </c>
      <c r="I19" s="107"/>
      <c r="J19" s="14" t="s">
        <v>30</v>
      </c>
      <c r="K19" s="48">
        <f t="shared" si="1"/>
        <v>3.2500000000000001E-2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394</v>
      </c>
      <c r="C20" t="s">
        <v>393</v>
      </c>
      <c r="D20" t="s">
        <v>26</v>
      </c>
      <c r="E20" s="28">
        <v>200000</v>
      </c>
      <c r="F20" s="13">
        <v>711.2</v>
      </c>
      <c r="G20" s="14">
        <f t="shared" si="0"/>
        <v>2.1100000000000001E-2</v>
      </c>
      <c r="H20" s="15" t="s">
        <v>371</v>
      </c>
      <c r="I20" s="107"/>
      <c r="J20" s="14" t="s">
        <v>41</v>
      </c>
      <c r="K20" s="48">
        <f t="shared" si="1"/>
        <v>3.0099999999999998E-2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316</v>
      </c>
      <c r="C21" t="s">
        <v>317</v>
      </c>
      <c r="D21" t="s">
        <v>144</v>
      </c>
      <c r="E21" s="28">
        <v>145069</v>
      </c>
      <c r="F21" s="13">
        <v>708.08178900000007</v>
      </c>
      <c r="G21" s="14">
        <f t="shared" si="0"/>
        <v>2.1000000000000001E-2</v>
      </c>
      <c r="H21" s="15" t="s">
        <v>371</v>
      </c>
      <c r="I21" s="107"/>
      <c r="J21" s="14" t="s">
        <v>45</v>
      </c>
      <c r="K21" s="48">
        <f t="shared" si="1"/>
        <v>2.86E-2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206</v>
      </c>
      <c r="C22" t="s">
        <v>52</v>
      </c>
      <c r="D22" t="s">
        <v>41</v>
      </c>
      <c r="E22" s="28">
        <v>475000</v>
      </c>
      <c r="F22" s="13">
        <v>664.76250000000005</v>
      </c>
      <c r="G22" s="14">
        <f t="shared" si="0"/>
        <v>1.9699999999999999E-2</v>
      </c>
      <c r="H22" s="15" t="s">
        <v>371</v>
      </c>
      <c r="I22" s="107"/>
      <c r="J22" s="14" t="s">
        <v>18</v>
      </c>
      <c r="K22" s="48">
        <f t="shared" si="1"/>
        <v>2.24E-2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216</v>
      </c>
      <c r="C23" t="s">
        <v>19</v>
      </c>
      <c r="D23" t="s">
        <v>14</v>
      </c>
      <c r="E23" s="28">
        <v>21307</v>
      </c>
      <c r="F23" s="13">
        <v>663.14841450000006</v>
      </c>
      <c r="G23" s="14">
        <f t="shared" si="0"/>
        <v>1.9699999999999999E-2</v>
      </c>
      <c r="H23" s="15" t="s">
        <v>371</v>
      </c>
      <c r="I23" s="107"/>
      <c r="J23" s="14" t="s">
        <v>144</v>
      </c>
      <c r="K23" s="48">
        <f t="shared" si="1"/>
        <v>2.1000000000000001E-2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585</v>
      </c>
      <c r="C24" t="s">
        <v>586</v>
      </c>
      <c r="D24" t="s">
        <v>36</v>
      </c>
      <c r="E24" s="28">
        <v>740000</v>
      </c>
      <c r="F24" s="13">
        <v>658.6</v>
      </c>
      <c r="G24" s="14">
        <f t="shared" si="0"/>
        <v>1.95E-2</v>
      </c>
      <c r="H24" s="15" t="s">
        <v>371</v>
      </c>
      <c r="I24" s="107"/>
      <c r="J24" t="s">
        <v>495</v>
      </c>
      <c r="K24" s="48">
        <f t="shared" si="1"/>
        <v>2.0900000000000002E-2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260</v>
      </c>
      <c r="C25" t="s">
        <v>124</v>
      </c>
      <c r="D25" t="s">
        <v>45</v>
      </c>
      <c r="E25" s="28">
        <v>252060</v>
      </c>
      <c r="F25" s="13">
        <v>645.65169000000003</v>
      </c>
      <c r="G25" s="14">
        <f t="shared" si="0"/>
        <v>1.9099999999999999E-2</v>
      </c>
      <c r="H25" s="15" t="s">
        <v>371</v>
      </c>
      <c r="I25" s="107"/>
      <c r="J25" t="s">
        <v>51</v>
      </c>
      <c r="K25" s="48">
        <f t="shared" si="1"/>
        <v>1.5699999999999999E-2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201</v>
      </c>
      <c r="C26" t="s">
        <v>46</v>
      </c>
      <c r="D26" t="s">
        <v>26</v>
      </c>
      <c r="E26" s="28">
        <v>236699</v>
      </c>
      <c r="F26" s="13">
        <v>642.40108599999996</v>
      </c>
      <c r="G26" s="14">
        <f t="shared" si="0"/>
        <v>1.9099999999999999E-2</v>
      </c>
      <c r="H26" s="15" t="s">
        <v>371</v>
      </c>
      <c r="I26" s="107"/>
      <c r="J26" t="s">
        <v>43</v>
      </c>
      <c r="K26" s="48">
        <f t="shared" si="1"/>
        <v>1.23E-2</v>
      </c>
      <c r="L26" s="54">
        <f>+SUM($K$9:K27)</f>
        <v>0.9708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250</v>
      </c>
      <c r="C27" t="s">
        <v>115</v>
      </c>
      <c r="D27" t="s">
        <v>36</v>
      </c>
      <c r="E27" s="28">
        <v>374900</v>
      </c>
      <c r="F27" s="13">
        <v>638.26724999999999</v>
      </c>
      <c r="G27" s="14">
        <f t="shared" si="0"/>
        <v>1.89E-2</v>
      </c>
      <c r="H27" s="15" t="s">
        <v>371</v>
      </c>
      <c r="I27" s="107"/>
      <c r="J27" s="65" t="s">
        <v>106</v>
      </c>
      <c r="K27" s="48">
        <f t="shared" si="1"/>
        <v>1.0699999999999999E-2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430</v>
      </c>
      <c r="C28" t="s">
        <v>68</v>
      </c>
      <c r="D28" t="s">
        <v>22</v>
      </c>
      <c r="E28" s="28">
        <v>106911</v>
      </c>
      <c r="F28" s="13">
        <v>619.97688900000003</v>
      </c>
      <c r="G28" s="14">
        <f t="shared" si="0"/>
        <v>1.84E-2</v>
      </c>
      <c r="H28" s="15" t="s">
        <v>371</v>
      </c>
      <c r="I28" s="107"/>
      <c r="J28" t="s">
        <v>34</v>
      </c>
      <c r="K28" s="48">
        <f t="shared" si="1"/>
        <v>8.5000000000000006E-3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308</v>
      </c>
      <c r="C29" t="s">
        <v>57</v>
      </c>
      <c r="D29" t="s">
        <v>26</v>
      </c>
      <c r="E29" s="28">
        <v>44000</v>
      </c>
      <c r="F29" s="13">
        <v>615.97799999999995</v>
      </c>
      <c r="G29" s="14">
        <f t="shared" si="0"/>
        <v>1.83E-2</v>
      </c>
      <c r="H29" s="15" t="s">
        <v>371</v>
      </c>
      <c r="I29" s="107"/>
      <c r="J29" s="14" t="s">
        <v>345</v>
      </c>
      <c r="K29" s="48">
        <f t="shared" si="1"/>
        <v>0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215</v>
      </c>
      <c r="C30" t="s">
        <v>61</v>
      </c>
      <c r="D30" t="s">
        <v>22</v>
      </c>
      <c r="E30" s="28">
        <v>97638</v>
      </c>
      <c r="F30" s="13">
        <v>614.68002899999999</v>
      </c>
      <c r="G30" s="14">
        <f t="shared" si="0"/>
        <v>1.8200000000000001E-2</v>
      </c>
      <c r="H30" s="15" t="s">
        <v>371</v>
      </c>
      <c r="I30" s="107"/>
      <c r="J30" s="14" t="s">
        <v>429</v>
      </c>
      <c r="K30" s="48">
        <f t="shared" si="1"/>
        <v>0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248</v>
      </c>
      <c r="C31" t="s">
        <v>112</v>
      </c>
      <c r="D31" t="s">
        <v>20</v>
      </c>
      <c r="E31" s="28">
        <v>16552</v>
      </c>
      <c r="F31" s="13">
        <v>611.00880399999994</v>
      </c>
      <c r="G31" s="14">
        <f t="shared" si="0"/>
        <v>1.8100000000000002E-2</v>
      </c>
      <c r="H31" s="15" t="s">
        <v>371</v>
      </c>
      <c r="I31" s="107"/>
      <c r="J31" s="14" t="s">
        <v>64</v>
      </c>
      <c r="K31" s="48">
        <f>+SUMIFS($G$5:$G$997,$B$5:$B$997,"CBLO / Reverse Repo Investments")+SUMIFS($G$5:$G$997,$B$5:$B$997,"Net Receivable/Payable")</f>
        <v>2.0700000000000003E-2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309</v>
      </c>
      <c r="C32" t="s">
        <v>76</v>
      </c>
      <c r="D32" t="s">
        <v>38</v>
      </c>
      <c r="E32" s="28">
        <v>175000</v>
      </c>
      <c r="F32" s="13">
        <v>602.78750000000002</v>
      </c>
      <c r="G32" s="14">
        <f t="shared" si="0"/>
        <v>1.7899999999999999E-2</v>
      </c>
      <c r="H32" s="15" t="s">
        <v>371</v>
      </c>
      <c r="I32" s="107"/>
      <c r="J32" s="14"/>
      <c r="K32" s="48"/>
    </row>
    <row r="33" spans="1:9" ht="12.75" customHeight="1" x14ac:dyDescent="0.2">
      <c r="A33">
        <f>+MAX($A$8:A32)+1</f>
        <v>25</v>
      </c>
      <c r="B33" t="s">
        <v>195</v>
      </c>
      <c r="C33" t="s">
        <v>21</v>
      </c>
      <c r="D33" t="s">
        <v>20</v>
      </c>
      <c r="E33" s="28">
        <v>148729</v>
      </c>
      <c r="F33" s="13">
        <v>594.17235500000004</v>
      </c>
      <c r="G33" s="14">
        <f t="shared" si="0"/>
        <v>1.7600000000000001E-2</v>
      </c>
      <c r="H33" s="15" t="s">
        <v>371</v>
      </c>
      <c r="I33" s="107"/>
    </row>
    <row r="34" spans="1:9" ht="12.75" customHeight="1" x14ac:dyDescent="0.2">
      <c r="A34">
        <f>+MAX($A$8:A33)+1</f>
        <v>26</v>
      </c>
      <c r="B34" t="s">
        <v>212</v>
      </c>
      <c r="C34" t="s">
        <v>98</v>
      </c>
      <c r="D34" t="s">
        <v>10</v>
      </c>
      <c r="E34" s="28">
        <v>51897</v>
      </c>
      <c r="F34" s="13">
        <v>575.51178149999998</v>
      </c>
      <c r="G34" s="14">
        <f t="shared" si="0"/>
        <v>1.7100000000000001E-2</v>
      </c>
      <c r="H34" s="15" t="s">
        <v>371</v>
      </c>
      <c r="I34" s="107"/>
    </row>
    <row r="35" spans="1:9" ht="12.75" customHeight="1" x14ac:dyDescent="0.2">
      <c r="A35">
        <f>+MAX($A$8:A34)+1</f>
        <v>27</v>
      </c>
      <c r="B35" t="s">
        <v>203</v>
      </c>
      <c r="C35" t="s">
        <v>48</v>
      </c>
      <c r="D35" t="s">
        <v>26</v>
      </c>
      <c r="E35" s="28">
        <v>12279</v>
      </c>
      <c r="F35" s="13">
        <v>575.16677849999996</v>
      </c>
      <c r="G35" s="14">
        <f t="shared" si="0"/>
        <v>1.7100000000000001E-2</v>
      </c>
      <c r="H35" s="15" t="s">
        <v>371</v>
      </c>
      <c r="I35" s="107"/>
    </row>
    <row r="36" spans="1:9" ht="12.75" customHeight="1" x14ac:dyDescent="0.2">
      <c r="A36">
        <f>+MAX($A$8:A35)+1</f>
        <v>28</v>
      </c>
      <c r="B36" t="s">
        <v>241</v>
      </c>
      <c r="C36" t="s">
        <v>103</v>
      </c>
      <c r="D36" t="s">
        <v>10</v>
      </c>
      <c r="E36" s="28">
        <v>31694</v>
      </c>
      <c r="F36" s="13">
        <v>555.62751400000002</v>
      </c>
      <c r="G36" s="14">
        <f t="shared" si="0"/>
        <v>1.6500000000000001E-2</v>
      </c>
      <c r="H36" s="15" t="s">
        <v>371</v>
      </c>
      <c r="I36" s="107"/>
    </row>
    <row r="37" spans="1:9" ht="12.75" customHeight="1" x14ac:dyDescent="0.2">
      <c r="A37">
        <f>+MAX($A$8:A36)+1</f>
        <v>29</v>
      </c>
      <c r="B37" t="s">
        <v>196</v>
      </c>
      <c r="C37" t="s">
        <v>25</v>
      </c>
      <c r="D37" t="s">
        <v>14</v>
      </c>
      <c r="E37" s="28">
        <v>54935</v>
      </c>
      <c r="F37" s="13">
        <v>541.96124250000003</v>
      </c>
      <c r="G37" s="14">
        <f t="shared" si="0"/>
        <v>1.61E-2</v>
      </c>
      <c r="H37" s="15" t="s">
        <v>371</v>
      </c>
      <c r="I37" s="107"/>
    </row>
    <row r="38" spans="1:9" ht="12.75" customHeight="1" x14ac:dyDescent="0.2">
      <c r="A38">
        <f>+MAX($A$8:A37)+1</f>
        <v>30</v>
      </c>
      <c r="B38" t="s">
        <v>228</v>
      </c>
      <c r="C38" t="s">
        <v>79</v>
      </c>
      <c r="D38" t="s">
        <v>51</v>
      </c>
      <c r="E38" s="28">
        <v>177233</v>
      </c>
      <c r="F38" s="13">
        <v>530.90145150000001</v>
      </c>
      <c r="G38" s="14">
        <f t="shared" si="0"/>
        <v>1.5699999999999999E-2</v>
      </c>
      <c r="H38" s="15" t="s">
        <v>371</v>
      </c>
      <c r="I38" s="107"/>
    </row>
    <row r="39" spans="1:9" ht="12.75" customHeight="1" x14ac:dyDescent="0.2">
      <c r="A39">
        <f>+MAX($A$8:A38)+1</f>
        <v>31</v>
      </c>
      <c r="B39" t="s">
        <v>202</v>
      </c>
      <c r="C39" t="s">
        <v>44</v>
      </c>
      <c r="D39" t="s">
        <v>24</v>
      </c>
      <c r="E39" s="28">
        <v>87680</v>
      </c>
      <c r="F39" s="13">
        <v>510.47296</v>
      </c>
      <c r="G39" s="14">
        <f t="shared" si="0"/>
        <v>1.5100000000000001E-2</v>
      </c>
      <c r="H39" s="15" t="s">
        <v>371</v>
      </c>
      <c r="I39" s="107"/>
    </row>
    <row r="40" spans="1:9" ht="12.75" customHeight="1" x14ac:dyDescent="0.2">
      <c r="A40">
        <f>+MAX($A$8:A39)+1</f>
        <v>32</v>
      </c>
      <c r="B40" t="s">
        <v>367</v>
      </c>
      <c r="C40" t="s">
        <v>368</v>
      </c>
      <c r="D40" t="s">
        <v>38</v>
      </c>
      <c r="E40" s="28">
        <v>579178</v>
      </c>
      <c r="F40" s="13">
        <v>500.98896999999999</v>
      </c>
      <c r="G40" s="14">
        <f t="shared" si="0"/>
        <v>1.49E-2</v>
      </c>
      <c r="H40" s="15" t="s">
        <v>371</v>
      </c>
      <c r="I40" s="107"/>
    </row>
    <row r="41" spans="1:9" ht="12.75" customHeight="1" x14ac:dyDescent="0.2">
      <c r="A41">
        <f>+MAX($A$8:A40)+1</f>
        <v>33</v>
      </c>
      <c r="B41" t="s">
        <v>550</v>
      </c>
      <c r="C41" t="s">
        <v>551</v>
      </c>
      <c r="D41" t="s">
        <v>134</v>
      </c>
      <c r="E41" s="28">
        <v>130725</v>
      </c>
      <c r="F41" s="13">
        <v>497.47398750000002</v>
      </c>
      <c r="G41" s="14">
        <f t="shared" ref="G41:G63" si="2">+ROUND(F41/VLOOKUP("Grand Total",$B$4:$F$299,5,0),4)</f>
        <v>1.4800000000000001E-2</v>
      </c>
      <c r="H41" s="15" t="s">
        <v>371</v>
      </c>
      <c r="I41" s="107"/>
    </row>
    <row r="42" spans="1:9" ht="12.75" customHeight="1" x14ac:dyDescent="0.2">
      <c r="A42">
        <f>+MAX($A$8:A41)+1</f>
        <v>34</v>
      </c>
      <c r="B42" t="s">
        <v>615</v>
      </c>
      <c r="C42" t="s">
        <v>405</v>
      </c>
      <c r="D42" t="s">
        <v>10</v>
      </c>
      <c r="E42" s="28">
        <v>422693</v>
      </c>
      <c r="F42" s="13">
        <v>468.76653700000003</v>
      </c>
      <c r="G42" s="14">
        <f t="shared" si="2"/>
        <v>1.3899999999999999E-2</v>
      </c>
      <c r="H42" s="15" t="s">
        <v>371</v>
      </c>
      <c r="I42" s="107"/>
    </row>
    <row r="43" spans="1:9" ht="12.75" customHeight="1" x14ac:dyDescent="0.2">
      <c r="A43">
        <f>+MAX($A$8:A42)+1</f>
        <v>35</v>
      </c>
      <c r="B43" t="s">
        <v>549</v>
      </c>
      <c r="C43" t="s">
        <v>475</v>
      </c>
      <c r="D43" t="s">
        <v>22</v>
      </c>
      <c r="E43" s="28">
        <v>120000</v>
      </c>
      <c r="F43" s="13">
        <v>450.96</v>
      </c>
      <c r="G43" s="14">
        <f t="shared" si="2"/>
        <v>1.34E-2</v>
      </c>
      <c r="H43" s="15" t="s">
        <v>371</v>
      </c>
      <c r="I43" s="107"/>
    </row>
    <row r="44" spans="1:9" ht="12.75" customHeight="1" x14ac:dyDescent="0.2">
      <c r="A44">
        <f>+MAX($A$8:A43)+1</f>
        <v>36</v>
      </c>
      <c r="B44" t="s">
        <v>211</v>
      </c>
      <c r="C44" t="s">
        <v>74</v>
      </c>
      <c r="D44" t="s">
        <v>495</v>
      </c>
      <c r="E44" s="28">
        <v>312000</v>
      </c>
      <c r="F44" s="13">
        <v>431.18400000000003</v>
      </c>
      <c r="G44" s="14">
        <f t="shared" si="2"/>
        <v>1.2800000000000001E-2</v>
      </c>
      <c r="H44" s="15" t="s">
        <v>371</v>
      </c>
      <c r="I44" s="107"/>
    </row>
    <row r="45" spans="1:9" ht="12.75" customHeight="1" x14ac:dyDescent="0.2">
      <c r="A45">
        <f>+MAX($A$8:A44)+1</f>
        <v>37</v>
      </c>
      <c r="B45" t="s">
        <v>496</v>
      </c>
      <c r="C45" t="s">
        <v>497</v>
      </c>
      <c r="D45" t="s">
        <v>43</v>
      </c>
      <c r="E45" s="28">
        <v>39500</v>
      </c>
      <c r="F45" s="13">
        <v>414.63150000000002</v>
      </c>
      <c r="G45" s="14">
        <f t="shared" si="2"/>
        <v>1.23E-2</v>
      </c>
      <c r="H45" s="15" t="s">
        <v>371</v>
      </c>
      <c r="I45" s="107"/>
    </row>
    <row r="46" spans="1:9" ht="12.75" customHeight="1" x14ac:dyDescent="0.2">
      <c r="A46">
        <f>+MAX($A$8:A45)+1</f>
        <v>38</v>
      </c>
      <c r="B46" t="s">
        <v>205</v>
      </c>
      <c r="C46" t="s">
        <v>50</v>
      </c>
      <c r="D46" t="s">
        <v>22</v>
      </c>
      <c r="E46" s="28">
        <v>7253</v>
      </c>
      <c r="F46" s="13">
        <v>407.98487649999998</v>
      </c>
      <c r="G46" s="14">
        <f t="shared" si="2"/>
        <v>1.21E-2</v>
      </c>
      <c r="H46" s="15" t="s">
        <v>371</v>
      </c>
      <c r="I46" s="107"/>
    </row>
    <row r="47" spans="1:9" ht="12.75" customHeight="1" x14ac:dyDescent="0.2">
      <c r="A47">
        <f>+MAX($A$8:A46)+1</f>
        <v>39</v>
      </c>
      <c r="B47" t="s">
        <v>587</v>
      </c>
      <c r="C47" t="s">
        <v>588</v>
      </c>
      <c r="D47" t="s">
        <v>26</v>
      </c>
      <c r="E47" s="28">
        <v>6043</v>
      </c>
      <c r="F47" s="13">
        <v>401.41533950000002</v>
      </c>
      <c r="G47" s="14">
        <f t="shared" si="2"/>
        <v>1.1900000000000001E-2</v>
      </c>
      <c r="H47" s="15" t="s">
        <v>371</v>
      </c>
      <c r="I47" s="107"/>
    </row>
    <row r="48" spans="1:9" ht="12.75" customHeight="1" x14ac:dyDescent="0.2">
      <c r="A48">
        <f>+MAX($A$8:A47)+1</f>
        <v>40</v>
      </c>
      <c r="B48" t="s">
        <v>204</v>
      </c>
      <c r="C48" t="s">
        <v>53</v>
      </c>
      <c r="D48" t="s">
        <v>18</v>
      </c>
      <c r="E48" s="28">
        <v>8912</v>
      </c>
      <c r="F48" s="13">
        <v>390.52384000000001</v>
      </c>
      <c r="G48" s="14">
        <f t="shared" si="2"/>
        <v>1.1599999999999999E-2</v>
      </c>
      <c r="H48" s="15" t="s">
        <v>371</v>
      </c>
      <c r="I48" s="107"/>
    </row>
    <row r="49" spans="1:9" ht="12.75" customHeight="1" x14ac:dyDescent="0.2">
      <c r="A49">
        <f>+MAX($A$8:A48)+1</f>
        <v>41</v>
      </c>
      <c r="B49" t="s">
        <v>498</v>
      </c>
      <c r="C49" t="s">
        <v>499</v>
      </c>
      <c r="D49" t="s">
        <v>24</v>
      </c>
      <c r="E49" s="28">
        <v>27011</v>
      </c>
      <c r="F49" s="13">
        <v>372.68427250000002</v>
      </c>
      <c r="G49" s="14">
        <f t="shared" si="2"/>
        <v>1.11E-2</v>
      </c>
      <c r="H49" s="15" t="s">
        <v>371</v>
      </c>
      <c r="I49" s="107"/>
    </row>
    <row r="50" spans="1:9" ht="12.75" customHeight="1" x14ac:dyDescent="0.2">
      <c r="A50">
        <f>+MAX($A$8:A49)+1</f>
        <v>42</v>
      </c>
      <c r="B50" t="s">
        <v>217</v>
      </c>
      <c r="C50" t="s">
        <v>29</v>
      </c>
      <c r="D50" t="s">
        <v>10</v>
      </c>
      <c r="E50" s="28">
        <v>62354</v>
      </c>
      <c r="F50" s="13">
        <v>370.13334399999997</v>
      </c>
      <c r="G50" s="14">
        <f t="shared" si="2"/>
        <v>1.0999999999999999E-2</v>
      </c>
      <c r="H50" s="15" t="s">
        <v>371</v>
      </c>
      <c r="I50" s="107"/>
    </row>
    <row r="51" spans="1:9" ht="12.75" customHeight="1" x14ac:dyDescent="0.2">
      <c r="A51">
        <f>+MAX($A$8:A50)+1</f>
        <v>43</v>
      </c>
      <c r="B51" t="s">
        <v>318</v>
      </c>
      <c r="C51" t="s">
        <v>72</v>
      </c>
      <c r="D51" t="s">
        <v>28</v>
      </c>
      <c r="E51" s="28">
        <v>934500</v>
      </c>
      <c r="F51" s="13">
        <v>367.25850000000003</v>
      </c>
      <c r="G51" s="14">
        <f t="shared" si="2"/>
        <v>1.09E-2</v>
      </c>
      <c r="H51" s="15" t="s">
        <v>371</v>
      </c>
      <c r="I51" s="107"/>
    </row>
    <row r="52" spans="1:9" ht="12.75" customHeight="1" x14ac:dyDescent="0.2">
      <c r="A52">
        <f>+MAX($A$8:A51)+1</f>
        <v>44</v>
      </c>
      <c r="B52" t="s">
        <v>310</v>
      </c>
      <c r="C52" t="s">
        <v>67</v>
      </c>
      <c r="D52" t="s">
        <v>18</v>
      </c>
      <c r="E52" s="28">
        <v>217267</v>
      </c>
      <c r="F52" s="13">
        <v>365.33446049999998</v>
      </c>
      <c r="G52" s="14">
        <f t="shared" si="2"/>
        <v>1.0800000000000001E-2</v>
      </c>
      <c r="H52" s="15" t="s">
        <v>371</v>
      </c>
      <c r="I52" s="107"/>
    </row>
    <row r="53" spans="1:9" ht="12.75" customHeight="1" x14ac:dyDescent="0.2">
      <c r="A53">
        <f>+MAX($A$8:A52)+1</f>
        <v>45</v>
      </c>
      <c r="B53" t="s">
        <v>434</v>
      </c>
      <c r="C53" t="s">
        <v>435</v>
      </c>
      <c r="D53" t="s">
        <v>106</v>
      </c>
      <c r="E53" s="28">
        <v>124820</v>
      </c>
      <c r="F53" s="13">
        <v>361.91559000000001</v>
      </c>
      <c r="G53" s="14">
        <f t="shared" si="2"/>
        <v>1.0699999999999999E-2</v>
      </c>
      <c r="H53" s="15" t="s">
        <v>371</v>
      </c>
      <c r="I53" s="107"/>
    </row>
    <row r="54" spans="1:9" ht="12.75" customHeight="1" x14ac:dyDescent="0.2">
      <c r="A54">
        <f>+MAX($A$8:A53)+1</f>
        <v>46</v>
      </c>
      <c r="B54" t="s">
        <v>251</v>
      </c>
      <c r="C54" t="s">
        <v>548</v>
      </c>
      <c r="D54" t="s">
        <v>10</v>
      </c>
      <c r="E54" s="28">
        <v>100415</v>
      </c>
      <c r="F54" s="13">
        <v>355.87076000000002</v>
      </c>
      <c r="G54" s="14">
        <f t="shared" si="2"/>
        <v>1.06E-2</v>
      </c>
      <c r="H54" s="15" t="s">
        <v>371</v>
      </c>
      <c r="I54" s="107"/>
    </row>
    <row r="55" spans="1:9" ht="12.75" customHeight="1" x14ac:dyDescent="0.2">
      <c r="A55">
        <f>+MAX($A$8:A54)+1</f>
        <v>47</v>
      </c>
      <c r="B55" t="s">
        <v>554</v>
      </c>
      <c r="C55" t="s">
        <v>555</v>
      </c>
      <c r="D55" t="s">
        <v>10</v>
      </c>
      <c r="E55" s="28">
        <v>556534</v>
      </c>
      <c r="F55" s="13">
        <v>355.34695899999997</v>
      </c>
      <c r="G55" s="14">
        <f t="shared" si="2"/>
        <v>1.0500000000000001E-2</v>
      </c>
      <c r="H55" s="15" t="s">
        <v>371</v>
      </c>
      <c r="I55" s="107"/>
    </row>
    <row r="56" spans="1:9" ht="12.75" customHeight="1" x14ac:dyDescent="0.2">
      <c r="A56">
        <f>+MAX($A$8:A55)+1</f>
        <v>48</v>
      </c>
      <c r="B56" t="s">
        <v>277</v>
      </c>
      <c r="C56" t="s">
        <v>147</v>
      </c>
      <c r="D56" t="s">
        <v>41</v>
      </c>
      <c r="E56" s="28">
        <v>45000</v>
      </c>
      <c r="F56" s="13">
        <v>350.505</v>
      </c>
      <c r="G56" s="14">
        <f t="shared" si="2"/>
        <v>1.04E-2</v>
      </c>
      <c r="H56" s="15" t="s">
        <v>371</v>
      </c>
      <c r="I56" s="107"/>
    </row>
    <row r="57" spans="1:9" ht="12.75" customHeight="1" x14ac:dyDescent="0.2">
      <c r="A57">
        <f>+MAX($A$8:A56)+1</f>
        <v>49</v>
      </c>
      <c r="B57" t="s">
        <v>166</v>
      </c>
      <c r="C57" t="s">
        <v>181</v>
      </c>
      <c r="D57" t="s">
        <v>10</v>
      </c>
      <c r="E57" s="28">
        <v>99372</v>
      </c>
      <c r="F57" s="13">
        <v>339.20632200000006</v>
      </c>
      <c r="G57" s="14">
        <f t="shared" si="2"/>
        <v>1.01E-2</v>
      </c>
      <c r="H57" s="15" t="s">
        <v>371</v>
      </c>
      <c r="I57" s="107"/>
    </row>
    <row r="58" spans="1:9" ht="12.75" customHeight="1" x14ac:dyDescent="0.2">
      <c r="A58">
        <f>+MAX($A$8:A57)+1</f>
        <v>50</v>
      </c>
      <c r="B58" t="s">
        <v>552</v>
      </c>
      <c r="C58" t="s">
        <v>553</v>
      </c>
      <c r="D58" t="s">
        <v>45</v>
      </c>
      <c r="E58" s="28">
        <v>425975</v>
      </c>
      <c r="F58" s="13">
        <v>320.75917500000003</v>
      </c>
      <c r="G58" s="14">
        <f t="shared" si="2"/>
        <v>9.4999999999999998E-3</v>
      </c>
      <c r="H58" s="15" t="s">
        <v>371</v>
      </c>
      <c r="I58" s="107"/>
    </row>
    <row r="59" spans="1:9" ht="12.75" customHeight="1" x14ac:dyDescent="0.2">
      <c r="A59">
        <f>+MAX($A$8:A58)+1</f>
        <v>51</v>
      </c>
      <c r="B59" t="s">
        <v>40</v>
      </c>
      <c r="C59" t="s">
        <v>42</v>
      </c>
      <c r="D59" t="s">
        <v>10</v>
      </c>
      <c r="E59" s="28">
        <v>189657</v>
      </c>
      <c r="F59" s="13">
        <v>297.38217600000002</v>
      </c>
      <c r="G59" s="14">
        <f t="shared" si="2"/>
        <v>8.8000000000000005E-3</v>
      </c>
      <c r="H59" s="15" t="s">
        <v>371</v>
      </c>
      <c r="I59" s="107"/>
    </row>
    <row r="60" spans="1:9" ht="12.75" customHeight="1" x14ac:dyDescent="0.2">
      <c r="A60">
        <f>+MAX($A$8:A59)+1</f>
        <v>52</v>
      </c>
      <c r="B60" t="s">
        <v>223</v>
      </c>
      <c r="C60" t="s">
        <v>70</v>
      </c>
      <c r="D60" t="s">
        <v>10</v>
      </c>
      <c r="E60" s="28">
        <v>285366</v>
      </c>
      <c r="F60" s="13">
        <v>286.650147</v>
      </c>
      <c r="G60" s="14">
        <f t="shared" si="2"/>
        <v>8.5000000000000006E-3</v>
      </c>
      <c r="H60" s="15" t="s">
        <v>371</v>
      </c>
      <c r="I60" s="107"/>
    </row>
    <row r="61" spans="1:9" ht="12.75" customHeight="1" x14ac:dyDescent="0.2">
      <c r="A61">
        <f>+MAX($A$8:A60)+1</f>
        <v>53</v>
      </c>
      <c r="B61" t="s">
        <v>214</v>
      </c>
      <c r="C61" t="s">
        <v>65</v>
      </c>
      <c r="D61" t="s">
        <v>34</v>
      </c>
      <c r="E61" s="28">
        <v>65027</v>
      </c>
      <c r="F61" s="13">
        <v>286.02125949999999</v>
      </c>
      <c r="G61" s="14">
        <f t="shared" si="2"/>
        <v>8.5000000000000006E-3</v>
      </c>
      <c r="H61" s="15" t="s">
        <v>371</v>
      </c>
      <c r="I61" s="107"/>
    </row>
    <row r="62" spans="1:9" ht="12.75" customHeight="1" x14ac:dyDescent="0.2">
      <c r="A62">
        <f>+MAX($A$8:A61)+1</f>
        <v>54</v>
      </c>
      <c r="B62" s="65" t="s">
        <v>616</v>
      </c>
      <c r="C62" t="s">
        <v>617</v>
      </c>
      <c r="D62" t="s">
        <v>10</v>
      </c>
      <c r="E62" s="28">
        <v>390048</v>
      </c>
      <c r="F62" s="13">
        <v>282.97982400000001</v>
      </c>
      <c r="G62" s="14">
        <f t="shared" si="2"/>
        <v>8.3999999999999995E-3</v>
      </c>
      <c r="H62" s="15" t="s">
        <v>371</v>
      </c>
      <c r="I62" s="107"/>
    </row>
    <row r="63" spans="1:9" ht="12.75" customHeight="1" x14ac:dyDescent="0.2">
      <c r="A63">
        <f>+MAX($A$8:A62)+1</f>
        <v>55</v>
      </c>
      <c r="B63" t="s">
        <v>199</v>
      </c>
      <c r="C63" t="s">
        <v>23</v>
      </c>
      <c r="D63" t="s">
        <v>495</v>
      </c>
      <c r="E63" s="28">
        <v>82338</v>
      </c>
      <c r="F63" s="13">
        <v>272.209428</v>
      </c>
      <c r="G63" s="14">
        <f t="shared" si="2"/>
        <v>8.0999999999999996E-3</v>
      </c>
      <c r="H63" s="15" t="s">
        <v>371</v>
      </c>
      <c r="I63" s="107"/>
    </row>
    <row r="64" spans="1:9" ht="12.75" customHeight="1" x14ac:dyDescent="0.2">
      <c r="A64">
        <f>+MAX($A$8:A63)+1</f>
        <v>56</v>
      </c>
      <c r="B64" t="s">
        <v>459</v>
      </c>
      <c r="C64" s="123" t="s">
        <v>724</v>
      </c>
      <c r="D64" t="s">
        <v>38</v>
      </c>
      <c r="E64" s="28">
        <v>250</v>
      </c>
      <c r="F64" s="13">
        <v>0</v>
      </c>
      <c r="G64" s="108" t="s">
        <v>546</v>
      </c>
      <c r="H64" s="15" t="s">
        <v>371</v>
      </c>
      <c r="I64" s="107"/>
    </row>
    <row r="65" spans="1:9" ht="12.75" customHeight="1" x14ac:dyDescent="0.2">
      <c r="B65" s="18" t="s">
        <v>85</v>
      </c>
      <c r="C65" s="18"/>
      <c r="D65" s="18"/>
      <c r="E65" s="29"/>
      <c r="F65" s="19">
        <f>SUM(F9:F64)</f>
        <v>33012.466681000005</v>
      </c>
      <c r="G65" s="20">
        <f>SUM(G9:G64)</f>
        <v>0.97930000000000006</v>
      </c>
      <c r="H65" s="21"/>
      <c r="I65" s="49"/>
    </row>
    <row r="66" spans="1:9" ht="12.75" customHeight="1" x14ac:dyDescent="0.2">
      <c r="F66" s="86"/>
      <c r="G66" s="14"/>
      <c r="H66" s="15"/>
    </row>
    <row r="67" spans="1:9" ht="12.75" customHeight="1" x14ac:dyDescent="0.2">
      <c r="B67" s="16" t="s">
        <v>304</v>
      </c>
      <c r="C67" s="16"/>
      <c r="F67" s="13"/>
      <c r="G67" s="14"/>
      <c r="H67" s="15"/>
    </row>
    <row r="68" spans="1:9" ht="12.75" customHeight="1" x14ac:dyDescent="0.2">
      <c r="A68">
        <f>+MAX($A$8:A67)+1</f>
        <v>57</v>
      </c>
      <c r="B68" t="s">
        <v>289</v>
      </c>
      <c r="C68" t="s">
        <v>159</v>
      </c>
      <c r="D68" s="65" t="s">
        <v>345</v>
      </c>
      <c r="E68" s="28">
        <v>8600</v>
      </c>
      <c r="F68" s="13">
        <v>0</v>
      </c>
      <c r="G68" s="108" t="s">
        <v>546</v>
      </c>
      <c r="H68" s="15" t="s">
        <v>371</v>
      </c>
    </row>
    <row r="69" spans="1:9" ht="12.75" customHeight="1" x14ac:dyDescent="0.2">
      <c r="A69">
        <f>+MAX($A$8:A68)+1</f>
        <v>58</v>
      </c>
      <c r="B69" s="65" t="s">
        <v>238</v>
      </c>
      <c r="C69" s="65" t="s">
        <v>90</v>
      </c>
      <c r="D69" t="s">
        <v>429</v>
      </c>
      <c r="E69" s="28">
        <v>200000</v>
      </c>
      <c r="F69" s="13">
        <v>0</v>
      </c>
      <c r="G69" s="108" t="s">
        <v>546</v>
      </c>
      <c r="H69" s="15" t="s">
        <v>371</v>
      </c>
    </row>
    <row r="70" spans="1:9" ht="12.75" customHeight="1" x14ac:dyDescent="0.2">
      <c r="B70" s="18" t="s">
        <v>85</v>
      </c>
      <c r="C70" s="18"/>
      <c r="D70" s="18"/>
      <c r="E70" s="29"/>
      <c r="F70" s="19">
        <f>SUM(F68:F69)</f>
        <v>0</v>
      </c>
      <c r="G70" s="51" t="s">
        <v>546</v>
      </c>
      <c r="H70" s="21"/>
      <c r="I70" s="35"/>
    </row>
    <row r="71" spans="1:9" ht="12.75" customHeight="1" x14ac:dyDescent="0.2">
      <c r="F71" s="13"/>
      <c r="G71" s="14"/>
      <c r="H71" s="15"/>
    </row>
    <row r="72" spans="1:9" ht="12.75" customHeight="1" x14ac:dyDescent="0.2">
      <c r="A72" s="95" t="s">
        <v>370</v>
      </c>
      <c r="B72" s="16" t="s">
        <v>93</v>
      </c>
      <c r="C72" s="16"/>
      <c r="F72" s="13">
        <v>1274.81558</v>
      </c>
      <c r="G72" s="14">
        <f>+ROUND(F72/VLOOKUP("Grand Total",$B$4:$F$299,5,0),4)</f>
        <v>3.78E-2</v>
      </c>
      <c r="H72" s="15">
        <v>43132</v>
      </c>
    </row>
    <row r="73" spans="1:9" ht="12.75" customHeight="1" x14ac:dyDescent="0.2">
      <c r="B73" s="18" t="s">
        <v>85</v>
      </c>
      <c r="C73" s="18"/>
      <c r="D73" s="18"/>
      <c r="E73" s="29"/>
      <c r="F73" s="19">
        <f>SUM(F72)</f>
        <v>1274.81558</v>
      </c>
      <c r="G73" s="20">
        <f>SUM(G72)</f>
        <v>3.78E-2</v>
      </c>
      <c r="H73" s="21"/>
      <c r="I73" s="49"/>
    </row>
    <row r="74" spans="1:9" ht="12.75" customHeight="1" x14ac:dyDescent="0.2">
      <c r="F74" s="13"/>
      <c r="G74" s="14"/>
      <c r="H74" s="15"/>
    </row>
    <row r="75" spans="1:9" ht="12.75" customHeight="1" x14ac:dyDescent="0.2">
      <c r="B75" s="16" t="s">
        <v>94</v>
      </c>
      <c r="C75" s="16"/>
      <c r="F75" s="13"/>
      <c r="G75" s="14"/>
      <c r="H75" s="15"/>
    </row>
    <row r="76" spans="1:9" ht="12.75" customHeight="1" x14ac:dyDescent="0.2">
      <c r="B76" s="16" t="s">
        <v>95</v>
      </c>
      <c r="C76" s="16"/>
      <c r="F76" s="13">
        <v>-569.98784280000109</v>
      </c>
      <c r="G76" s="125">
        <f>+ROUND(F76/VLOOKUP("Grand Total",$B$4:$F$299,5,0),4)-0.02%</f>
        <v>-1.7099999999999997E-2</v>
      </c>
      <c r="H76" s="15"/>
    </row>
    <row r="77" spans="1:9" ht="12.75" customHeight="1" x14ac:dyDescent="0.2">
      <c r="B77" s="18" t="s">
        <v>85</v>
      </c>
      <c r="C77" s="18"/>
      <c r="D77" s="18"/>
      <c r="E77" s="29"/>
      <c r="F77" s="19">
        <f>SUM(F76)</f>
        <v>-569.98784280000109</v>
      </c>
      <c r="G77" s="126">
        <f>SUM(G76)</f>
        <v>-1.7099999999999997E-2</v>
      </c>
      <c r="H77" s="21"/>
      <c r="I77" s="49"/>
    </row>
    <row r="78" spans="1:9" ht="12.75" customHeight="1" x14ac:dyDescent="0.2">
      <c r="B78" s="22" t="s">
        <v>96</v>
      </c>
      <c r="C78" s="22"/>
      <c r="D78" s="22"/>
      <c r="E78" s="30"/>
      <c r="F78" s="23">
        <f>+SUMIF($B$5:B77,"Total",$F$5:F77)</f>
        <v>33717.294418200006</v>
      </c>
      <c r="G78" s="24">
        <f>+SUMIF($B$5:B77,"Total",$G$5:G77)</f>
        <v>1.0000000000000002</v>
      </c>
      <c r="H78" s="25"/>
      <c r="I78" s="35"/>
    </row>
    <row r="79" spans="1:9" ht="12.75" customHeight="1" x14ac:dyDescent="0.2"/>
    <row r="80" spans="1:9" ht="12.75" customHeight="1" x14ac:dyDescent="0.2">
      <c r="B80" s="16" t="s">
        <v>186</v>
      </c>
    </row>
    <row r="81" spans="2:3" ht="12.75" customHeight="1" x14ac:dyDescent="0.2">
      <c r="B81" s="16" t="s">
        <v>187</v>
      </c>
      <c r="C81" s="16"/>
    </row>
    <row r="82" spans="2:3" ht="12.75" customHeight="1" x14ac:dyDescent="0.2">
      <c r="B82" s="16" t="s">
        <v>188</v>
      </c>
      <c r="C82" s="16"/>
    </row>
    <row r="83" spans="2:3" ht="12.75" customHeight="1" x14ac:dyDescent="0.2">
      <c r="B83" s="16" t="s">
        <v>189</v>
      </c>
      <c r="C83" s="16"/>
    </row>
    <row r="84" spans="2:3" ht="12.75" customHeight="1" x14ac:dyDescent="0.2">
      <c r="B84" s="53"/>
      <c r="C84" s="16"/>
    </row>
    <row r="85" spans="2:3" ht="12.75" customHeight="1" x14ac:dyDescent="0.2">
      <c r="B85" s="16"/>
      <c r="C85" s="16"/>
    </row>
    <row r="86" spans="2:3" ht="12.75" customHeight="1" x14ac:dyDescent="0.2"/>
    <row r="87" spans="2:3" ht="12.75" customHeight="1" x14ac:dyDescent="0.2"/>
    <row r="88" spans="2:3" ht="12.75" customHeight="1" x14ac:dyDescent="0.2"/>
    <row r="89" spans="2:3" ht="12.75" customHeight="1" x14ac:dyDescent="0.2"/>
    <row r="90" spans="2:3" ht="12.75" customHeight="1" x14ac:dyDescent="0.2"/>
    <row r="91" spans="2:3" ht="12.75" customHeight="1" x14ac:dyDescent="0.2"/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spans="9:9" ht="12.75" customHeight="1" x14ac:dyDescent="0.2"/>
    <row r="98" spans="9:9" ht="12.75" customHeight="1" x14ac:dyDescent="0.2"/>
    <row r="99" spans="9:9" ht="12.75" customHeight="1" x14ac:dyDescent="0.2"/>
    <row r="100" spans="9:9" ht="12.75" customHeight="1" x14ac:dyDescent="0.2"/>
    <row r="101" spans="9:9" ht="12.75" customHeight="1" x14ac:dyDescent="0.2"/>
    <row r="102" spans="9:9" ht="12.75" customHeight="1" x14ac:dyDescent="0.2"/>
    <row r="103" spans="9:9" ht="12.75" customHeight="1" x14ac:dyDescent="0.2"/>
    <row r="104" spans="9:9" ht="12.75" customHeight="1" x14ac:dyDescent="0.2"/>
    <row r="105" spans="9:9" ht="12.75" customHeight="1" x14ac:dyDescent="0.2"/>
    <row r="106" spans="9:9" ht="12.75" customHeight="1" x14ac:dyDescent="0.2"/>
    <row r="107" spans="9:9" ht="12.75" customHeight="1" x14ac:dyDescent="0.2"/>
    <row r="108" spans="9:9" ht="12.75" customHeight="1" x14ac:dyDescent="0.2"/>
    <row r="109" spans="9:9" ht="12.75" customHeight="1" x14ac:dyDescent="0.2"/>
    <row r="110" spans="9:9" ht="12.75" customHeight="1" x14ac:dyDescent="0.2"/>
    <row r="111" spans="9:9" ht="12.75" customHeight="1" x14ac:dyDescent="0.2">
      <c r="I111" s="33" t="str">
        <f>IFERROR(IF(A111="CBLO",VLOOKUP($A$1&amp;A111,#REF!,23,0),IF(VLOOKUP($C111,#REF!,17,0)="","",VLOOKUP(C111,#REF!,17,0))),"")</f>
        <v/>
      </c>
    </row>
    <row r="112" spans="9:9" ht="12.75" customHeight="1" x14ac:dyDescent="0.2">
      <c r="I112" s="33" t="str">
        <f>IFERROR(IF(A112="CBLO",VLOOKUP($A$1&amp;A112,#REF!,23,0),IF(VLOOKUP($C112,#REF!,17,0)="","",VLOOKUP(C112,#REF!,17,0))),"")</f>
        <v/>
      </c>
    </row>
    <row r="113" spans="9:9" ht="12.75" customHeight="1" x14ac:dyDescent="0.2">
      <c r="I113" s="33" t="str">
        <f>IFERROR(IF(A113="CBLO",VLOOKUP($A$1&amp;A113,#REF!,23,0),IF(VLOOKUP($C113,#REF!,17,0)="","",VLOOKUP(C113,#REF!,17,0))),"")</f>
        <v/>
      </c>
    </row>
    <row r="114" spans="9:9" ht="12.75" customHeight="1" x14ac:dyDescent="0.2">
      <c r="I114" s="33" t="str">
        <f>IFERROR(IF(A114="CBLO",VLOOKUP($A$1&amp;A114,#REF!,23,0),IF(VLOOKUP($C114,#REF!,17,0)="","",VLOOKUP(C114,#REF!,17,0))),"")</f>
        <v/>
      </c>
    </row>
    <row r="115" spans="9:9" ht="12.75" customHeight="1" x14ac:dyDescent="0.2">
      <c r="I115" s="33" t="str">
        <f>IFERROR(IF(A115="CBLO",VLOOKUP($A$1&amp;A115,#REF!,23,0),IF(VLOOKUP($C115,#REF!,17,0)="","",VLOOKUP(C115,#REF!,17,0))),"")</f>
        <v/>
      </c>
    </row>
    <row r="116" spans="9:9" ht="12.75" customHeight="1" x14ac:dyDescent="0.2">
      <c r="I116" s="33" t="str">
        <f>IFERROR(IF(A116="CBLO",VLOOKUP($A$1&amp;A116,#REF!,23,0),IF(VLOOKUP($C116,#REF!,17,0)="","",VLOOKUP(C116,#REF!,17,0))),"")</f>
        <v/>
      </c>
    </row>
    <row r="117" spans="9:9" ht="12.75" customHeight="1" x14ac:dyDescent="0.2"/>
    <row r="118" spans="9:9" ht="12.75" customHeight="1" x14ac:dyDescent="0.2"/>
    <row r="119" spans="9:9" ht="12.75" customHeight="1" x14ac:dyDescent="0.2"/>
    <row r="120" spans="9:9" ht="12.75" customHeight="1" x14ac:dyDescent="0.2">
      <c r="I120" s="33" t="str">
        <f>IFERROR(IF(A120="CBLO",VLOOKUP($A$1&amp;A120,#REF!,23,0),IF(VLOOKUP($C120,#REF!,17,0)="","",VLOOKUP(C120,#REF!,17,0))),"")</f>
        <v/>
      </c>
    </row>
    <row r="121" spans="9:9" ht="12.75" customHeight="1" x14ac:dyDescent="0.2"/>
    <row r="122" spans="9:9" ht="12.75" customHeight="1" x14ac:dyDescent="0.2"/>
    <row r="123" spans="9:9" ht="12.75" customHeight="1" x14ac:dyDescent="0.2"/>
    <row r="124" spans="9:9" x14ac:dyDescent="0.2">
      <c r="I124" s="33" t="str">
        <f>IFERROR(IF(A124="CBLO",VLOOKUP($A$1&amp;A124,#REF!,23,0),IF(VLOOKUP($C124,#REF!,17,0)="","",VLOOKUP(C124,#REF!,17,0))),"")</f>
        <v/>
      </c>
    </row>
    <row r="125" spans="9:9" x14ac:dyDescent="0.2">
      <c r="I125" s="33" t="str">
        <f>IFERROR(IF(A125="CBLO",VLOOKUP($A$1&amp;A125,#REF!,23,0),IF(VLOOKUP($C125,#REF!,17,0)="","",VLOOKUP(C125,#REF!,17,0))),"")</f>
        <v/>
      </c>
    </row>
    <row r="130" spans="9:9" x14ac:dyDescent="0.2">
      <c r="I130" s="33" t="str">
        <f>IFERROR(IF(A130="CBLO",VLOOKUP($A$1&amp;A130,#REF!,23,0),IF(VLOOKUP($C130,#REF!,17,0)="","",VLOOKUP(C130,#REF!,17,0))),"")</f>
        <v/>
      </c>
    </row>
    <row r="131" spans="9:9" x14ac:dyDescent="0.2">
      <c r="I131" s="33" t="str">
        <f>IFERROR(IF(A131="CBLO",VLOOKUP($A$1&amp;A131,#REF!,23,0),IF(VLOOKUP($C131,#REF!,17,0)="","",VLOOKUP(C131,#REF!,17,0))),"")</f>
        <v/>
      </c>
    </row>
    <row r="135" spans="9:9" x14ac:dyDescent="0.2">
      <c r="I135" s="33" t="str">
        <f>IFERROR(IF(A135="CBLO",VLOOKUP($A$1&amp;A135,#REF!,23,0),IF(VLOOKUP($C135,#REF!,17,0)="","",VLOOKUP(C135,#REF!,17,0))),"")</f>
        <v/>
      </c>
    </row>
    <row r="139" spans="9:9" x14ac:dyDescent="0.2">
      <c r="I139" s="33" t="str">
        <f>IFERROR(IF(A139="CBLO",VLOOKUP($A$1&amp;A139,#REF!,23,0),IF(VLOOKUP($C139,#REF!,17,0)="","",VLOOKUP(C139,#REF!,17,0))),"")</f>
        <v/>
      </c>
    </row>
  </sheetData>
  <sheetProtection password="EDB3" sheet="1" objects="1" scenarios="1"/>
  <sortState ref="J8:K23">
    <sortCondition descending="1" ref="K10:K25"/>
  </sortState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69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  <col min="18" max="18" width="16.7109375" bestFit="1" customWidth="1"/>
  </cols>
  <sheetData>
    <row r="1" spans="1:17" ht="18.75" x14ac:dyDescent="0.2">
      <c r="A1" s="94" t="s">
        <v>377</v>
      </c>
      <c r="B1" s="127" t="s">
        <v>160</v>
      </c>
      <c r="C1" s="128"/>
      <c r="D1" s="128"/>
      <c r="E1" s="128"/>
      <c r="F1" s="128"/>
      <c r="G1" s="128"/>
      <c r="H1" s="128"/>
      <c r="I1" s="129"/>
    </row>
    <row r="2" spans="1:17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124" t="s">
        <v>725</v>
      </c>
      <c r="I4" s="32" t="s">
        <v>7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9</v>
      </c>
      <c r="C7" s="16"/>
      <c r="F7" s="13"/>
      <c r="G7" s="14"/>
      <c r="H7" s="14"/>
      <c r="I7" s="15"/>
    </row>
    <row r="8" spans="1:17" ht="12.75" customHeight="1" x14ac:dyDescent="0.2">
      <c r="B8" s="16" t="s">
        <v>406</v>
      </c>
      <c r="C8" s="16"/>
      <c r="F8" s="13"/>
      <c r="G8" s="14"/>
      <c r="H8" s="14"/>
      <c r="I8" s="60"/>
      <c r="K8" s="17" t="s">
        <v>4</v>
      </c>
      <c r="L8" s="102" t="s">
        <v>12</v>
      </c>
      <c r="Q8" s="65"/>
    </row>
    <row r="9" spans="1:17" s="65" customFormat="1" ht="12.75" customHeight="1" x14ac:dyDescent="0.2">
      <c r="A9" s="77">
        <f>+MAX($A$8:A8)+1</f>
        <v>1</v>
      </c>
      <c r="B9" s="77" t="s">
        <v>225</v>
      </c>
      <c r="C9" s="65" t="s">
        <v>71</v>
      </c>
      <c r="D9" s="77" t="s">
        <v>28</v>
      </c>
      <c r="E9" s="74">
        <v>25425</v>
      </c>
      <c r="F9" s="80">
        <v>360.14512500000001</v>
      </c>
      <c r="G9" s="76">
        <f t="shared" ref="G9:G43" si="0">+ROUND(F9/VLOOKUP("Grand Total",$B$4:$F$299,5,0),4)</f>
        <v>0.02</v>
      </c>
      <c r="H9" s="76"/>
      <c r="I9" s="91" t="s">
        <v>371</v>
      </c>
      <c r="J9" s="101"/>
      <c r="K9" s="14" t="s">
        <v>24</v>
      </c>
      <c r="L9" s="103">
        <f t="shared" ref="L9:L35" si="1">SUMIFS($G$5:$G$315,$D$5:$D$315,K9)</f>
        <v>0.1027</v>
      </c>
    </row>
    <row r="10" spans="1:17" s="65" customFormat="1" ht="12.75" customHeight="1" x14ac:dyDescent="0.2">
      <c r="A10" s="77">
        <f>+MAX($A$8:A9)+1</f>
        <v>2</v>
      </c>
      <c r="B10" s="77" t="s">
        <v>231</v>
      </c>
      <c r="C10" s="77" t="s">
        <v>78</v>
      </c>
      <c r="D10" s="77" t="s">
        <v>26</v>
      </c>
      <c r="E10" s="74">
        <v>9750</v>
      </c>
      <c r="F10" s="80">
        <v>320.346</v>
      </c>
      <c r="G10" s="76">
        <f t="shared" si="0"/>
        <v>1.78E-2</v>
      </c>
      <c r="H10" s="76"/>
      <c r="I10" s="91" t="s">
        <v>371</v>
      </c>
      <c r="J10" s="101"/>
      <c r="K10" s="14" t="s">
        <v>20</v>
      </c>
      <c r="L10" s="103">
        <f t="shared" si="1"/>
        <v>9.6700000000000008E-2</v>
      </c>
    </row>
    <row r="11" spans="1:17" s="65" customFormat="1" ht="12.75" customHeight="1" x14ac:dyDescent="0.2">
      <c r="A11" s="77">
        <f>+MAX($A$8:A10)+1</f>
        <v>3</v>
      </c>
      <c r="B11" s="77" t="s">
        <v>191</v>
      </c>
      <c r="C11" s="65" t="s">
        <v>13</v>
      </c>
      <c r="D11" s="77" t="s">
        <v>10</v>
      </c>
      <c r="E11" s="74">
        <v>15401</v>
      </c>
      <c r="F11" s="80">
        <v>308.89785699999999</v>
      </c>
      <c r="G11" s="76">
        <f t="shared" si="0"/>
        <v>1.72E-2</v>
      </c>
      <c r="H11" s="76"/>
      <c r="I11" s="91" t="s">
        <v>371</v>
      </c>
      <c r="J11" s="101"/>
      <c r="K11" s="14" t="s">
        <v>30</v>
      </c>
      <c r="L11" s="103">
        <f t="shared" si="1"/>
        <v>7.9399999999999998E-2</v>
      </c>
    </row>
    <row r="12" spans="1:17" s="65" customFormat="1" ht="12.75" customHeight="1" x14ac:dyDescent="0.2">
      <c r="A12" s="77">
        <f>+MAX($A$8:A11)+1</f>
        <v>4</v>
      </c>
      <c r="B12" s="77" t="s">
        <v>228</v>
      </c>
      <c r="C12" s="65" t="s">
        <v>79</v>
      </c>
      <c r="D12" s="77" t="s">
        <v>51</v>
      </c>
      <c r="E12" s="74">
        <v>95507</v>
      </c>
      <c r="F12" s="80">
        <v>286.09121850000002</v>
      </c>
      <c r="G12" s="76">
        <f t="shared" si="0"/>
        <v>1.5900000000000001E-2</v>
      </c>
      <c r="H12" s="76"/>
      <c r="I12" s="91" t="s">
        <v>371</v>
      </c>
      <c r="J12" s="101"/>
      <c r="K12" s="90" t="s">
        <v>10</v>
      </c>
      <c r="L12" s="103">
        <f t="shared" si="1"/>
        <v>7.039999999999999E-2</v>
      </c>
    </row>
    <row r="13" spans="1:17" s="65" customFormat="1" ht="12.75" customHeight="1" x14ac:dyDescent="0.2">
      <c r="A13" s="77">
        <f>+MAX($A$8:A12)+1</f>
        <v>5</v>
      </c>
      <c r="B13" s="77" t="s">
        <v>194</v>
      </c>
      <c r="C13" s="65" t="s">
        <v>11</v>
      </c>
      <c r="D13" s="77" t="s">
        <v>10</v>
      </c>
      <c r="E13" s="74">
        <v>78800</v>
      </c>
      <c r="F13" s="80">
        <v>278.12459999999999</v>
      </c>
      <c r="G13" s="76">
        <f t="shared" si="0"/>
        <v>1.55E-2</v>
      </c>
      <c r="H13" s="76"/>
      <c r="I13" s="91" t="s">
        <v>371</v>
      </c>
      <c r="J13" s="101"/>
      <c r="K13" s="90" t="s">
        <v>26</v>
      </c>
      <c r="L13" s="103">
        <f t="shared" si="1"/>
        <v>6.4399999999999999E-2</v>
      </c>
    </row>
    <row r="14" spans="1:17" s="65" customFormat="1" ht="12.75" customHeight="1" x14ac:dyDescent="0.2">
      <c r="A14" s="77">
        <f>+MAX($A$8:A13)+1</f>
        <v>6</v>
      </c>
      <c r="B14" s="77" t="s">
        <v>585</v>
      </c>
      <c r="C14" s="65" t="s">
        <v>586</v>
      </c>
      <c r="D14" s="77" t="s">
        <v>36</v>
      </c>
      <c r="E14" s="74">
        <v>303000</v>
      </c>
      <c r="F14" s="80">
        <v>269.67</v>
      </c>
      <c r="G14" s="76">
        <f t="shared" si="0"/>
        <v>1.4999999999999999E-2</v>
      </c>
      <c r="H14" s="76"/>
      <c r="I14" s="91" t="s">
        <v>371</v>
      </c>
      <c r="J14" s="101"/>
      <c r="K14" s="14" t="s">
        <v>22</v>
      </c>
      <c r="L14" s="103">
        <f t="shared" si="1"/>
        <v>5.33E-2</v>
      </c>
    </row>
    <row r="15" spans="1:17" s="65" customFormat="1" ht="12.75" customHeight="1" x14ac:dyDescent="0.2">
      <c r="A15" s="77">
        <f>+MAX($A$8:A14)+1</f>
        <v>7</v>
      </c>
      <c r="B15" s="77" t="s">
        <v>209</v>
      </c>
      <c r="C15" s="65" t="s">
        <v>49</v>
      </c>
      <c r="D15" s="77" t="s">
        <v>20</v>
      </c>
      <c r="E15" s="74">
        <v>2600</v>
      </c>
      <c r="F15" s="80">
        <v>247.25220000000004</v>
      </c>
      <c r="G15" s="76">
        <f t="shared" si="0"/>
        <v>1.37E-2</v>
      </c>
      <c r="H15" s="76"/>
      <c r="I15" s="91" t="s">
        <v>371</v>
      </c>
      <c r="J15" s="101"/>
      <c r="K15" s="14" t="s">
        <v>36</v>
      </c>
      <c r="L15" s="103">
        <f t="shared" si="1"/>
        <v>5.2899999999999996E-2</v>
      </c>
    </row>
    <row r="16" spans="1:17" s="65" customFormat="1" ht="12.75" customHeight="1" x14ac:dyDescent="0.2">
      <c r="A16" s="77">
        <f>+MAX($A$8:A15)+1</f>
        <v>8</v>
      </c>
      <c r="B16" s="77" t="s">
        <v>250</v>
      </c>
      <c r="C16" s="65" t="s">
        <v>115</v>
      </c>
      <c r="D16" s="77" t="s">
        <v>36</v>
      </c>
      <c r="E16" s="74">
        <v>142500</v>
      </c>
      <c r="F16" s="80">
        <v>242.60624999999999</v>
      </c>
      <c r="G16" s="76">
        <f t="shared" si="0"/>
        <v>1.35E-2</v>
      </c>
      <c r="H16" s="76"/>
      <c r="I16" s="91" t="s">
        <v>371</v>
      </c>
      <c r="J16" s="101"/>
      <c r="K16" s="14" t="s">
        <v>14</v>
      </c>
      <c r="L16" s="103">
        <f t="shared" si="1"/>
        <v>3.9E-2</v>
      </c>
    </row>
    <row r="17" spans="1:12" s="65" customFormat="1" ht="12.75" customHeight="1" x14ac:dyDescent="0.2">
      <c r="A17" s="77">
        <f>+MAX($A$8:A16)+1</f>
        <v>9</v>
      </c>
      <c r="B17" s="77" t="s">
        <v>16</v>
      </c>
      <c r="C17" s="65" t="s">
        <v>17</v>
      </c>
      <c r="D17" s="77" t="s">
        <v>10</v>
      </c>
      <c r="E17" s="74">
        <v>72731</v>
      </c>
      <c r="F17" s="80">
        <v>227.8298575</v>
      </c>
      <c r="G17" s="76">
        <f t="shared" si="0"/>
        <v>1.2699999999999999E-2</v>
      </c>
      <c r="H17" s="76"/>
      <c r="I17" s="91" t="s">
        <v>371</v>
      </c>
      <c r="J17" s="101"/>
      <c r="K17" s="65" t="s">
        <v>18</v>
      </c>
      <c r="L17" s="103">
        <f t="shared" si="1"/>
        <v>3.8800000000000001E-2</v>
      </c>
    </row>
    <row r="18" spans="1:12" s="65" customFormat="1" ht="12.75" customHeight="1" x14ac:dyDescent="0.2">
      <c r="A18" s="77">
        <f>+MAX($A$8:A17)+1</f>
        <v>10</v>
      </c>
      <c r="B18" s="77" t="s">
        <v>192</v>
      </c>
      <c r="C18" s="65" t="s">
        <v>15</v>
      </c>
      <c r="D18" s="77" t="s">
        <v>14</v>
      </c>
      <c r="E18" s="74">
        <v>18800</v>
      </c>
      <c r="F18" s="80">
        <v>216.24700000000001</v>
      </c>
      <c r="G18" s="76">
        <f t="shared" si="0"/>
        <v>1.2E-2</v>
      </c>
      <c r="H18" s="76"/>
      <c r="I18" s="91" t="s">
        <v>371</v>
      </c>
      <c r="J18" s="101"/>
      <c r="K18" s="14" t="s">
        <v>578</v>
      </c>
      <c r="L18" s="103">
        <f t="shared" si="1"/>
        <v>3.7699999999999997E-2</v>
      </c>
    </row>
    <row r="19" spans="1:12" s="65" customFormat="1" ht="12.75" customHeight="1" x14ac:dyDescent="0.2">
      <c r="A19" s="77">
        <f>+MAX($A$8:A18)+1</f>
        <v>11</v>
      </c>
      <c r="B19" s="77" t="s">
        <v>216</v>
      </c>
      <c r="C19" s="65" t="s">
        <v>19</v>
      </c>
      <c r="D19" s="77" t="s">
        <v>14</v>
      </c>
      <c r="E19" s="74">
        <v>6945</v>
      </c>
      <c r="F19" s="80">
        <v>216.15270749999999</v>
      </c>
      <c r="G19" s="76">
        <f t="shared" si="0"/>
        <v>1.2E-2</v>
      </c>
      <c r="H19" s="76"/>
      <c r="I19" s="91" t="s">
        <v>371</v>
      </c>
      <c r="J19" s="101"/>
      <c r="K19" s="14" t="s">
        <v>403</v>
      </c>
      <c r="L19" s="103">
        <f t="shared" si="1"/>
        <v>3.1799999999999995E-2</v>
      </c>
    </row>
    <row r="20" spans="1:12" s="65" customFormat="1" ht="12.75" customHeight="1" x14ac:dyDescent="0.2">
      <c r="A20" s="77">
        <f>+MAX($A$8:A19)+1</f>
        <v>12</v>
      </c>
      <c r="B20" s="77" t="s">
        <v>201</v>
      </c>
      <c r="C20" s="65" t="s">
        <v>46</v>
      </c>
      <c r="D20" s="77" t="s">
        <v>26</v>
      </c>
      <c r="E20" s="74">
        <v>74283</v>
      </c>
      <c r="F20" s="80">
        <v>201.604062</v>
      </c>
      <c r="G20" s="76">
        <f t="shared" si="0"/>
        <v>1.12E-2</v>
      </c>
      <c r="H20" s="76"/>
      <c r="I20" s="91" t="s">
        <v>371</v>
      </c>
      <c r="J20" s="101"/>
      <c r="K20" s="14" t="s">
        <v>450</v>
      </c>
      <c r="L20" s="103">
        <f t="shared" si="1"/>
        <v>2.1999999999999999E-2</v>
      </c>
    </row>
    <row r="21" spans="1:12" s="65" customFormat="1" ht="12.75" customHeight="1" x14ac:dyDescent="0.2">
      <c r="A21" s="77">
        <f>+MAX($A$8:A20)+1</f>
        <v>13</v>
      </c>
      <c r="B21" s="77" t="s">
        <v>248</v>
      </c>
      <c r="C21" s="65" t="s">
        <v>112</v>
      </c>
      <c r="D21" s="77" t="s">
        <v>20</v>
      </c>
      <c r="E21" s="74">
        <v>5412</v>
      </c>
      <c r="F21" s="80">
        <v>199.781274</v>
      </c>
      <c r="G21" s="76">
        <f t="shared" si="0"/>
        <v>1.11E-2</v>
      </c>
      <c r="H21" s="76"/>
      <c r="I21" s="91" t="s">
        <v>371</v>
      </c>
      <c r="J21" s="101"/>
      <c r="K21" s="90" t="s">
        <v>28</v>
      </c>
      <c r="L21" s="103">
        <f t="shared" si="1"/>
        <v>0.02</v>
      </c>
    </row>
    <row r="22" spans="1:12" s="65" customFormat="1" ht="12.75" customHeight="1" x14ac:dyDescent="0.2">
      <c r="A22" s="77">
        <f>+MAX($A$8:A21)+1</f>
        <v>14</v>
      </c>
      <c r="B22" s="77" t="s">
        <v>215</v>
      </c>
      <c r="C22" s="65" t="s">
        <v>61</v>
      </c>
      <c r="D22" s="77" t="s">
        <v>22</v>
      </c>
      <c r="E22" s="74">
        <v>31505</v>
      </c>
      <c r="F22" s="80">
        <v>198.33972750000001</v>
      </c>
      <c r="G22" s="76">
        <f t="shared" si="0"/>
        <v>1.0999999999999999E-2</v>
      </c>
      <c r="H22" s="76"/>
      <c r="I22" s="91" t="s">
        <v>371</v>
      </c>
      <c r="J22" s="101"/>
      <c r="K22" s="14" t="s">
        <v>319</v>
      </c>
      <c r="L22" s="103">
        <f t="shared" si="1"/>
        <v>1.8800000000000001E-2</v>
      </c>
    </row>
    <row r="23" spans="1:12" s="65" customFormat="1" ht="12.75" customHeight="1" x14ac:dyDescent="0.2">
      <c r="A23" s="77">
        <f>+MAX($A$8:A22)+1</f>
        <v>15</v>
      </c>
      <c r="B23" s="77" t="s">
        <v>203</v>
      </c>
      <c r="C23" s="65" t="s">
        <v>48</v>
      </c>
      <c r="D23" s="77" t="s">
        <v>26</v>
      </c>
      <c r="E23" s="74">
        <v>4131</v>
      </c>
      <c r="F23" s="80">
        <v>193.50223649999998</v>
      </c>
      <c r="G23" s="76">
        <f t="shared" si="0"/>
        <v>1.0699999999999999E-2</v>
      </c>
      <c r="H23" s="76"/>
      <c r="I23" s="91" t="s">
        <v>371</v>
      </c>
      <c r="J23" s="101"/>
      <c r="K23" s="14" t="s">
        <v>535</v>
      </c>
      <c r="L23" s="103">
        <f t="shared" si="1"/>
        <v>1.84E-2</v>
      </c>
    </row>
    <row r="24" spans="1:12" s="65" customFormat="1" ht="12.75" customHeight="1" x14ac:dyDescent="0.2">
      <c r="A24" s="77">
        <f>+MAX($A$8:A23)+1</f>
        <v>16</v>
      </c>
      <c r="B24" s="77" t="s">
        <v>197</v>
      </c>
      <c r="C24" s="65" t="s">
        <v>27</v>
      </c>
      <c r="D24" s="77" t="s">
        <v>24</v>
      </c>
      <c r="E24" s="74">
        <v>9566</v>
      </c>
      <c r="F24" s="80">
        <v>187.139658</v>
      </c>
      <c r="G24" s="76">
        <f t="shared" si="0"/>
        <v>1.04E-2</v>
      </c>
      <c r="H24" s="76"/>
      <c r="I24" s="91" t="s">
        <v>371</v>
      </c>
      <c r="J24" s="101"/>
      <c r="K24" s="14" t="s">
        <v>362</v>
      </c>
      <c r="L24" s="103">
        <f t="shared" si="1"/>
        <v>1.7899999999999999E-2</v>
      </c>
    </row>
    <row r="25" spans="1:12" s="65" customFormat="1" ht="12.75" customHeight="1" x14ac:dyDescent="0.2">
      <c r="A25" s="77">
        <f>+MAX($A$8:A24)+1</f>
        <v>17</v>
      </c>
      <c r="B25" s="77" t="s">
        <v>587</v>
      </c>
      <c r="C25" s="65" t="s">
        <v>588</v>
      </c>
      <c r="D25" s="77" t="s">
        <v>26</v>
      </c>
      <c r="E25" s="74">
        <v>2758</v>
      </c>
      <c r="F25" s="80">
        <v>183.20428699999999</v>
      </c>
      <c r="G25" s="76">
        <f t="shared" si="0"/>
        <v>1.0200000000000001E-2</v>
      </c>
      <c r="H25" s="76"/>
      <c r="I25" s="91" t="s">
        <v>371</v>
      </c>
      <c r="J25" s="101"/>
      <c r="K25" s="14" t="s">
        <v>174</v>
      </c>
      <c r="L25" s="103">
        <f t="shared" si="1"/>
        <v>1.67E-2</v>
      </c>
    </row>
    <row r="26" spans="1:12" s="65" customFormat="1" ht="12.75" customHeight="1" x14ac:dyDescent="0.2">
      <c r="A26" s="77">
        <f>+MAX($A$8:A25)+1</f>
        <v>18</v>
      </c>
      <c r="B26" s="77" t="s">
        <v>196</v>
      </c>
      <c r="C26" s="65" t="s">
        <v>25</v>
      </c>
      <c r="D26" s="77" t="s">
        <v>14</v>
      </c>
      <c r="E26" s="74">
        <v>18395</v>
      </c>
      <c r="F26" s="80">
        <v>181.47587250000001</v>
      </c>
      <c r="G26" s="76">
        <f t="shared" si="0"/>
        <v>1.01E-2</v>
      </c>
      <c r="H26" s="76"/>
      <c r="I26" s="91" t="s">
        <v>371</v>
      </c>
      <c r="J26" s="101"/>
      <c r="K26" s="65" t="s">
        <v>290</v>
      </c>
      <c r="L26" s="103">
        <f t="shared" si="1"/>
        <v>1.66E-2</v>
      </c>
    </row>
    <row r="27" spans="1:12" s="65" customFormat="1" ht="12.75" customHeight="1" x14ac:dyDescent="0.2">
      <c r="A27" s="77">
        <f>+MAX($A$8:A26)+1</f>
        <v>19</v>
      </c>
      <c r="B27" s="77" t="s">
        <v>247</v>
      </c>
      <c r="C27" s="65" t="s">
        <v>114</v>
      </c>
      <c r="D27" s="77" t="s">
        <v>36</v>
      </c>
      <c r="E27" s="74">
        <v>93429</v>
      </c>
      <c r="F27" s="80">
        <v>181.06540200000001</v>
      </c>
      <c r="G27" s="76">
        <f t="shared" si="0"/>
        <v>1.01E-2</v>
      </c>
      <c r="H27" s="76"/>
      <c r="I27" s="91" t="s">
        <v>371</v>
      </c>
      <c r="J27" s="101"/>
      <c r="K27" s="14" t="s">
        <v>292</v>
      </c>
      <c r="L27" s="103">
        <f t="shared" si="1"/>
        <v>1.66E-2</v>
      </c>
    </row>
    <row r="28" spans="1:12" s="65" customFormat="1" ht="12.75" customHeight="1" x14ac:dyDescent="0.2">
      <c r="A28" s="77">
        <f>+MAX($A$8:A27)+1</f>
        <v>20</v>
      </c>
      <c r="B28" s="77" t="s">
        <v>212</v>
      </c>
      <c r="C28" s="65" t="s">
        <v>98</v>
      </c>
      <c r="D28" s="77" t="s">
        <v>10</v>
      </c>
      <c r="E28" s="74">
        <v>15219</v>
      </c>
      <c r="F28" s="80">
        <v>168.77110050000002</v>
      </c>
      <c r="G28" s="76">
        <f t="shared" si="0"/>
        <v>9.4000000000000004E-3</v>
      </c>
      <c r="H28" s="76"/>
      <c r="I28" s="91" t="s">
        <v>371</v>
      </c>
      <c r="J28" s="101"/>
      <c r="K28" s="65" t="s">
        <v>51</v>
      </c>
      <c r="L28" s="103">
        <f t="shared" si="1"/>
        <v>1.5900000000000001E-2</v>
      </c>
    </row>
    <row r="29" spans="1:12" s="65" customFormat="1" ht="12.75" customHeight="1" x14ac:dyDescent="0.2">
      <c r="A29" s="77">
        <f>+MAX($A$8:A28)+1</f>
        <v>21</v>
      </c>
      <c r="B29" s="77" t="s">
        <v>239</v>
      </c>
      <c r="C29" s="65" t="s">
        <v>101</v>
      </c>
      <c r="D29" s="77" t="s">
        <v>26</v>
      </c>
      <c r="E29" s="74">
        <v>12321</v>
      </c>
      <c r="F29" s="80">
        <v>168.71761350000003</v>
      </c>
      <c r="G29" s="76">
        <f t="shared" si="0"/>
        <v>9.4000000000000004E-3</v>
      </c>
      <c r="H29" s="76"/>
      <c r="I29" s="91" t="s">
        <v>371</v>
      </c>
      <c r="J29" s="101"/>
      <c r="K29" s="90" t="s">
        <v>45</v>
      </c>
      <c r="L29" s="103">
        <f t="shared" si="1"/>
        <v>8.0000000000000002E-3</v>
      </c>
    </row>
    <row r="30" spans="1:12" s="65" customFormat="1" ht="12.75" customHeight="1" x14ac:dyDescent="0.2">
      <c r="A30" s="77">
        <f>+MAX($A$8:A29)+1</f>
        <v>22</v>
      </c>
      <c r="B30" s="77" t="s">
        <v>510</v>
      </c>
      <c r="C30" s="65" t="s">
        <v>511</v>
      </c>
      <c r="D30" s="77" t="s">
        <v>24</v>
      </c>
      <c r="E30" s="74">
        <v>36400</v>
      </c>
      <c r="F30" s="80">
        <v>168.714</v>
      </c>
      <c r="G30" s="76">
        <f t="shared" si="0"/>
        <v>9.4000000000000004E-3</v>
      </c>
      <c r="H30" s="76"/>
      <c r="I30" s="91" t="s">
        <v>371</v>
      </c>
      <c r="J30" s="101"/>
      <c r="K30" s="14" t="s">
        <v>102</v>
      </c>
      <c r="L30" s="103">
        <f t="shared" si="1"/>
        <v>6.1999999999999998E-3</v>
      </c>
    </row>
    <row r="31" spans="1:12" s="65" customFormat="1" ht="12.75" customHeight="1" x14ac:dyDescent="0.2">
      <c r="A31" s="77">
        <f>+MAX($A$8:A30)+1</f>
        <v>23</v>
      </c>
      <c r="B31" s="77" t="s">
        <v>193</v>
      </c>
      <c r="C31" s="77" t="s">
        <v>31</v>
      </c>
      <c r="D31" s="77" t="s">
        <v>30</v>
      </c>
      <c r="E31" s="74">
        <v>17130</v>
      </c>
      <c r="F31" s="80">
        <v>164.67069000000001</v>
      </c>
      <c r="G31" s="76">
        <f t="shared" si="0"/>
        <v>9.1000000000000004E-3</v>
      </c>
      <c r="H31" s="76"/>
      <c r="I31" s="91" t="s">
        <v>371</v>
      </c>
      <c r="J31" s="101"/>
      <c r="K31" s="14" t="s">
        <v>108</v>
      </c>
      <c r="L31" s="103">
        <f t="shared" si="1"/>
        <v>5.7000000000000002E-3</v>
      </c>
    </row>
    <row r="32" spans="1:12" s="65" customFormat="1" ht="12.75" customHeight="1" x14ac:dyDescent="0.2">
      <c r="A32" s="77">
        <f>+MAX($A$8:A31)+1</f>
        <v>24</v>
      </c>
      <c r="B32" s="77" t="s">
        <v>241</v>
      </c>
      <c r="C32" s="65" t="s">
        <v>103</v>
      </c>
      <c r="D32" s="77" t="s">
        <v>10</v>
      </c>
      <c r="E32" s="74">
        <v>8616</v>
      </c>
      <c r="F32" s="80">
        <v>151.04709600000001</v>
      </c>
      <c r="G32" s="76">
        <f t="shared" si="0"/>
        <v>8.3999999999999995E-3</v>
      </c>
      <c r="H32" s="76"/>
      <c r="I32" s="91" t="s">
        <v>371</v>
      </c>
      <c r="J32" s="101"/>
      <c r="K32" s="14" t="s">
        <v>34</v>
      </c>
      <c r="L32" s="103">
        <f t="shared" si="1"/>
        <v>5.4000000000000003E-3</v>
      </c>
    </row>
    <row r="33" spans="1:18" s="65" customFormat="1" ht="12.75" customHeight="1" x14ac:dyDescent="0.2">
      <c r="A33" s="77">
        <f>+MAX($A$8:A32)+1</f>
        <v>25</v>
      </c>
      <c r="B33" s="77" t="s">
        <v>260</v>
      </c>
      <c r="C33" s="65" t="s">
        <v>124</v>
      </c>
      <c r="D33" s="77" t="s">
        <v>45</v>
      </c>
      <c r="E33" s="74">
        <v>56553</v>
      </c>
      <c r="F33" s="80">
        <v>144.86050950000001</v>
      </c>
      <c r="G33" s="76">
        <f t="shared" si="0"/>
        <v>8.0000000000000002E-3</v>
      </c>
      <c r="H33" s="76"/>
      <c r="I33" s="91" t="s">
        <v>371</v>
      </c>
      <c r="J33" s="101"/>
      <c r="K33" s="14" t="s">
        <v>106</v>
      </c>
      <c r="L33" s="103">
        <f t="shared" si="1"/>
        <v>2.8999999999999998E-3</v>
      </c>
    </row>
    <row r="34" spans="1:18" s="65" customFormat="1" ht="12.75" customHeight="1" x14ac:dyDescent="0.2">
      <c r="A34" s="77">
        <f>+MAX($A$8:A33)+1</f>
        <v>26</v>
      </c>
      <c r="B34" s="77" t="s">
        <v>40</v>
      </c>
      <c r="C34" s="65" t="s">
        <v>42</v>
      </c>
      <c r="D34" s="77" t="s">
        <v>10</v>
      </c>
      <c r="E34" s="74">
        <v>82410</v>
      </c>
      <c r="F34" s="80">
        <v>129.21888000000001</v>
      </c>
      <c r="G34" s="76">
        <f t="shared" si="0"/>
        <v>7.1999999999999998E-3</v>
      </c>
      <c r="H34" s="76"/>
      <c r="I34" s="91" t="s">
        <v>371</v>
      </c>
      <c r="J34" s="101"/>
      <c r="K34" s="14" t="s">
        <v>37</v>
      </c>
      <c r="L34" s="103">
        <f t="shared" si="1"/>
        <v>2E-3</v>
      </c>
    </row>
    <row r="35" spans="1:18" s="65" customFormat="1" ht="12.75" customHeight="1" x14ac:dyDescent="0.2">
      <c r="A35" s="77">
        <f>+MAX($A$8:A34)+1</f>
        <v>27</v>
      </c>
      <c r="B35" s="77" t="s">
        <v>253</v>
      </c>
      <c r="C35" s="65" t="s">
        <v>118</v>
      </c>
      <c r="D35" s="77" t="s">
        <v>102</v>
      </c>
      <c r="E35" s="74">
        <v>18945</v>
      </c>
      <c r="F35" s="80">
        <v>112.476465</v>
      </c>
      <c r="G35" s="76">
        <f t="shared" si="0"/>
        <v>6.1999999999999998E-3</v>
      </c>
      <c r="H35" s="76"/>
      <c r="I35" s="91" t="s">
        <v>371</v>
      </c>
      <c r="J35" s="101"/>
      <c r="K35" s="14" t="s">
        <v>322</v>
      </c>
      <c r="L35" s="103">
        <f t="shared" si="1"/>
        <v>0</v>
      </c>
    </row>
    <row r="36" spans="1:18" s="65" customFormat="1" ht="12.75" customHeight="1" x14ac:dyDescent="0.2">
      <c r="A36" s="77">
        <f>+MAX($A$8:A35)+1</f>
        <v>28</v>
      </c>
      <c r="B36" s="77" t="s">
        <v>204</v>
      </c>
      <c r="C36" s="65" t="s">
        <v>53</v>
      </c>
      <c r="D36" s="77" t="s">
        <v>18</v>
      </c>
      <c r="E36" s="74">
        <v>2526</v>
      </c>
      <c r="F36" s="80">
        <v>110.68932</v>
      </c>
      <c r="G36" s="76">
        <f t="shared" si="0"/>
        <v>6.1000000000000004E-3</v>
      </c>
      <c r="H36" s="76"/>
      <c r="I36" s="91" t="s">
        <v>371</v>
      </c>
      <c r="J36" s="101"/>
      <c r="K36" s="14" t="s">
        <v>64</v>
      </c>
      <c r="L36" s="48">
        <f>+SUMIFS($G$5:$G$997,$B$5:$B$997,"CBLO / Reverse Repo Investments")+SUMIFS($G$5:$G$997,$B$5:$B$997,"Net Receivable/Payable")</f>
        <v>0.13980000000000001</v>
      </c>
    </row>
    <row r="37" spans="1:18" s="65" customFormat="1" ht="12.75" customHeight="1" x14ac:dyDescent="0.2">
      <c r="A37" s="77">
        <f>+MAX($A$8:A36)+1</f>
        <v>29</v>
      </c>
      <c r="B37" s="77" t="s">
        <v>673</v>
      </c>
      <c r="C37" s="65" t="s">
        <v>128</v>
      </c>
      <c r="D37" s="77" t="s">
        <v>18</v>
      </c>
      <c r="E37" s="74">
        <v>642</v>
      </c>
      <c r="F37" s="80">
        <v>110.464446</v>
      </c>
      <c r="G37" s="76">
        <f t="shared" si="0"/>
        <v>6.1000000000000004E-3</v>
      </c>
      <c r="H37" s="76"/>
      <c r="I37" s="91" t="s">
        <v>371</v>
      </c>
      <c r="J37" s="101"/>
      <c r="K37" s="14"/>
      <c r="L37" s="103"/>
    </row>
    <row r="38" spans="1:18" s="65" customFormat="1" ht="12.75" customHeight="1" x14ac:dyDescent="0.2">
      <c r="A38" s="77">
        <f>+MAX($A$8:A37)+1</f>
        <v>30</v>
      </c>
      <c r="B38" s="77" t="s">
        <v>261</v>
      </c>
      <c r="C38" s="65" t="s">
        <v>127</v>
      </c>
      <c r="D38" s="77" t="s">
        <v>22</v>
      </c>
      <c r="E38" s="74">
        <v>9900</v>
      </c>
      <c r="F38" s="80">
        <v>102.9006</v>
      </c>
      <c r="G38" s="76">
        <f t="shared" si="0"/>
        <v>5.7000000000000002E-3</v>
      </c>
      <c r="H38" s="76"/>
      <c r="I38" s="91" t="s">
        <v>371</v>
      </c>
      <c r="J38" s="101"/>
      <c r="K38" s="14"/>
      <c r="L38" s="103"/>
    </row>
    <row r="39" spans="1:18" s="65" customFormat="1" ht="12.75" customHeight="1" x14ac:dyDescent="0.2">
      <c r="A39" s="77">
        <f>+MAX($A$8:A38)+1</f>
        <v>31</v>
      </c>
      <c r="B39" s="77" t="s">
        <v>214</v>
      </c>
      <c r="C39" s="65" t="s">
        <v>65</v>
      </c>
      <c r="D39" s="77" t="s">
        <v>34</v>
      </c>
      <c r="E39" s="74">
        <v>22215</v>
      </c>
      <c r="F39" s="80">
        <v>97.712677499999998</v>
      </c>
      <c r="G39" s="76">
        <f t="shared" si="0"/>
        <v>5.4000000000000003E-3</v>
      </c>
      <c r="H39" s="76"/>
      <c r="I39" s="91" t="s">
        <v>371</v>
      </c>
      <c r="J39" s="101"/>
      <c r="K39" s="14"/>
      <c r="L39" s="103"/>
    </row>
    <row r="40" spans="1:18" s="65" customFormat="1" ht="12.75" customHeight="1" x14ac:dyDescent="0.2">
      <c r="A40" s="77">
        <f>+MAX($A$8:A39)+1</f>
        <v>32</v>
      </c>
      <c r="B40" s="77" t="s">
        <v>195</v>
      </c>
      <c r="C40" s="65" t="s">
        <v>21</v>
      </c>
      <c r="D40" s="77" t="s">
        <v>20</v>
      </c>
      <c r="E40" s="74">
        <v>23478</v>
      </c>
      <c r="F40" s="80">
        <v>93.794610000000006</v>
      </c>
      <c r="G40" s="76">
        <f t="shared" si="0"/>
        <v>5.1999999999999998E-3</v>
      </c>
      <c r="H40" s="76"/>
      <c r="I40" s="91" t="s">
        <v>371</v>
      </c>
      <c r="J40" s="101"/>
      <c r="K40" s="14"/>
      <c r="L40" s="103"/>
    </row>
    <row r="41" spans="1:18" s="65" customFormat="1" ht="12.75" customHeight="1" x14ac:dyDescent="0.2">
      <c r="A41" s="77">
        <f>+MAX($A$8:A40)+1</f>
        <v>33</v>
      </c>
      <c r="B41" s="77" t="s">
        <v>430</v>
      </c>
      <c r="C41" s="65" t="s">
        <v>68</v>
      </c>
      <c r="D41" s="77" t="s">
        <v>22</v>
      </c>
      <c r="E41" s="74">
        <v>15747</v>
      </c>
      <c r="F41" s="80">
        <v>91.316852999999995</v>
      </c>
      <c r="G41" s="76">
        <f t="shared" si="0"/>
        <v>5.1000000000000004E-3</v>
      </c>
      <c r="H41" s="76"/>
      <c r="I41" s="91" t="s">
        <v>371</v>
      </c>
      <c r="J41" s="101"/>
      <c r="K41" s="14"/>
      <c r="L41" s="103"/>
    </row>
    <row r="42" spans="1:18" s="65" customFormat="1" ht="12.75" customHeight="1" x14ac:dyDescent="0.2">
      <c r="A42" s="77">
        <f>+MAX($A$8:A41)+1</f>
        <v>34</v>
      </c>
      <c r="B42" s="77" t="s">
        <v>502</v>
      </c>
      <c r="C42" s="65" t="s">
        <v>503</v>
      </c>
      <c r="D42" s="77" t="s">
        <v>18</v>
      </c>
      <c r="E42" s="74">
        <v>5706</v>
      </c>
      <c r="F42" s="80">
        <v>66.192453</v>
      </c>
      <c r="G42" s="76">
        <f t="shared" si="0"/>
        <v>3.7000000000000002E-3</v>
      </c>
      <c r="H42" s="76"/>
      <c r="I42" s="91" t="s">
        <v>371</v>
      </c>
      <c r="J42" s="101"/>
      <c r="K42" s="14"/>
      <c r="L42" s="103"/>
    </row>
    <row r="43" spans="1:18" s="65" customFormat="1" ht="12.75" customHeight="1" x14ac:dyDescent="0.2">
      <c r="A43" s="77">
        <f>+MAX($A$8:A42)+1</f>
        <v>35</v>
      </c>
      <c r="B43" s="77" t="s">
        <v>434</v>
      </c>
      <c r="C43" s="65" t="s">
        <v>435</v>
      </c>
      <c r="D43" s="77" t="s">
        <v>106</v>
      </c>
      <c r="E43" s="74">
        <v>18012</v>
      </c>
      <c r="F43" s="80">
        <v>52.225794</v>
      </c>
      <c r="G43" s="76">
        <f t="shared" si="0"/>
        <v>2.8999999999999998E-3</v>
      </c>
      <c r="H43" s="76"/>
      <c r="I43" s="91" t="s">
        <v>371</v>
      </c>
      <c r="J43" s="101"/>
      <c r="K43" s="14"/>
      <c r="L43" s="103"/>
    </row>
    <row r="44" spans="1:18" ht="12.75" customHeight="1" x14ac:dyDescent="0.2">
      <c r="B44" s="18" t="s">
        <v>85</v>
      </c>
      <c r="C44" s="18"/>
      <c r="D44" s="18"/>
      <c r="E44" s="19"/>
      <c r="F44" s="19">
        <f>SUM(F9:F43)</f>
        <v>6433.2484429999995</v>
      </c>
      <c r="G44" s="20">
        <f>SUM(G9:G43)</f>
        <v>0.3574</v>
      </c>
      <c r="H44" s="20"/>
      <c r="I44" s="21"/>
    </row>
    <row r="45" spans="1:18" ht="12.75" customHeight="1" x14ac:dyDescent="0.2">
      <c r="F45" s="44"/>
      <c r="G45" s="14"/>
      <c r="H45" s="14"/>
      <c r="I45" s="15"/>
    </row>
    <row r="46" spans="1:18" s="65" customFormat="1" ht="12.75" customHeight="1" x14ac:dyDescent="0.2">
      <c r="A46"/>
      <c r="B46" s="16" t="s">
        <v>773</v>
      </c>
      <c r="C46" s="16"/>
      <c r="D46"/>
      <c r="E46" s="38"/>
      <c r="F46" s="44"/>
      <c r="G46" s="45"/>
      <c r="H46" s="45"/>
      <c r="I46" s="47"/>
      <c r="J46" s="77"/>
      <c r="L46" s="84"/>
      <c r="N46" s="75"/>
    </row>
    <row r="47" spans="1:18" s="65" customFormat="1" ht="12.75" customHeight="1" x14ac:dyDescent="0.2">
      <c r="A47" s="77">
        <f>+MAX($A$8:A46)+1</f>
        <v>36</v>
      </c>
      <c r="B47" s="77" t="s">
        <v>202</v>
      </c>
      <c r="C47" s="65" t="s">
        <v>44</v>
      </c>
      <c r="D47" s="77" t="s">
        <v>24</v>
      </c>
      <c r="E47" s="74">
        <v>237000</v>
      </c>
      <c r="F47" s="80">
        <v>1379.8140000000001</v>
      </c>
      <c r="G47" s="76">
        <f>+ROUND(F47/VLOOKUP("Grand Total",$B$4:$F$299,5,0),4)</f>
        <v>7.6700000000000004E-2</v>
      </c>
      <c r="H47" s="76"/>
      <c r="I47" s="91" t="s">
        <v>371</v>
      </c>
      <c r="J47" s="101"/>
      <c r="L47" s="103"/>
    </row>
    <row r="48" spans="1:18" s="77" customFormat="1" ht="12.75" customHeight="1" x14ac:dyDescent="0.2">
      <c r="A48" s="77">
        <f>+A47+1</f>
        <v>37</v>
      </c>
      <c r="B48" s="77" t="s">
        <v>202</v>
      </c>
      <c r="C48" s="121" t="s">
        <v>724</v>
      </c>
      <c r="D48" s="77" t="s">
        <v>322</v>
      </c>
      <c r="E48" s="74">
        <v>-237000</v>
      </c>
      <c r="F48" s="80">
        <v>-1386.8054999999999</v>
      </c>
      <c r="G48" s="130"/>
      <c r="H48" s="130">
        <f>+ROUND(F48/VLOOKUP("Grand Total",$B$4:$F$299,5,0),4)</f>
        <v>-7.6999999999999999E-2</v>
      </c>
      <c r="I48" s="104">
        <v>43153</v>
      </c>
      <c r="J48" s="101"/>
      <c r="L48" s="103"/>
      <c r="Q48" s="122"/>
      <c r="R48" s="122"/>
    </row>
    <row r="49" spans="1:18" s="65" customFormat="1" ht="12.75" customHeight="1" x14ac:dyDescent="0.2">
      <c r="A49" s="77">
        <f t="shared" ref="A49:A78" si="2">+A48+1</f>
        <v>38</v>
      </c>
      <c r="B49" s="77" t="s">
        <v>193</v>
      </c>
      <c r="C49" s="77" t="s">
        <v>31</v>
      </c>
      <c r="D49" s="77" t="s">
        <v>30</v>
      </c>
      <c r="E49" s="74">
        <v>113000</v>
      </c>
      <c r="F49" s="80">
        <v>1086.269</v>
      </c>
      <c r="G49" s="76">
        <f>+ROUND(F49/VLOOKUP("Grand Total",$B$4:$F$299,5,0),4)</f>
        <v>6.0299999999999999E-2</v>
      </c>
      <c r="H49" s="76"/>
      <c r="I49" s="91" t="s">
        <v>371</v>
      </c>
      <c r="J49" s="101"/>
      <c r="K49" s="90"/>
      <c r="L49" s="103"/>
    </row>
    <row r="50" spans="1:18" s="77" customFormat="1" ht="12.75" customHeight="1" x14ac:dyDescent="0.2">
      <c r="A50" s="77">
        <f t="shared" si="2"/>
        <v>39</v>
      </c>
      <c r="B50" s="77" t="s">
        <v>193</v>
      </c>
      <c r="C50" s="121" t="s">
        <v>724</v>
      </c>
      <c r="D50" s="77" t="s">
        <v>322</v>
      </c>
      <c r="E50" s="74">
        <v>-113000</v>
      </c>
      <c r="F50" s="80">
        <v>-1092.0319999999999</v>
      </c>
      <c r="G50" s="130"/>
      <c r="H50" s="130">
        <f>+ROUND(F50/VLOOKUP("Grand Total",$B$4:$F$299,5,0),4)</f>
        <v>-6.0699999999999997E-2</v>
      </c>
      <c r="I50" s="104">
        <v>43153</v>
      </c>
      <c r="J50" s="101"/>
      <c r="L50" s="103"/>
      <c r="Q50" s="122"/>
      <c r="R50" s="122"/>
    </row>
    <row r="51" spans="1:18" s="65" customFormat="1" ht="12.75" customHeight="1" x14ac:dyDescent="0.2">
      <c r="A51" s="77">
        <f t="shared" si="2"/>
        <v>40</v>
      </c>
      <c r="B51" s="77" t="s">
        <v>209</v>
      </c>
      <c r="C51" s="65" t="s">
        <v>49</v>
      </c>
      <c r="D51" s="77" t="s">
        <v>20</v>
      </c>
      <c r="E51" s="74">
        <v>6000</v>
      </c>
      <c r="F51" s="80">
        <v>570.58200000000011</v>
      </c>
      <c r="G51" s="76">
        <f>+ROUND(F51/VLOOKUP("Grand Total",$B$4:$F$299,5,0),4)</f>
        <v>3.1699999999999999E-2</v>
      </c>
      <c r="H51" s="76"/>
      <c r="I51" s="91" t="s">
        <v>371</v>
      </c>
      <c r="J51" s="101"/>
      <c r="K51" s="90"/>
      <c r="L51" s="103"/>
    </row>
    <row r="52" spans="1:18" s="77" customFormat="1" ht="12.75" customHeight="1" x14ac:dyDescent="0.2">
      <c r="A52" s="77">
        <f t="shared" si="2"/>
        <v>41</v>
      </c>
      <c r="B52" s="77" t="s">
        <v>209</v>
      </c>
      <c r="C52" s="121" t="s">
        <v>724</v>
      </c>
      <c r="D52" s="77" t="s">
        <v>322</v>
      </c>
      <c r="E52" s="74">
        <v>-6000</v>
      </c>
      <c r="F52" s="80">
        <v>-572.93700000000001</v>
      </c>
      <c r="G52" s="130"/>
      <c r="H52" s="130">
        <f>+ROUND(F52/VLOOKUP("Grand Total",$B$4:$F$299,5,0),4)</f>
        <v>-3.1800000000000002E-2</v>
      </c>
      <c r="I52" s="104">
        <v>43153</v>
      </c>
      <c r="J52" s="101"/>
      <c r="L52" s="103"/>
      <c r="Q52" s="122"/>
      <c r="R52" s="122"/>
    </row>
    <row r="53" spans="1:18" s="65" customFormat="1" ht="12.75" customHeight="1" x14ac:dyDescent="0.2">
      <c r="A53" s="77">
        <f t="shared" si="2"/>
        <v>42</v>
      </c>
      <c r="B53" s="77" t="s">
        <v>430</v>
      </c>
      <c r="C53" s="65" t="s">
        <v>68</v>
      </c>
      <c r="D53" s="77" t="s">
        <v>22</v>
      </c>
      <c r="E53" s="74">
        <v>97900</v>
      </c>
      <c r="F53" s="80">
        <v>567.72209999999995</v>
      </c>
      <c r="G53" s="76">
        <f>+ROUND(F53/VLOOKUP("Grand Total",$B$4:$F$299,5,0),4)</f>
        <v>3.15E-2</v>
      </c>
      <c r="H53" s="76"/>
      <c r="I53" s="91" t="s">
        <v>371</v>
      </c>
      <c r="J53" s="101"/>
      <c r="K53" s="90"/>
      <c r="L53" s="103"/>
    </row>
    <row r="54" spans="1:18" s="77" customFormat="1" ht="12.75" customHeight="1" x14ac:dyDescent="0.2">
      <c r="A54" s="77">
        <f t="shared" si="2"/>
        <v>43</v>
      </c>
      <c r="B54" s="77" t="s">
        <v>430</v>
      </c>
      <c r="C54" s="121" t="s">
        <v>724</v>
      </c>
      <c r="D54" s="77" t="s">
        <v>322</v>
      </c>
      <c r="E54" s="74">
        <v>-97900</v>
      </c>
      <c r="F54" s="80">
        <v>-568.84794999999997</v>
      </c>
      <c r="G54" s="130"/>
      <c r="H54" s="130">
        <f>+ROUND(F54/VLOOKUP("Grand Total",$B$4:$F$299,5,0),4)</f>
        <v>-3.1600000000000003E-2</v>
      </c>
      <c r="I54" s="104">
        <v>43153</v>
      </c>
      <c r="J54" s="101"/>
      <c r="L54" s="103"/>
      <c r="Q54" s="122"/>
      <c r="R54" s="122"/>
    </row>
    <row r="55" spans="1:18" s="65" customFormat="1" ht="12.75" customHeight="1" x14ac:dyDescent="0.2">
      <c r="A55" s="77">
        <f t="shared" si="2"/>
        <v>44</v>
      </c>
      <c r="B55" s="77" t="s">
        <v>200</v>
      </c>
      <c r="C55" s="65" t="s">
        <v>35</v>
      </c>
      <c r="D55" s="77" t="s">
        <v>18</v>
      </c>
      <c r="E55" s="74">
        <v>29700</v>
      </c>
      <c r="F55" s="80">
        <v>412.31025</v>
      </c>
      <c r="G55" s="76">
        <f>+ROUND(F55/VLOOKUP("Grand Total",$B$4:$F$299,5,0),4)</f>
        <v>2.29E-2</v>
      </c>
      <c r="H55" s="76"/>
      <c r="I55" s="91" t="s">
        <v>371</v>
      </c>
      <c r="J55" s="101"/>
      <c r="K55" s="90"/>
      <c r="L55" s="103"/>
    </row>
    <row r="56" spans="1:18" s="77" customFormat="1" ht="12.75" customHeight="1" x14ac:dyDescent="0.2">
      <c r="A56" s="77">
        <f t="shared" si="2"/>
        <v>45</v>
      </c>
      <c r="B56" s="77" t="s">
        <v>200</v>
      </c>
      <c r="C56" s="121" t="s">
        <v>724</v>
      </c>
      <c r="D56" s="77" t="s">
        <v>322</v>
      </c>
      <c r="E56" s="74">
        <v>-29700</v>
      </c>
      <c r="F56" s="80">
        <v>-413.58735000000001</v>
      </c>
      <c r="G56" s="130"/>
      <c r="H56" s="130">
        <f>+ROUND(F56/VLOOKUP("Grand Total",$B$4:$F$299,5,0),4)</f>
        <v>-2.3E-2</v>
      </c>
      <c r="I56" s="104">
        <v>43153</v>
      </c>
      <c r="J56" s="101"/>
      <c r="L56" s="103"/>
      <c r="Q56" s="122"/>
      <c r="R56" s="122"/>
    </row>
    <row r="57" spans="1:18" s="65" customFormat="1" ht="12.75" customHeight="1" x14ac:dyDescent="0.2">
      <c r="A57" s="77">
        <f t="shared" si="2"/>
        <v>46</v>
      </c>
      <c r="B57" s="77" t="s">
        <v>198</v>
      </c>
      <c r="C57" s="77" t="s">
        <v>39</v>
      </c>
      <c r="D57" s="77" t="s">
        <v>20</v>
      </c>
      <c r="E57" s="74">
        <v>9500</v>
      </c>
      <c r="F57" s="80">
        <v>317.02924999999999</v>
      </c>
      <c r="G57" s="76">
        <f>+ROUND(F57/VLOOKUP("Grand Total",$B$4:$F$299,5,0),4)</f>
        <v>1.7600000000000001E-2</v>
      </c>
      <c r="H57" s="76"/>
      <c r="I57" s="91" t="s">
        <v>371</v>
      </c>
      <c r="J57" s="101"/>
      <c r="L57" s="103"/>
    </row>
    <row r="58" spans="1:18" s="77" customFormat="1" ht="12.75" customHeight="1" x14ac:dyDescent="0.2">
      <c r="A58" s="77">
        <f t="shared" si="2"/>
        <v>47</v>
      </c>
      <c r="B58" s="77" t="s">
        <v>198</v>
      </c>
      <c r="C58" s="121" t="s">
        <v>724</v>
      </c>
      <c r="D58" s="77" t="s">
        <v>322</v>
      </c>
      <c r="E58" s="74">
        <v>-9500</v>
      </c>
      <c r="F58" s="80">
        <v>-317.97449999999998</v>
      </c>
      <c r="G58" s="130"/>
      <c r="H58" s="130">
        <f>+ROUND(F58/VLOOKUP("Grand Total",$B$4:$F$299,5,0),4)</f>
        <v>-1.77E-2</v>
      </c>
      <c r="I58" s="104">
        <v>43153</v>
      </c>
      <c r="J58" s="101"/>
      <c r="L58" s="103"/>
      <c r="Q58" s="122"/>
      <c r="R58" s="122"/>
    </row>
    <row r="59" spans="1:18" s="65" customFormat="1" ht="12.75" customHeight="1" x14ac:dyDescent="0.2">
      <c r="A59" s="77">
        <f t="shared" si="2"/>
        <v>48</v>
      </c>
      <c r="B59" s="77" t="s">
        <v>485</v>
      </c>
      <c r="C59" s="65" t="s">
        <v>486</v>
      </c>
      <c r="D59" s="77" t="s">
        <v>20</v>
      </c>
      <c r="E59" s="74">
        <v>24200</v>
      </c>
      <c r="F59" s="80">
        <v>196.4435</v>
      </c>
      <c r="G59" s="76">
        <f>+ROUND(F59/VLOOKUP("Grand Total",$B$4:$F$299,5,0),4)</f>
        <v>1.09E-2</v>
      </c>
      <c r="H59" s="76"/>
      <c r="I59" s="91" t="s">
        <v>371</v>
      </c>
      <c r="J59" s="101"/>
      <c r="L59" s="103"/>
    </row>
    <row r="60" spans="1:18" s="77" customFormat="1" ht="12.75" customHeight="1" x14ac:dyDescent="0.2">
      <c r="A60" s="77">
        <f t="shared" si="2"/>
        <v>49</v>
      </c>
      <c r="B60" s="77" t="s">
        <v>485</v>
      </c>
      <c r="C60" s="121" t="s">
        <v>724</v>
      </c>
      <c r="D60" s="77" t="s">
        <v>322</v>
      </c>
      <c r="E60" s="74">
        <v>-24200</v>
      </c>
      <c r="F60" s="80">
        <v>-197.6172</v>
      </c>
      <c r="G60" s="130"/>
      <c r="H60" s="130">
        <f>+ROUND(F60/VLOOKUP("Grand Total",$B$4:$F$299,5,0),4)</f>
        <v>-1.0999999999999999E-2</v>
      </c>
      <c r="I60" s="104">
        <v>43153</v>
      </c>
      <c r="J60" s="101"/>
      <c r="L60" s="103"/>
      <c r="Q60" s="122"/>
      <c r="R60" s="122"/>
    </row>
    <row r="61" spans="1:18" s="65" customFormat="1" ht="12.75" customHeight="1" x14ac:dyDescent="0.2">
      <c r="A61" s="77">
        <f t="shared" si="2"/>
        <v>50</v>
      </c>
      <c r="B61" s="77" t="s">
        <v>561</v>
      </c>
      <c r="C61" s="65" t="s">
        <v>562</v>
      </c>
      <c r="D61" s="77" t="s">
        <v>30</v>
      </c>
      <c r="E61" s="74">
        <v>43500</v>
      </c>
      <c r="F61" s="80">
        <v>179.95949999999999</v>
      </c>
      <c r="G61" s="76">
        <f>+ROUND(F61/VLOOKUP("Grand Total",$B$4:$F$299,5,0),4)</f>
        <v>0.01</v>
      </c>
      <c r="H61" s="76"/>
      <c r="I61" s="91" t="s">
        <v>371</v>
      </c>
      <c r="J61" s="101"/>
      <c r="L61" s="103"/>
    </row>
    <row r="62" spans="1:18" s="77" customFormat="1" ht="12.75" customHeight="1" x14ac:dyDescent="0.2">
      <c r="A62" s="77">
        <f t="shared" si="2"/>
        <v>51</v>
      </c>
      <c r="B62" s="77" t="s">
        <v>561</v>
      </c>
      <c r="C62" s="121" t="s">
        <v>724</v>
      </c>
      <c r="D62" s="77" t="s">
        <v>322</v>
      </c>
      <c r="E62" s="74">
        <v>-43500</v>
      </c>
      <c r="F62" s="80">
        <v>-180.98175000000001</v>
      </c>
      <c r="G62" s="130"/>
      <c r="H62" s="130">
        <f>+ROUND(F62/VLOOKUP("Grand Total",$B$4:$F$299,5,0),4)</f>
        <v>-1.01E-2</v>
      </c>
      <c r="I62" s="104">
        <v>43153</v>
      </c>
      <c r="J62" s="101"/>
      <c r="L62" s="103"/>
      <c r="Q62" s="122"/>
      <c r="R62" s="122"/>
    </row>
    <row r="63" spans="1:18" s="65" customFormat="1" ht="12.75" customHeight="1" x14ac:dyDescent="0.2">
      <c r="A63" s="77">
        <f t="shared" si="2"/>
        <v>52</v>
      </c>
      <c r="B63" s="77" t="s">
        <v>295</v>
      </c>
      <c r="C63" s="65" t="s">
        <v>179</v>
      </c>
      <c r="D63" s="77" t="s">
        <v>36</v>
      </c>
      <c r="E63" s="74">
        <v>35100</v>
      </c>
      <c r="F63" s="80">
        <v>174.21885</v>
      </c>
      <c r="G63" s="76">
        <f>+ROUND(F63/VLOOKUP("Grand Total",$B$4:$F$299,5,0),4)</f>
        <v>9.7000000000000003E-3</v>
      </c>
      <c r="H63" s="76"/>
      <c r="I63" s="91" t="s">
        <v>371</v>
      </c>
      <c r="J63" s="101"/>
      <c r="K63" s="90"/>
      <c r="L63" s="103"/>
    </row>
    <row r="64" spans="1:18" s="77" customFormat="1" ht="12.75" customHeight="1" x14ac:dyDescent="0.2">
      <c r="A64" s="77">
        <f t="shared" si="2"/>
        <v>53</v>
      </c>
      <c r="B64" s="77" t="s">
        <v>295</v>
      </c>
      <c r="C64" s="121" t="s">
        <v>724</v>
      </c>
      <c r="D64" s="77" t="s">
        <v>322</v>
      </c>
      <c r="E64" s="74">
        <v>-35100</v>
      </c>
      <c r="F64" s="80">
        <v>-175.2192</v>
      </c>
      <c r="G64" s="130"/>
      <c r="H64" s="130">
        <f>+ROUND(F64/VLOOKUP("Grand Total",$B$4:$F$299,5,0),4)</f>
        <v>-9.7000000000000003E-3</v>
      </c>
      <c r="I64" s="104">
        <v>43153</v>
      </c>
      <c r="J64" s="101"/>
      <c r="L64" s="103"/>
      <c r="Q64" s="122"/>
      <c r="R64" s="122"/>
    </row>
    <row r="65" spans="1:18" s="65" customFormat="1" ht="12.75" customHeight="1" x14ac:dyDescent="0.2">
      <c r="A65" s="77">
        <f t="shared" si="2"/>
        <v>54</v>
      </c>
      <c r="B65" s="77" t="s">
        <v>396</v>
      </c>
      <c r="C65" s="65" t="s">
        <v>130</v>
      </c>
      <c r="D65" s="77" t="s">
        <v>20</v>
      </c>
      <c r="E65" s="74">
        <v>52500</v>
      </c>
      <c r="F65" s="80">
        <v>117.88875</v>
      </c>
      <c r="G65" s="76">
        <f>+ROUND(F65/VLOOKUP("Grand Total",$B$4:$F$299,5,0),4)</f>
        <v>6.4999999999999997E-3</v>
      </c>
      <c r="H65" s="76"/>
      <c r="I65" s="91" t="s">
        <v>371</v>
      </c>
      <c r="J65" s="101"/>
      <c r="K65" s="90"/>
      <c r="L65" s="103"/>
    </row>
    <row r="66" spans="1:18" s="77" customFormat="1" ht="12.75" customHeight="1" x14ac:dyDescent="0.2">
      <c r="A66" s="77">
        <f t="shared" si="2"/>
        <v>55</v>
      </c>
      <c r="B66" s="77" t="s">
        <v>396</v>
      </c>
      <c r="C66" s="121" t="s">
        <v>724</v>
      </c>
      <c r="D66" s="77" t="s">
        <v>322</v>
      </c>
      <c r="E66" s="74">
        <v>-52500</v>
      </c>
      <c r="F66" s="80">
        <v>-118.41374999999999</v>
      </c>
      <c r="G66" s="130"/>
      <c r="H66" s="130">
        <f>+ROUND(F66/VLOOKUP("Grand Total",$B$4:$F$299,5,0),4)</f>
        <v>-6.6E-3</v>
      </c>
      <c r="I66" s="104">
        <v>43153</v>
      </c>
      <c r="J66" s="101"/>
      <c r="L66" s="103"/>
      <c r="Q66" s="122"/>
      <c r="R66" s="122"/>
    </row>
    <row r="67" spans="1:18" s="65" customFormat="1" ht="12.75" customHeight="1" x14ac:dyDescent="0.2">
      <c r="A67" s="77">
        <f t="shared" si="2"/>
        <v>56</v>
      </c>
      <c r="B67" s="77" t="s">
        <v>348</v>
      </c>
      <c r="C67" s="65" t="s">
        <v>349</v>
      </c>
      <c r="D67" s="77" t="s">
        <v>24</v>
      </c>
      <c r="E67" s="74">
        <v>8000</v>
      </c>
      <c r="F67" s="80">
        <v>111.276</v>
      </c>
      <c r="G67" s="76">
        <f>+ROUND(F67/VLOOKUP("Grand Total",$B$4:$F$299,5,0),4)</f>
        <v>6.1999999999999998E-3</v>
      </c>
      <c r="H67" s="76"/>
      <c r="I67" s="91" t="s">
        <v>371</v>
      </c>
      <c r="J67" s="101"/>
      <c r="K67" s="90"/>
      <c r="L67" s="103"/>
    </row>
    <row r="68" spans="1:18" s="77" customFormat="1" ht="12.75" customHeight="1" x14ac:dyDescent="0.2">
      <c r="A68" s="77">
        <f t="shared" si="2"/>
        <v>57</v>
      </c>
      <c r="B68" s="77" t="s">
        <v>348</v>
      </c>
      <c r="C68" s="121" t="s">
        <v>724</v>
      </c>
      <c r="D68" s="77" t="s">
        <v>322</v>
      </c>
      <c r="E68" s="74">
        <v>-8000</v>
      </c>
      <c r="F68" s="80">
        <v>-110.79600000000001</v>
      </c>
      <c r="G68" s="130"/>
      <c r="H68" s="130">
        <f>+ROUND(F68/VLOOKUP("Grand Total",$B$4:$F$299,5,0),4)</f>
        <v>-6.1999999999999998E-3</v>
      </c>
      <c r="I68" s="104">
        <v>43153</v>
      </c>
      <c r="J68" s="101"/>
      <c r="L68" s="103"/>
      <c r="Q68" s="122"/>
      <c r="R68" s="122"/>
    </row>
    <row r="69" spans="1:18" s="65" customFormat="1" ht="12.75" customHeight="1" x14ac:dyDescent="0.2">
      <c r="A69" s="77">
        <f t="shared" si="2"/>
        <v>58</v>
      </c>
      <c r="B69" s="77" t="s">
        <v>249</v>
      </c>
      <c r="C69" s="65" t="s">
        <v>113</v>
      </c>
      <c r="D69" s="77" t="s">
        <v>14</v>
      </c>
      <c r="E69" s="74">
        <v>14400</v>
      </c>
      <c r="F69" s="80">
        <v>88.221599999999995</v>
      </c>
      <c r="G69" s="76">
        <f>+ROUND(F69/VLOOKUP("Grand Total",$B$4:$F$299,5,0),4)</f>
        <v>4.8999999999999998E-3</v>
      </c>
      <c r="H69" s="76"/>
      <c r="I69" s="91" t="s">
        <v>371</v>
      </c>
      <c r="J69" s="101"/>
      <c r="K69" s="90"/>
      <c r="L69" s="103"/>
    </row>
    <row r="70" spans="1:18" s="77" customFormat="1" ht="12.75" customHeight="1" x14ac:dyDescent="0.2">
      <c r="A70" s="77">
        <f t="shared" si="2"/>
        <v>59</v>
      </c>
      <c r="B70" s="77" t="s">
        <v>249</v>
      </c>
      <c r="C70" s="121" t="s">
        <v>724</v>
      </c>
      <c r="D70" s="77" t="s">
        <v>322</v>
      </c>
      <c r="E70" s="74">
        <v>-14400</v>
      </c>
      <c r="F70" s="80">
        <v>-88.372799999999998</v>
      </c>
      <c r="G70" s="130"/>
      <c r="H70" s="130">
        <f>+ROUND(F70/VLOOKUP("Grand Total",$B$4:$F$299,5,0),4)</f>
        <v>-4.8999999999999998E-3</v>
      </c>
      <c r="I70" s="104">
        <v>43153</v>
      </c>
      <c r="J70" s="101"/>
      <c r="L70" s="103"/>
      <c r="Q70" s="122"/>
      <c r="R70" s="122"/>
    </row>
    <row r="71" spans="1:18" s="65" customFormat="1" ht="12.75" customHeight="1" x14ac:dyDescent="0.2">
      <c r="A71" s="77">
        <f t="shared" si="2"/>
        <v>60</v>
      </c>
      <c r="B71" s="77" t="s">
        <v>298</v>
      </c>
      <c r="C71" s="65" t="s">
        <v>182</v>
      </c>
      <c r="D71" s="77" t="s">
        <v>36</v>
      </c>
      <c r="E71" s="74">
        <v>182000</v>
      </c>
      <c r="F71" s="80">
        <v>83.265000000000001</v>
      </c>
      <c r="G71" s="76">
        <f>+ROUND(F71/VLOOKUP("Grand Total",$B$4:$F$299,5,0),4)</f>
        <v>4.5999999999999999E-3</v>
      </c>
      <c r="H71" s="76"/>
      <c r="I71" s="91" t="s">
        <v>371</v>
      </c>
      <c r="J71" s="101"/>
      <c r="K71" s="90"/>
      <c r="L71" s="103"/>
    </row>
    <row r="72" spans="1:18" s="77" customFormat="1" ht="12.75" customHeight="1" x14ac:dyDescent="0.2">
      <c r="A72" s="77">
        <f t="shared" si="2"/>
        <v>61</v>
      </c>
      <c r="B72" s="77" t="s">
        <v>298</v>
      </c>
      <c r="C72" s="121" t="s">
        <v>724</v>
      </c>
      <c r="D72" s="77" t="s">
        <v>322</v>
      </c>
      <c r="E72" s="74">
        <v>-182000</v>
      </c>
      <c r="F72" s="80">
        <v>-83.72</v>
      </c>
      <c r="G72" s="130"/>
      <c r="H72" s="130">
        <f>+ROUND(F72/VLOOKUP("Grand Total",$B$4:$F$299,5,0),4)</f>
        <v>-4.7000000000000002E-3</v>
      </c>
      <c r="I72" s="104">
        <v>43153</v>
      </c>
      <c r="J72" s="101"/>
      <c r="L72" s="103"/>
      <c r="Q72" s="122"/>
      <c r="R72" s="122"/>
    </row>
    <row r="73" spans="1:18" s="65" customFormat="1" ht="12.75" customHeight="1" x14ac:dyDescent="0.2">
      <c r="A73" s="77">
        <f t="shared" si="2"/>
        <v>62</v>
      </c>
      <c r="B73" s="77" t="s">
        <v>532</v>
      </c>
      <c r="C73" s="65" t="s">
        <v>533</v>
      </c>
      <c r="D73" s="77" t="s">
        <v>26</v>
      </c>
      <c r="E73" s="74">
        <v>42000</v>
      </c>
      <c r="F73" s="80">
        <v>51.302999999999997</v>
      </c>
      <c r="G73" s="76">
        <f>+ROUND(F73/VLOOKUP("Grand Total",$B$4:$F$299,5,0),4)</f>
        <v>2.8999999999999998E-3</v>
      </c>
      <c r="H73" s="76"/>
      <c r="I73" s="91" t="s">
        <v>371</v>
      </c>
      <c r="J73" s="101"/>
      <c r="K73" s="90"/>
      <c r="L73" s="103"/>
    </row>
    <row r="74" spans="1:18" s="77" customFormat="1" ht="12.75" customHeight="1" x14ac:dyDescent="0.2">
      <c r="A74" s="77">
        <f t="shared" si="2"/>
        <v>63</v>
      </c>
      <c r="B74" s="77" t="s">
        <v>532</v>
      </c>
      <c r="C74" s="121" t="s">
        <v>724</v>
      </c>
      <c r="D74" s="77" t="s">
        <v>322</v>
      </c>
      <c r="E74" s="74">
        <v>-42000</v>
      </c>
      <c r="F74" s="80">
        <v>-51.491999999999997</v>
      </c>
      <c r="G74" s="130"/>
      <c r="H74" s="130">
        <f>+ROUND(F74/VLOOKUP("Grand Total",$B$4:$F$299,5,0),4)</f>
        <v>-2.8999999999999998E-3</v>
      </c>
      <c r="I74" s="104">
        <v>43153</v>
      </c>
      <c r="J74" s="101"/>
      <c r="L74" s="103"/>
      <c r="Q74" s="122"/>
      <c r="R74" s="122"/>
    </row>
    <row r="75" spans="1:18" s="65" customFormat="1" ht="12.75" customHeight="1" x14ac:dyDescent="0.2">
      <c r="A75" s="77">
        <f t="shared" si="2"/>
        <v>64</v>
      </c>
      <c r="B75" s="77" t="s">
        <v>201</v>
      </c>
      <c r="C75" s="65" t="s">
        <v>46</v>
      </c>
      <c r="D75" s="77" t="s">
        <v>26</v>
      </c>
      <c r="E75" s="74">
        <v>14400</v>
      </c>
      <c r="F75" s="80">
        <v>39.081599999999995</v>
      </c>
      <c r="G75" s="76">
        <f>+ROUND(F75/VLOOKUP("Grand Total",$B$4:$F$299,5,0),4)</f>
        <v>2.2000000000000001E-3</v>
      </c>
      <c r="H75" s="76"/>
      <c r="I75" s="91" t="s">
        <v>371</v>
      </c>
      <c r="J75" s="101"/>
      <c r="K75" s="90"/>
      <c r="L75" s="103"/>
    </row>
    <row r="76" spans="1:18" s="77" customFormat="1" ht="12.75" customHeight="1" x14ac:dyDescent="0.2">
      <c r="A76" s="77">
        <f t="shared" si="2"/>
        <v>65</v>
      </c>
      <c r="B76" s="77" t="s">
        <v>201</v>
      </c>
      <c r="C76" s="121" t="s">
        <v>724</v>
      </c>
      <c r="D76" s="77" t="s">
        <v>322</v>
      </c>
      <c r="E76" s="74">
        <v>-14400</v>
      </c>
      <c r="F76" s="80">
        <v>-39.268799999999999</v>
      </c>
      <c r="G76" s="130"/>
      <c r="H76" s="130">
        <f>+ROUND(F76/VLOOKUP("Grand Total",$B$4:$F$299,5,0),4)</f>
        <v>-2.2000000000000001E-3</v>
      </c>
      <c r="I76" s="104">
        <v>43153</v>
      </c>
      <c r="J76" s="101"/>
      <c r="L76" s="103"/>
      <c r="Q76" s="122"/>
      <c r="R76" s="122"/>
    </row>
    <row r="77" spans="1:18" s="65" customFormat="1" ht="12.75" customHeight="1" x14ac:dyDescent="0.2">
      <c r="A77" s="77">
        <f t="shared" si="2"/>
        <v>66</v>
      </c>
      <c r="B77" s="77" t="s">
        <v>221</v>
      </c>
      <c r="C77" s="65" t="s">
        <v>222</v>
      </c>
      <c r="D77" s="77" t="s">
        <v>37</v>
      </c>
      <c r="E77" s="74">
        <v>4800</v>
      </c>
      <c r="F77" s="80">
        <v>36.175199999999997</v>
      </c>
      <c r="G77" s="76">
        <f>+ROUND(F77/VLOOKUP("Grand Total",$B$4:$F$299,5,0),4)</f>
        <v>2E-3</v>
      </c>
      <c r="H77" s="76"/>
      <c r="I77" s="91" t="s">
        <v>371</v>
      </c>
      <c r="J77" s="101"/>
      <c r="K77" s="90"/>
      <c r="L77" s="103"/>
    </row>
    <row r="78" spans="1:18" s="77" customFormat="1" ht="12.75" customHeight="1" x14ac:dyDescent="0.2">
      <c r="A78" s="77">
        <f t="shared" si="2"/>
        <v>67</v>
      </c>
      <c r="B78" s="77" t="s">
        <v>221</v>
      </c>
      <c r="C78" s="121" t="s">
        <v>724</v>
      </c>
      <c r="D78" s="77" t="s">
        <v>322</v>
      </c>
      <c r="E78" s="74">
        <v>-4800</v>
      </c>
      <c r="F78" s="80">
        <v>-36.391199999999998</v>
      </c>
      <c r="G78" s="130"/>
      <c r="H78" s="130">
        <f>+ROUND(F78/VLOOKUP("Grand Total",$B$4:$F$299,5,0),4)</f>
        <v>-2E-3</v>
      </c>
      <c r="I78" s="104">
        <v>43153</v>
      </c>
      <c r="J78" s="101"/>
      <c r="L78" s="103"/>
      <c r="Q78" s="122"/>
      <c r="R78" s="122"/>
    </row>
    <row r="79" spans="1:18" s="46" customFormat="1" ht="12.75" customHeight="1" x14ac:dyDescent="0.2">
      <c r="A79"/>
      <c r="B79" s="18" t="s">
        <v>85</v>
      </c>
      <c r="C79" s="18"/>
      <c r="D79" s="18"/>
      <c r="E79" s="19"/>
      <c r="F79" s="19">
        <f>+F47+F49+F51+F53+F55+F57+F59+F61+F63+F65+F67+F69+F71+F73+F75+F77</f>
        <v>5411.5596000000005</v>
      </c>
      <c r="G79" s="79">
        <f>+G47+G49+G51+G53+G55+G57+G59+G61+G63+G65+G67+G69+G71+G73+G75+G77</f>
        <v>0.30060000000000003</v>
      </c>
      <c r="H79" s="79">
        <f>SUM(H47:H78)</f>
        <v>-0.30209999999999992</v>
      </c>
      <c r="I79" s="21"/>
      <c r="J79" s="56"/>
      <c r="L79" s="48"/>
    </row>
    <row r="80" spans="1:18" ht="12.75" customHeight="1" x14ac:dyDescent="0.2">
      <c r="F80" s="28"/>
      <c r="G80" s="28"/>
      <c r="H80" s="28"/>
      <c r="I80" s="15"/>
      <c r="J80" s="56"/>
    </row>
    <row r="81" spans="1:13" s="46" customFormat="1" ht="12.75" customHeight="1" x14ac:dyDescent="0.2">
      <c r="A81"/>
      <c r="B81" s="16" t="s">
        <v>91</v>
      </c>
      <c r="C81" s="16"/>
      <c r="D81"/>
      <c r="E81" s="28"/>
      <c r="F81" s="13"/>
      <c r="G81" s="14"/>
      <c r="H81" s="14"/>
      <c r="I81" s="15"/>
      <c r="J81" s="56"/>
      <c r="L81" s="48"/>
    </row>
    <row r="82" spans="1:13" s="46" customFormat="1" ht="12.75" customHeight="1" x14ac:dyDescent="0.2">
      <c r="A82"/>
      <c r="B82" s="16" t="s">
        <v>306</v>
      </c>
      <c r="C82" s="16"/>
      <c r="D82"/>
      <c r="E82" s="28"/>
      <c r="F82" s="13"/>
      <c r="G82" s="14"/>
      <c r="H82" s="14"/>
      <c r="I82" s="15"/>
      <c r="J82" s="56"/>
      <c r="K82"/>
      <c r="L82" s="36"/>
    </row>
    <row r="83" spans="1:13" s="46" customFormat="1" ht="12.75" customHeight="1" x14ac:dyDescent="0.2">
      <c r="A83" s="77">
        <f>+MAX($A$8:A82)+1</f>
        <v>68</v>
      </c>
      <c r="B83" t="s">
        <v>291</v>
      </c>
      <c r="C83" t="s">
        <v>596</v>
      </c>
      <c r="D83" t="s">
        <v>578</v>
      </c>
      <c r="E83" s="28">
        <v>100</v>
      </c>
      <c r="F83" s="13">
        <v>498.03199999999998</v>
      </c>
      <c r="G83" s="76">
        <f>+ROUND(F83/VLOOKUP("Grand Total",$B$4:$F$299,5,0),4)</f>
        <v>2.7699999999999999E-2</v>
      </c>
      <c r="H83" s="76"/>
      <c r="I83" s="15">
        <v>43152</v>
      </c>
      <c r="J83" s="56"/>
      <c r="K83"/>
      <c r="L83" s="36"/>
    </row>
    <row r="84" spans="1:13" s="46" customFormat="1" ht="12.75" customHeight="1" x14ac:dyDescent="0.2">
      <c r="A84" s="77">
        <f>+MAX($A$8:A83)+1</f>
        <v>69</v>
      </c>
      <c r="B84" t="s">
        <v>579</v>
      </c>
      <c r="C84" t="s">
        <v>684</v>
      </c>
      <c r="D84" t="s">
        <v>290</v>
      </c>
      <c r="E84" s="28">
        <v>60</v>
      </c>
      <c r="F84" s="13">
        <v>298.185</v>
      </c>
      <c r="G84" s="76">
        <f>+ROUND(F84/VLOOKUP("Grand Total",$B$4:$F$299,5,0),4)</f>
        <v>1.66E-2</v>
      </c>
      <c r="H84" s="76"/>
      <c r="I84" s="15">
        <v>43164</v>
      </c>
      <c r="J84" s="56"/>
      <c r="K84"/>
      <c r="L84" s="36"/>
    </row>
    <row r="85" spans="1:13" s="46" customFormat="1" ht="12.75" customHeight="1" x14ac:dyDescent="0.2">
      <c r="A85" s="77">
        <f>+MAX($A$8:A84)+1</f>
        <v>70</v>
      </c>
      <c r="B85" t="s">
        <v>291</v>
      </c>
      <c r="C85" t="s">
        <v>563</v>
      </c>
      <c r="D85" t="s">
        <v>578</v>
      </c>
      <c r="E85" s="28">
        <v>38</v>
      </c>
      <c r="F85" s="13">
        <v>180.32329999999999</v>
      </c>
      <c r="G85" s="76">
        <f>+ROUND(F85/VLOOKUP("Grand Total",$B$4:$F$299,5,0),4)</f>
        <v>0.01</v>
      </c>
      <c r="H85" s="76"/>
      <c r="I85" s="15">
        <v>43350</v>
      </c>
      <c r="J85" s="56"/>
      <c r="K85"/>
      <c r="L85" s="36"/>
    </row>
    <row r="86" spans="1:13" ht="12.75" customHeight="1" x14ac:dyDescent="0.2">
      <c r="B86" s="18" t="s">
        <v>85</v>
      </c>
      <c r="C86" s="18"/>
      <c r="D86" s="18"/>
      <c r="E86" s="29"/>
      <c r="F86" s="19">
        <f>SUM(F83:F85)</f>
        <v>976.5403</v>
      </c>
      <c r="G86" s="20">
        <f>SUM(G83:G85)</f>
        <v>5.4300000000000001E-2</v>
      </c>
      <c r="H86" s="20"/>
      <c r="I86" s="21"/>
      <c r="J86" s="56"/>
    </row>
    <row r="87" spans="1:13" ht="12.75" customHeight="1" x14ac:dyDescent="0.2">
      <c r="F87" s="44"/>
      <c r="G87" s="14"/>
      <c r="H87" s="14"/>
      <c r="I87" s="15"/>
      <c r="J87" s="56"/>
    </row>
    <row r="88" spans="1:13" ht="12.75" customHeight="1" x14ac:dyDescent="0.2">
      <c r="B88" s="16" t="s">
        <v>168</v>
      </c>
      <c r="F88" s="13"/>
      <c r="G88" s="14"/>
      <c r="H88" s="14"/>
      <c r="I88" s="15"/>
      <c r="J88" s="56"/>
    </row>
    <row r="89" spans="1:13" ht="12.75" customHeight="1" x14ac:dyDescent="0.2">
      <c r="A89" s="77">
        <f>+MAX($A$8:A88)+1</f>
        <v>71</v>
      </c>
      <c r="B89" t="s">
        <v>597</v>
      </c>
      <c r="C89" t="s">
        <v>598</v>
      </c>
      <c r="D89" t="s">
        <v>403</v>
      </c>
      <c r="E89" s="28">
        <v>83000</v>
      </c>
      <c r="F89" s="13">
        <v>82.447552000000002</v>
      </c>
      <c r="G89" s="76">
        <f>+ROUND(F89/VLOOKUP("Grand Total",$B$4:$F$299,5,0),4)</f>
        <v>4.5999999999999999E-3</v>
      </c>
      <c r="H89" s="76"/>
      <c r="I89" s="15">
        <v>43172</v>
      </c>
      <c r="J89" s="55"/>
    </row>
    <row r="90" spans="1:13" s="46" customFormat="1" ht="12.75" customHeight="1" x14ac:dyDescent="0.2">
      <c r="A90"/>
      <c r="B90" s="18" t="s">
        <v>85</v>
      </c>
      <c r="C90" s="18"/>
      <c r="D90" s="18"/>
      <c r="E90" s="29"/>
      <c r="F90" s="19">
        <f>SUM(F89)</f>
        <v>82.447552000000002</v>
      </c>
      <c r="G90" s="20">
        <f>SUM(G89)</f>
        <v>4.5999999999999999E-3</v>
      </c>
      <c r="H90" s="20"/>
      <c r="I90" s="21"/>
      <c r="J90" s="55"/>
      <c r="K90" s="36"/>
      <c r="L90"/>
      <c r="M90"/>
    </row>
    <row r="91" spans="1:13" s="46" customFormat="1" ht="12.75" customHeight="1" x14ac:dyDescent="0.2">
      <c r="B91" s="67"/>
      <c r="C91" s="67"/>
      <c r="D91" s="67"/>
      <c r="E91" s="68"/>
      <c r="F91" s="69"/>
      <c r="G91" s="70"/>
      <c r="H91" s="70"/>
      <c r="I91" s="71"/>
      <c r="J91" s="55"/>
      <c r="K91" s="48"/>
    </row>
    <row r="92" spans="1:13" s="46" customFormat="1" ht="12.75" customHeight="1" x14ac:dyDescent="0.2">
      <c r="B92" s="16" t="s">
        <v>169</v>
      </c>
      <c r="C92" s="67"/>
      <c r="D92" s="67"/>
      <c r="E92" s="68"/>
      <c r="F92" s="70"/>
      <c r="G92" s="70"/>
      <c r="H92" s="70"/>
      <c r="I92" s="71"/>
      <c r="J92" s="56"/>
      <c r="L92" s="48"/>
    </row>
    <row r="93" spans="1:13" s="46" customFormat="1" ht="12.75" customHeight="1" x14ac:dyDescent="0.2">
      <c r="A93" s="77">
        <f>+MAX($A$8:A92)+1</f>
        <v>72</v>
      </c>
      <c r="B93" s="65" t="s">
        <v>470</v>
      </c>
      <c r="C93" s="93" t="s">
        <v>471</v>
      </c>
      <c r="D93" t="s">
        <v>403</v>
      </c>
      <c r="E93" s="28">
        <v>500000</v>
      </c>
      <c r="F93" s="13">
        <v>490.3</v>
      </c>
      <c r="G93" s="76">
        <f>+ROUND(F93/VLOOKUP("Grand Total",$B$4:$F$299,5,0),4)</f>
        <v>2.7199999999999998E-2</v>
      </c>
      <c r="H93" s="76"/>
      <c r="I93" s="64">
        <v>44914</v>
      </c>
      <c r="J93" s="55"/>
      <c r="K93" s="48"/>
    </row>
    <row r="94" spans="1:13" ht="12.75" customHeight="1" x14ac:dyDescent="0.2">
      <c r="A94" s="46"/>
      <c r="B94" s="18" t="s">
        <v>85</v>
      </c>
      <c r="C94" s="18"/>
      <c r="D94" s="18"/>
      <c r="E94" s="29"/>
      <c r="F94" s="19">
        <f>SUM(F93:F93)</f>
        <v>490.3</v>
      </c>
      <c r="G94" s="20">
        <f>SUM(G93:G93)</f>
        <v>2.7199999999999998E-2</v>
      </c>
      <c r="H94" s="20"/>
      <c r="I94" s="63"/>
      <c r="J94" s="56"/>
      <c r="K94" s="48"/>
      <c r="L94" s="46"/>
      <c r="M94" s="46"/>
    </row>
    <row r="95" spans="1:13" ht="12.75" customHeight="1" x14ac:dyDescent="0.2">
      <c r="F95" s="44"/>
      <c r="G95" s="14"/>
      <c r="H95" s="14"/>
      <c r="I95" s="15"/>
      <c r="J95" s="56"/>
      <c r="K95" s="36"/>
      <c r="L95"/>
    </row>
    <row r="96" spans="1:13" ht="12.75" customHeight="1" x14ac:dyDescent="0.2">
      <c r="B96" s="16" t="s">
        <v>125</v>
      </c>
      <c r="F96" s="44"/>
      <c r="G96" s="14"/>
      <c r="H96" s="14"/>
      <c r="I96" s="15"/>
      <c r="J96" s="56"/>
      <c r="K96" s="36"/>
      <c r="L96"/>
    </row>
    <row r="97" spans="1:13" s="46" customFormat="1" ht="12.75" customHeight="1" x14ac:dyDescent="0.2">
      <c r="B97" s="31" t="s">
        <v>305</v>
      </c>
      <c r="C97" s="16"/>
      <c r="D97"/>
      <c r="E97" s="28"/>
      <c r="F97" s="13"/>
      <c r="G97" s="14"/>
      <c r="H97" s="14"/>
      <c r="I97" s="71"/>
      <c r="J97" s="55"/>
      <c r="K97" s="48"/>
    </row>
    <row r="98" spans="1:13" s="46" customFormat="1" ht="12.75" customHeight="1" x14ac:dyDescent="0.2">
      <c r="A98" s="77">
        <f>+MAX($A$8:A97)+1</f>
        <v>73</v>
      </c>
      <c r="B98" s="65" t="s">
        <v>534</v>
      </c>
      <c r="C98" s="93" t="s">
        <v>515</v>
      </c>
      <c r="D98" t="s">
        <v>450</v>
      </c>
      <c r="E98" s="28">
        <v>40</v>
      </c>
      <c r="F98" s="13">
        <v>396.59719999999999</v>
      </c>
      <c r="G98" s="76">
        <f t="shared" ref="G98:G104" si="3">+ROUND(F98/VLOOKUP("Grand Total",$B$4:$F$299,5,0),4)</f>
        <v>2.1999999999999999E-2</v>
      </c>
      <c r="H98" s="76"/>
      <c r="I98" s="64">
        <v>43671</v>
      </c>
      <c r="J98" s="55"/>
      <c r="K98" s="48"/>
    </row>
    <row r="99" spans="1:13" s="46" customFormat="1" ht="12.75" customHeight="1" x14ac:dyDescent="0.2">
      <c r="A99" s="77">
        <f>+MAX($A$8:A98)+1</f>
        <v>74</v>
      </c>
      <c r="B99" s="65" t="s">
        <v>350</v>
      </c>
      <c r="C99" s="93" t="s">
        <v>351</v>
      </c>
      <c r="D99" t="s">
        <v>535</v>
      </c>
      <c r="E99" s="28">
        <v>33</v>
      </c>
      <c r="F99" s="13">
        <v>331.98396000000002</v>
      </c>
      <c r="G99" s="76">
        <f t="shared" si="3"/>
        <v>1.84E-2</v>
      </c>
      <c r="H99" s="76"/>
      <c r="I99" s="64">
        <v>43309</v>
      </c>
      <c r="J99" s="55"/>
      <c r="K99" s="48"/>
    </row>
    <row r="100" spans="1:13" s="46" customFormat="1" ht="12.75" customHeight="1" x14ac:dyDescent="0.2">
      <c r="A100" s="77">
        <f>+MAX($A$8:A99)+1</f>
        <v>75</v>
      </c>
      <c r="B100" s="65" t="s">
        <v>599</v>
      </c>
      <c r="C100" s="93" t="s">
        <v>448</v>
      </c>
      <c r="D100" t="s">
        <v>174</v>
      </c>
      <c r="E100" s="28">
        <v>30</v>
      </c>
      <c r="F100" s="13">
        <v>300.26130000000001</v>
      </c>
      <c r="G100" s="76">
        <f t="shared" si="3"/>
        <v>1.67E-2</v>
      </c>
      <c r="H100" s="76"/>
      <c r="I100" s="64">
        <v>43678</v>
      </c>
      <c r="J100" s="55"/>
      <c r="K100" s="48"/>
    </row>
    <row r="101" spans="1:13" s="46" customFormat="1" ht="12.75" customHeight="1" x14ac:dyDescent="0.2">
      <c r="A101" s="77">
        <f>+MAX($A$8:A100)+1</f>
        <v>76</v>
      </c>
      <c r="B101" s="65" t="s">
        <v>489</v>
      </c>
      <c r="C101" s="93" t="s">
        <v>490</v>
      </c>
      <c r="D101" t="s">
        <v>292</v>
      </c>
      <c r="E101" s="28">
        <v>30</v>
      </c>
      <c r="F101" s="13">
        <v>299.10629999999998</v>
      </c>
      <c r="G101" s="76">
        <f t="shared" si="3"/>
        <v>1.66E-2</v>
      </c>
      <c r="H101" s="76"/>
      <c r="I101" s="64">
        <v>43630</v>
      </c>
      <c r="J101" s="55"/>
      <c r="K101" s="48"/>
    </row>
    <row r="102" spans="1:13" s="46" customFormat="1" ht="12.75" customHeight="1" x14ac:dyDescent="0.2">
      <c r="A102" s="77">
        <f>+MAX($A$8:A101)+1</f>
        <v>77</v>
      </c>
      <c r="B102" s="65" t="s">
        <v>360</v>
      </c>
      <c r="C102" s="93" t="s">
        <v>536</v>
      </c>
      <c r="D102" t="s">
        <v>362</v>
      </c>
      <c r="E102" s="28">
        <v>20000</v>
      </c>
      <c r="F102" s="13">
        <v>201.47040000000001</v>
      </c>
      <c r="G102" s="76">
        <f t="shared" si="3"/>
        <v>1.12E-2</v>
      </c>
      <c r="H102" s="76"/>
      <c r="I102" s="64">
        <v>43717</v>
      </c>
      <c r="J102" s="55"/>
      <c r="K102" s="48"/>
    </row>
    <row r="103" spans="1:13" s="46" customFormat="1" ht="12.75" customHeight="1" x14ac:dyDescent="0.2">
      <c r="A103" s="77">
        <f>+MAX($A$8:A102)+1</f>
        <v>78</v>
      </c>
      <c r="B103" s="65" t="s">
        <v>420</v>
      </c>
      <c r="C103" s="93" t="s">
        <v>421</v>
      </c>
      <c r="D103" t="s">
        <v>362</v>
      </c>
      <c r="E103" s="28">
        <v>12</v>
      </c>
      <c r="F103" s="13">
        <v>120.17843999999999</v>
      </c>
      <c r="G103" s="76">
        <f t="shared" si="3"/>
        <v>6.7000000000000002E-3</v>
      </c>
      <c r="H103" s="76"/>
      <c r="I103" s="64">
        <v>43322</v>
      </c>
      <c r="J103" s="55"/>
      <c r="K103" s="48"/>
    </row>
    <row r="104" spans="1:13" s="46" customFormat="1" ht="12.75" customHeight="1" x14ac:dyDescent="0.2">
      <c r="A104" s="77">
        <f>+MAX($A$8:A103)+1</f>
        <v>79</v>
      </c>
      <c r="B104" s="65" t="s">
        <v>513</v>
      </c>
      <c r="C104" s="93" t="s">
        <v>514</v>
      </c>
      <c r="D104" t="s">
        <v>108</v>
      </c>
      <c r="E104" s="28">
        <v>8</v>
      </c>
      <c r="F104" s="13">
        <v>101.8741</v>
      </c>
      <c r="G104" s="76">
        <f t="shared" si="3"/>
        <v>5.7000000000000002E-3</v>
      </c>
      <c r="H104" s="76"/>
      <c r="I104" s="64">
        <v>43757</v>
      </c>
      <c r="J104" s="55"/>
      <c r="K104" s="48"/>
    </row>
    <row r="105" spans="1:13" ht="12.75" customHeight="1" x14ac:dyDescent="0.2">
      <c r="A105" s="46"/>
      <c r="B105" s="18" t="s">
        <v>85</v>
      </c>
      <c r="C105" s="18"/>
      <c r="D105" s="18"/>
      <c r="E105" s="29"/>
      <c r="F105" s="19">
        <f>SUM(F98:F104)</f>
        <v>1751.4716999999996</v>
      </c>
      <c r="G105" s="20">
        <f>SUM(G98:G104)</f>
        <v>9.7299999999999998E-2</v>
      </c>
      <c r="H105" s="20"/>
      <c r="I105" s="63"/>
      <c r="J105" s="56"/>
      <c r="K105" s="48"/>
      <c r="L105" s="46"/>
      <c r="M105" s="46"/>
    </row>
    <row r="106" spans="1:13" ht="12.75" customHeight="1" x14ac:dyDescent="0.2">
      <c r="F106" s="44"/>
      <c r="G106" s="14"/>
      <c r="H106" s="14"/>
      <c r="I106" s="15"/>
      <c r="J106" s="56"/>
      <c r="K106" s="36"/>
      <c r="L106"/>
    </row>
    <row r="107" spans="1:13" ht="12.75" customHeight="1" x14ac:dyDescent="0.2">
      <c r="B107" s="16" t="s">
        <v>92</v>
      </c>
      <c r="C107" s="16"/>
      <c r="F107" s="13"/>
      <c r="G107" s="14"/>
      <c r="H107" s="14"/>
      <c r="I107" s="73"/>
      <c r="J107"/>
      <c r="K107" s="36"/>
      <c r="L107"/>
    </row>
    <row r="108" spans="1:13" ht="12.75" customHeight="1" x14ac:dyDescent="0.2">
      <c r="A108" s="77">
        <f>+MAX($A$8:A107)+1</f>
        <v>80</v>
      </c>
      <c r="B108" t="s">
        <v>447</v>
      </c>
      <c r="C108" t="s">
        <v>353</v>
      </c>
      <c r="D108" t="s">
        <v>319</v>
      </c>
      <c r="E108" s="28">
        <v>20340.004499999999</v>
      </c>
      <c r="F108" s="13">
        <v>339.02760180000001</v>
      </c>
      <c r="G108" s="76">
        <f>+ROUND(F108/VLOOKUP("Grand Total",$B$4:$F$299,5,0),4)</f>
        <v>1.8800000000000001E-2</v>
      </c>
      <c r="H108" s="76"/>
      <c r="I108" s="73" t="s">
        <v>371</v>
      </c>
      <c r="J108"/>
      <c r="K108" s="36"/>
      <c r="L108"/>
    </row>
    <row r="109" spans="1:13" ht="12.75" customHeight="1" x14ac:dyDescent="0.2">
      <c r="B109" s="18" t="s">
        <v>85</v>
      </c>
      <c r="C109" s="18"/>
      <c r="D109" s="18"/>
      <c r="E109" s="29"/>
      <c r="F109" s="19">
        <f>SUM(F108:F108)</f>
        <v>339.02760180000001</v>
      </c>
      <c r="G109" s="20">
        <f>SUM(G108)</f>
        <v>1.8800000000000001E-2</v>
      </c>
      <c r="H109" s="20"/>
      <c r="I109" s="21"/>
      <c r="J109"/>
      <c r="K109" s="36"/>
      <c r="L109"/>
    </row>
    <row r="110" spans="1:13" s="46" customFormat="1" ht="12.75" customHeight="1" x14ac:dyDescent="0.2">
      <c r="B110" s="67"/>
      <c r="C110" s="67"/>
      <c r="D110" s="67"/>
      <c r="E110" s="68"/>
      <c r="F110" s="69"/>
      <c r="G110" s="70"/>
      <c r="H110" s="70"/>
      <c r="K110" s="48"/>
    </row>
    <row r="111" spans="1:13" ht="12.75" customHeight="1" x14ac:dyDescent="0.2">
      <c r="A111" s="95" t="s">
        <v>370</v>
      </c>
      <c r="B111" s="16" t="s">
        <v>93</v>
      </c>
      <c r="C111" s="16"/>
      <c r="F111" s="13">
        <v>2090.9293600000001</v>
      </c>
      <c r="G111" s="76">
        <f>+ROUND(F111/VLOOKUP("Grand Total",$B$4:$F$299,5,0),4)</f>
        <v>0.1162</v>
      </c>
      <c r="H111" s="76"/>
      <c r="I111" s="15">
        <v>43132</v>
      </c>
      <c r="J111" s="55"/>
    </row>
    <row r="112" spans="1:13" ht="12.75" customHeight="1" x14ac:dyDescent="0.2">
      <c r="B112" s="18" t="s">
        <v>85</v>
      </c>
      <c r="C112" s="18"/>
      <c r="D112" s="18"/>
      <c r="E112" s="29"/>
      <c r="F112" s="19">
        <f>SUM(F111)</f>
        <v>2090.9293600000001</v>
      </c>
      <c r="G112" s="20">
        <f>SUM(G111)</f>
        <v>0.1162</v>
      </c>
      <c r="H112" s="20"/>
      <c r="I112" s="21"/>
      <c r="J112" s="56"/>
    </row>
    <row r="113" spans="2:12" ht="12.75" customHeight="1" x14ac:dyDescent="0.2">
      <c r="F113" s="13"/>
      <c r="G113" s="14"/>
      <c r="H113" s="14"/>
      <c r="I113" s="15"/>
      <c r="J113" s="56"/>
    </row>
    <row r="114" spans="2:12" ht="12.75" customHeight="1" x14ac:dyDescent="0.2">
      <c r="B114" s="16" t="s">
        <v>94</v>
      </c>
      <c r="C114" s="16"/>
      <c r="F114" s="13"/>
      <c r="G114" s="14"/>
      <c r="H114" s="14"/>
      <c r="I114" s="15"/>
      <c r="J114" s="56"/>
    </row>
    <row r="115" spans="2:12" ht="12.75" customHeight="1" x14ac:dyDescent="0.2">
      <c r="B115" s="16" t="s">
        <v>95</v>
      </c>
      <c r="C115" s="16"/>
      <c r="F115" s="44">
        <f>+F117-SUMIF($B$5:B114,"Total",$F$5:F114)</f>
        <v>425.44408899998962</v>
      </c>
      <c r="G115" s="14">
        <f>+ROUND(F115/VLOOKUP("Grand Total",$B$4:$F$280,5,0),4)</f>
        <v>2.3599999999999999E-2</v>
      </c>
      <c r="H115" s="14"/>
      <c r="I115" s="15"/>
      <c r="J115" s="55"/>
    </row>
    <row r="116" spans="2:12" ht="12.75" customHeight="1" x14ac:dyDescent="0.2">
      <c r="B116" s="18" t="s">
        <v>85</v>
      </c>
      <c r="C116" s="18"/>
      <c r="D116" s="18"/>
      <c r="E116" s="29"/>
      <c r="F116" s="19">
        <f>SUM(F115)</f>
        <v>425.44408899998962</v>
      </c>
      <c r="G116" s="20">
        <f>SUM(G115)</f>
        <v>2.3599999999999999E-2</v>
      </c>
      <c r="H116" s="20"/>
      <c r="I116" s="21"/>
      <c r="J116" s="39"/>
    </row>
    <row r="117" spans="2:12" ht="12.75" customHeight="1" x14ac:dyDescent="0.2">
      <c r="B117" s="22" t="s">
        <v>96</v>
      </c>
      <c r="C117" s="22"/>
      <c r="D117" s="22"/>
      <c r="E117" s="30"/>
      <c r="F117" s="23">
        <v>18000.968645799992</v>
      </c>
      <c r="G117" s="24">
        <f>+SUMIF($B$5:B116,"Total",$G$5:G116)</f>
        <v>1.0000000000000002</v>
      </c>
      <c r="H117" s="24"/>
      <c r="I117" s="25"/>
      <c r="L117"/>
    </row>
    <row r="118" spans="2:12" ht="12.75" customHeight="1" x14ac:dyDescent="0.2">
      <c r="F118" s="40"/>
      <c r="L118"/>
    </row>
    <row r="119" spans="2:12" ht="12.75" customHeight="1" x14ac:dyDescent="0.2">
      <c r="B119" s="16" t="s">
        <v>671</v>
      </c>
      <c r="C119" s="16"/>
      <c r="F119" s="42"/>
      <c r="L119"/>
    </row>
    <row r="120" spans="2:12" ht="12.75" customHeight="1" x14ac:dyDescent="0.2">
      <c r="B120" s="16" t="s">
        <v>186</v>
      </c>
      <c r="C120" s="16"/>
      <c r="G120" s="14"/>
      <c r="H120" s="14"/>
      <c r="L120"/>
    </row>
    <row r="121" spans="2:12" ht="12.75" customHeight="1" x14ac:dyDescent="0.2">
      <c r="B121" s="16"/>
      <c r="C121" s="16"/>
      <c r="L121"/>
    </row>
    <row r="122" spans="2:12" ht="12.75" customHeight="1" x14ac:dyDescent="0.2">
      <c r="L122"/>
    </row>
    <row r="123" spans="2:12" ht="12.75" customHeight="1" x14ac:dyDescent="0.2">
      <c r="L123"/>
    </row>
    <row r="124" spans="2:12" ht="12.75" customHeight="1" x14ac:dyDescent="0.2">
      <c r="L124"/>
    </row>
    <row r="125" spans="2:12" ht="12.75" customHeight="1" x14ac:dyDescent="0.2">
      <c r="L125"/>
    </row>
    <row r="126" spans="2:12" ht="12.75" customHeight="1" x14ac:dyDescent="0.2">
      <c r="L126"/>
    </row>
    <row r="127" spans="2:12" ht="12.75" customHeight="1" x14ac:dyDescent="0.2">
      <c r="L127"/>
    </row>
    <row r="128" spans="2:12" ht="12.75" customHeight="1" x14ac:dyDescent="0.2">
      <c r="L128"/>
    </row>
    <row r="129" spans="5:12" ht="12.75" customHeight="1" x14ac:dyDescent="0.2">
      <c r="L129"/>
    </row>
    <row r="130" spans="5:12" ht="12.75" customHeight="1" x14ac:dyDescent="0.2">
      <c r="J130"/>
      <c r="L130"/>
    </row>
    <row r="131" spans="5:12" ht="12.75" customHeight="1" x14ac:dyDescent="0.2">
      <c r="E131"/>
      <c r="J131"/>
      <c r="L131"/>
    </row>
    <row r="132" spans="5:12" ht="12.75" customHeight="1" x14ac:dyDescent="0.2">
      <c r="E132"/>
      <c r="J132"/>
      <c r="L132"/>
    </row>
    <row r="133" spans="5:12" ht="12.75" customHeight="1" x14ac:dyDescent="0.2">
      <c r="E133"/>
      <c r="J133"/>
      <c r="L133"/>
    </row>
    <row r="134" spans="5:12" ht="12.75" customHeight="1" x14ac:dyDescent="0.2">
      <c r="E134"/>
      <c r="J134"/>
      <c r="L134"/>
    </row>
    <row r="135" spans="5:12" ht="12.75" customHeight="1" x14ac:dyDescent="0.2">
      <c r="E135"/>
      <c r="J135"/>
      <c r="L135"/>
    </row>
    <row r="136" spans="5:12" ht="12.75" customHeight="1" x14ac:dyDescent="0.2">
      <c r="E136"/>
      <c r="J136"/>
      <c r="L136"/>
    </row>
    <row r="137" spans="5:12" ht="12.75" customHeight="1" x14ac:dyDescent="0.2">
      <c r="E137"/>
      <c r="J137"/>
      <c r="L137"/>
    </row>
    <row r="138" spans="5:12" ht="12.75" customHeight="1" x14ac:dyDescent="0.2">
      <c r="E138"/>
      <c r="J138"/>
      <c r="L138"/>
    </row>
    <row r="139" spans="5:12" ht="12.75" customHeight="1" x14ac:dyDescent="0.2">
      <c r="E139"/>
      <c r="J139"/>
      <c r="L139"/>
    </row>
    <row r="140" spans="5:12" ht="12.75" customHeight="1" x14ac:dyDescent="0.2">
      <c r="E140"/>
      <c r="J140"/>
      <c r="L140"/>
    </row>
    <row r="141" spans="5:12" ht="12.75" customHeight="1" x14ac:dyDescent="0.2">
      <c r="E141"/>
      <c r="J141"/>
      <c r="L141"/>
    </row>
    <row r="142" spans="5:12" ht="12.75" customHeight="1" x14ac:dyDescent="0.2">
      <c r="E142"/>
      <c r="J142"/>
      <c r="L142"/>
    </row>
    <row r="143" spans="5:12" ht="12.75" customHeight="1" x14ac:dyDescent="0.2">
      <c r="E143"/>
      <c r="J143"/>
      <c r="L143"/>
    </row>
    <row r="144" spans="5:12" ht="12.75" customHeight="1" x14ac:dyDescent="0.2">
      <c r="E144"/>
      <c r="J144"/>
      <c r="L144"/>
    </row>
    <row r="145" spans="5:12" ht="12.75" customHeight="1" x14ac:dyDescent="0.2">
      <c r="E145"/>
      <c r="J145"/>
      <c r="L145"/>
    </row>
    <row r="146" spans="5:12" ht="12.75" customHeight="1" x14ac:dyDescent="0.2">
      <c r="E146"/>
      <c r="J146"/>
      <c r="L146"/>
    </row>
    <row r="147" spans="5:12" ht="12.75" customHeight="1" x14ac:dyDescent="0.2">
      <c r="E147"/>
      <c r="J147"/>
      <c r="L147"/>
    </row>
    <row r="148" spans="5:12" ht="12.75" customHeight="1" x14ac:dyDescent="0.2">
      <c r="E148"/>
      <c r="J148"/>
      <c r="L148"/>
    </row>
    <row r="149" spans="5:12" ht="12.75" customHeight="1" x14ac:dyDescent="0.2">
      <c r="E149"/>
      <c r="J149"/>
      <c r="L149"/>
    </row>
    <row r="150" spans="5:12" ht="12.75" customHeight="1" x14ac:dyDescent="0.2">
      <c r="E150"/>
      <c r="J150"/>
      <c r="L150"/>
    </row>
    <row r="151" spans="5:12" ht="12.75" customHeight="1" x14ac:dyDescent="0.2">
      <c r="E151"/>
      <c r="J151"/>
      <c r="L151"/>
    </row>
    <row r="152" spans="5:12" ht="12.75" customHeight="1" x14ac:dyDescent="0.2">
      <c r="E152"/>
      <c r="J152"/>
      <c r="L152"/>
    </row>
    <row r="153" spans="5:12" ht="12.75" customHeight="1" x14ac:dyDescent="0.2">
      <c r="E153"/>
      <c r="J153"/>
      <c r="L153"/>
    </row>
    <row r="154" spans="5:12" ht="12.75" customHeight="1" x14ac:dyDescent="0.2">
      <c r="E154"/>
      <c r="J154"/>
      <c r="L154"/>
    </row>
    <row r="155" spans="5:12" ht="12.75" customHeight="1" x14ac:dyDescent="0.2">
      <c r="E155"/>
      <c r="J155"/>
      <c r="L155"/>
    </row>
    <row r="156" spans="5:12" ht="12.75" customHeight="1" x14ac:dyDescent="0.2">
      <c r="E156"/>
      <c r="J156"/>
      <c r="L156"/>
    </row>
    <row r="157" spans="5:12" ht="12.75" customHeight="1" x14ac:dyDescent="0.2">
      <c r="E157"/>
      <c r="J157"/>
      <c r="L157"/>
    </row>
    <row r="158" spans="5:12" ht="12.75" customHeight="1" x14ac:dyDescent="0.2">
      <c r="E158"/>
      <c r="J158"/>
      <c r="L158"/>
    </row>
    <row r="159" spans="5:12" ht="12.75" customHeight="1" x14ac:dyDescent="0.2">
      <c r="E159"/>
      <c r="J159"/>
      <c r="L159"/>
    </row>
    <row r="160" spans="5:12" ht="12.75" customHeight="1" x14ac:dyDescent="0.2">
      <c r="E160"/>
      <c r="J160"/>
      <c r="L160"/>
    </row>
    <row r="161" spans="5:12" ht="12.75" customHeight="1" x14ac:dyDescent="0.2">
      <c r="E161"/>
      <c r="J161"/>
      <c r="L161"/>
    </row>
    <row r="162" spans="5:12" ht="12.75" customHeight="1" x14ac:dyDescent="0.2">
      <c r="E162"/>
      <c r="J162"/>
      <c r="L162"/>
    </row>
    <row r="163" spans="5:12" ht="12.75" customHeight="1" x14ac:dyDescent="0.2">
      <c r="E163"/>
      <c r="J163"/>
      <c r="L163"/>
    </row>
    <row r="164" spans="5:12" ht="12.75" customHeight="1" x14ac:dyDescent="0.2">
      <c r="E164"/>
      <c r="J164"/>
      <c r="L164"/>
    </row>
    <row r="165" spans="5:12" ht="12.75" customHeight="1" x14ac:dyDescent="0.2">
      <c r="E165"/>
      <c r="J165"/>
      <c r="L165"/>
    </row>
    <row r="166" spans="5:12" ht="12.75" customHeight="1" x14ac:dyDescent="0.2">
      <c r="E166"/>
      <c r="J166"/>
      <c r="L166"/>
    </row>
    <row r="167" spans="5:12" ht="12.75" customHeight="1" x14ac:dyDescent="0.2">
      <c r="E167"/>
      <c r="J167"/>
      <c r="L167"/>
    </row>
    <row r="168" spans="5:12" x14ac:dyDescent="0.2">
      <c r="E168"/>
      <c r="J168"/>
      <c r="L168"/>
    </row>
    <row r="169" spans="5:12" x14ac:dyDescent="0.2">
      <c r="E169"/>
    </row>
  </sheetData>
  <sheetProtection password="EDB3" sheet="1" objects="1" scenarios="1"/>
  <sortState ref="K9:L35">
    <sortCondition descending="1" ref="L9:L35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26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378</v>
      </c>
      <c r="B1" s="127" t="s">
        <v>163</v>
      </c>
      <c r="C1" s="128"/>
      <c r="D1" s="128"/>
      <c r="E1" s="128"/>
      <c r="F1" s="128"/>
      <c r="G1" s="128"/>
      <c r="H1" s="129"/>
    </row>
    <row r="2" spans="1:16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406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191</v>
      </c>
      <c r="C9" t="s">
        <v>13</v>
      </c>
      <c r="D9" t="s">
        <v>10</v>
      </c>
      <c r="E9" s="28">
        <v>96534</v>
      </c>
      <c r="F9" s="13">
        <v>1936.182438</v>
      </c>
      <c r="G9" s="14">
        <f t="shared" ref="G9:G40" si="0">+ROUND(F9/VLOOKUP("Grand Total",$B$4:$F$276,5,0),4)</f>
        <v>4.87E-2</v>
      </c>
      <c r="H9" s="15" t="s">
        <v>371</v>
      </c>
      <c r="J9" s="14" t="s">
        <v>10</v>
      </c>
      <c r="K9" s="48">
        <f t="shared" ref="K9:K30" si="1">SUMIFS($G$5:$G$313,$D$5:$D$313,J9)</f>
        <v>0.2243</v>
      </c>
    </row>
    <row r="10" spans="1:16" ht="12.75" customHeight="1" x14ac:dyDescent="0.2">
      <c r="A10">
        <f>+MAX($A$8:A9)+1</f>
        <v>2</v>
      </c>
      <c r="B10" t="s">
        <v>194</v>
      </c>
      <c r="C10" t="s">
        <v>11</v>
      </c>
      <c r="D10" t="s">
        <v>10</v>
      </c>
      <c r="E10" s="28">
        <v>502443</v>
      </c>
      <c r="F10" s="13">
        <v>1773.3725684999999</v>
      </c>
      <c r="G10" s="14">
        <f t="shared" si="0"/>
        <v>4.4600000000000001E-2</v>
      </c>
      <c r="H10" s="15" t="s">
        <v>371</v>
      </c>
      <c r="J10" s="14" t="s">
        <v>26</v>
      </c>
      <c r="K10" s="48">
        <f t="shared" si="1"/>
        <v>0.1032</v>
      </c>
    </row>
    <row r="11" spans="1:16" ht="12.75" customHeight="1" x14ac:dyDescent="0.2">
      <c r="A11">
        <f>+MAX($A$8:A10)+1</f>
        <v>3</v>
      </c>
      <c r="B11" t="s">
        <v>193</v>
      </c>
      <c r="C11" t="s">
        <v>31</v>
      </c>
      <c r="D11" t="s">
        <v>30</v>
      </c>
      <c r="E11" s="28">
        <v>138452</v>
      </c>
      <c r="F11" s="13">
        <v>1330.9390759999999</v>
      </c>
      <c r="G11" s="14">
        <f t="shared" si="0"/>
        <v>3.3399999999999999E-2</v>
      </c>
      <c r="H11" s="15" t="s">
        <v>371</v>
      </c>
      <c r="J11" s="14" t="s">
        <v>28</v>
      </c>
      <c r="K11" s="48">
        <f t="shared" si="1"/>
        <v>5.9500000000000004E-2</v>
      </c>
      <c r="M11" s="14"/>
      <c r="N11" s="36"/>
      <c r="O11" s="36"/>
      <c r="P11" s="14"/>
    </row>
    <row r="12" spans="1:16" ht="12.75" customHeight="1" x14ac:dyDescent="0.2">
      <c r="A12">
        <f>+MAX($A$8:A11)+1</f>
        <v>4</v>
      </c>
      <c r="B12" t="s">
        <v>225</v>
      </c>
      <c r="C12" t="s">
        <v>71</v>
      </c>
      <c r="D12" t="s">
        <v>28</v>
      </c>
      <c r="E12" s="28">
        <v>91362</v>
      </c>
      <c r="F12" s="13">
        <v>1294.14273</v>
      </c>
      <c r="G12" s="14">
        <f t="shared" si="0"/>
        <v>3.2500000000000001E-2</v>
      </c>
      <c r="H12" s="15" t="s">
        <v>371</v>
      </c>
      <c r="J12" s="14" t="s">
        <v>14</v>
      </c>
      <c r="K12" s="48">
        <f t="shared" si="1"/>
        <v>5.9200000000000003E-2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16</v>
      </c>
      <c r="C13" t="s">
        <v>17</v>
      </c>
      <c r="D13" t="s">
        <v>10</v>
      </c>
      <c r="E13" s="28">
        <v>369301</v>
      </c>
      <c r="F13" s="13">
        <v>1156.8353824999999</v>
      </c>
      <c r="G13" s="14">
        <f t="shared" si="0"/>
        <v>2.9100000000000001E-2</v>
      </c>
      <c r="H13" s="15" t="s">
        <v>371</v>
      </c>
      <c r="J13" s="14" t="s">
        <v>24</v>
      </c>
      <c r="K13" s="48">
        <f t="shared" si="1"/>
        <v>5.6300000000000003E-2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197</v>
      </c>
      <c r="C14" t="s">
        <v>27</v>
      </c>
      <c r="D14" t="s">
        <v>24</v>
      </c>
      <c r="E14" s="28">
        <v>58670</v>
      </c>
      <c r="F14" s="13">
        <v>1147.7612099999999</v>
      </c>
      <c r="G14" s="14">
        <f t="shared" si="0"/>
        <v>2.8799999999999999E-2</v>
      </c>
      <c r="H14" s="15" t="s">
        <v>371</v>
      </c>
      <c r="J14" s="14" t="s">
        <v>36</v>
      </c>
      <c r="K14" s="48">
        <f t="shared" si="1"/>
        <v>5.4300000000000001E-2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192</v>
      </c>
      <c r="C15" t="s">
        <v>15</v>
      </c>
      <c r="D15" t="s">
        <v>14</v>
      </c>
      <c r="E15" s="28">
        <v>96097</v>
      </c>
      <c r="F15" s="13">
        <v>1105.3557424999999</v>
      </c>
      <c r="G15" s="14">
        <f t="shared" si="0"/>
        <v>2.7799999999999998E-2</v>
      </c>
      <c r="H15" s="15" t="s">
        <v>371</v>
      </c>
      <c r="J15" s="14" t="s">
        <v>22</v>
      </c>
      <c r="K15" s="48">
        <f t="shared" si="1"/>
        <v>5.21E-2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346</v>
      </c>
      <c r="C16" t="s">
        <v>412</v>
      </c>
      <c r="D16" t="s">
        <v>134</v>
      </c>
      <c r="E16" s="28">
        <v>75962</v>
      </c>
      <c r="F16" s="13">
        <v>916.70941599999992</v>
      </c>
      <c r="G16" s="14">
        <f t="shared" si="0"/>
        <v>2.3E-2</v>
      </c>
      <c r="H16" s="15" t="s">
        <v>371</v>
      </c>
      <c r="J16" s="14" t="s">
        <v>18</v>
      </c>
      <c r="K16" s="48">
        <f t="shared" si="1"/>
        <v>5.21E-2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231</v>
      </c>
      <c r="C17" t="s">
        <v>78</v>
      </c>
      <c r="D17" t="s">
        <v>26</v>
      </c>
      <c r="E17" s="28">
        <v>27366</v>
      </c>
      <c r="F17" s="13">
        <v>899.13729599999999</v>
      </c>
      <c r="G17" s="14">
        <f t="shared" si="0"/>
        <v>2.2599999999999999E-2</v>
      </c>
      <c r="H17" s="15" t="s">
        <v>371</v>
      </c>
      <c r="J17" s="14" t="s">
        <v>20</v>
      </c>
      <c r="K17" s="48">
        <f t="shared" si="1"/>
        <v>5.2099999999999994E-2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206</v>
      </c>
      <c r="C18" t="s">
        <v>52</v>
      </c>
      <c r="D18" t="s">
        <v>41</v>
      </c>
      <c r="E18" s="28">
        <v>618703</v>
      </c>
      <c r="F18" s="13">
        <v>865.87484849999998</v>
      </c>
      <c r="G18" s="14">
        <f t="shared" si="0"/>
        <v>2.18E-2</v>
      </c>
      <c r="H18" s="15" t="s">
        <v>371</v>
      </c>
      <c r="J18" s="14" t="s">
        <v>134</v>
      </c>
      <c r="K18" s="48">
        <f t="shared" si="1"/>
        <v>4.9099999999999998E-2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316</v>
      </c>
      <c r="C19" t="s">
        <v>317</v>
      </c>
      <c r="D19" t="s">
        <v>144</v>
      </c>
      <c r="E19" s="28">
        <v>174566</v>
      </c>
      <c r="F19" s="13">
        <v>852.05664599999989</v>
      </c>
      <c r="G19" s="14">
        <f t="shared" si="0"/>
        <v>2.1399999999999999E-2</v>
      </c>
      <c r="H19" s="15" t="s">
        <v>371</v>
      </c>
      <c r="J19" s="14" t="s">
        <v>38</v>
      </c>
      <c r="K19" s="48">
        <f t="shared" si="1"/>
        <v>3.3500000000000002E-2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585</v>
      </c>
      <c r="C20" t="s">
        <v>586</v>
      </c>
      <c r="D20" t="s">
        <v>36</v>
      </c>
      <c r="E20" s="28">
        <v>900000</v>
      </c>
      <c r="F20" s="13">
        <v>801</v>
      </c>
      <c r="G20" s="14">
        <f t="shared" si="0"/>
        <v>2.01E-2</v>
      </c>
      <c r="H20" s="15" t="s">
        <v>371</v>
      </c>
      <c r="J20" s="14" t="s">
        <v>30</v>
      </c>
      <c r="K20" s="48">
        <f t="shared" si="1"/>
        <v>3.3399999999999999E-2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209</v>
      </c>
      <c r="C21" t="s">
        <v>49</v>
      </c>
      <c r="D21" t="s">
        <v>20</v>
      </c>
      <c r="E21" s="28">
        <v>8177</v>
      </c>
      <c r="F21" s="13">
        <v>777.60816900000009</v>
      </c>
      <c r="G21" s="14">
        <f t="shared" si="0"/>
        <v>1.95E-2</v>
      </c>
      <c r="H21" s="15" t="s">
        <v>371</v>
      </c>
      <c r="J21" t="s">
        <v>41</v>
      </c>
      <c r="K21" s="48">
        <f t="shared" si="1"/>
        <v>3.1600000000000003E-2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394</v>
      </c>
      <c r="C22" t="s">
        <v>393</v>
      </c>
      <c r="D22" t="s">
        <v>26</v>
      </c>
      <c r="E22" s="28">
        <v>218229</v>
      </c>
      <c r="F22" s="13">
        <v>776.02232400000003</v>
      </c>
      <c r="G22" s="14">
        <f t="shared" si="0"/>
        <v>1.95E-2</v>
      </c>
      <c r="H22" s="15" t="s">
        <v>371</v>
      </c>
      <c r="J22" s="14" t="s">
        <v>144</v>
      </c>
      <c r="K22" s="48">
        <f t="shared" si="1"/>
        <v>2.1399999999999999E-2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309</v>
      </c>
      <c r="C23" t="s">
        <v>76</v>
      </c>
      <c r="D23" t="s">
        <v>38</v>
      </c>
      <c r="E23" s="28">
        <v>224228</v>
      </c>
      <c r="F23" s="13">
        <v>772.35334599999999</v>
      </c>
      <c r="G23" s="14">
        <f t="shared" si="0"/>
        <v>1.9400000000000001E-2</v>
      </c>
      <c r="H23" s="15" t="s">
        <v>371</v>
      </c>
      <c r="J23" s="14" t="s">
        <v>495</v>
      </c>
      <c r="K23" s="48">
        <f t="shared" si="1"/>
        <v>2.1399999999999999E-2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409</v>
      </c>
      <c r="C24" t="s">
        <v>410</v>
      </c>
      <c r="D24" t="s">
        <v>411</v>
      </c>
      <c r="E24" s="28">
        <v>442400</v>
      </c>
      <c r="F24" s="13">
        <v>709.38840000000005</v>
      </c>
      <c r="G24" s="14">
        <f t="shared" si="0"/>
        <v>1.78E-2</v>
      </c>
      <c r="H24" s="15" t="s">
        <v>371</v>
      </c>
      <c r="J24" s="14" t="s">
        <v>45</v>
      </c>
      <c r="K24" s="48">
        <f t="shared" si="1"/>
        <v>1.95E-2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224</v>
      </c>
      <c r="C25" t="s">
        <v>66</v>
      </c>
      <c r="D25" t="s">
        <v>28</v>
      </c>
      <c r="E25" s="28">
        <v>198268</v>
      </c>
      <c r="F25" s="13">
        <v>697.01115400000003</v>
      </c>
      <c r="G25" s="14">
        <f t="shared" si="0"/>
        <v>1.7500000000000002E-2</v>
      </c>
      <c r="H25" s="15" t="s">
        <v>371</v>
      </c>
      <c r="J25" s="14" t="s">
        <v>411</v>
      </c>
      <c r="K25" s="48">
        <f t="shared" si="1"/>
        <v>1.78E-2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195</v>
      </c>
      <c r="C26" t="s">
        <v>21</v>
      </c>
      <c r="D26" t="s">
        <v>20</v>
      </c>
      <c r="E26" s="28">
        <v>170826</v>
      </c>
      <c r="F26" s="13">
        <v>682.44987000000003</v>
      </c>
      <c r="G26" s="14">
        <f t="shared" si="0"/>
        <v>1.72E-2</v>
      </c>
      <c r="H26" s="15" t="s">
        <v>371</v>
      </c>
      <c r="J26" s="14" t="s">
        <v>51</v>
      </c>
      <c r="K26" s="48">
        <f t="shared" si="1"/>
        <v>1.44E-2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216</v>
      </c>
      <c r="C27" t="s">
        <v>19</v>
      </c>
      <c r="D27" t="s">
        <v>14</v>
      </c>
      <c r="E27" s="28">
        <v>21720</v>
      </c>
      <c r="F27" s="13">
        <v>676.00242000000003</v>
      </c>
      <c r="G27" s="14">
        <f t="shared" si="0"/>
        <v>1.7000000000000001E-2</v>
      </c>
      <c r="H27" s="15" t="s">
        <v>371</v>
      </c>
      <c r="J27" s="14" t="s">
        <v>43</v>
      </c>
      <c r="K27" s="48">
        <f t="shared" si="1"/>
        <v>1.12E-2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250</v>
      </c>
      <c r="C28" t="s">
        <v>115</v>
      </c>
      <c r="D28" t="s">
        <v>36</v>
      </c>
      <c r="E28" s="28">
        <v>396200</v>
      </c>
      <c r="F28" s="13">
        <v>674.53049999999996</v>
      </c>
      <c r="G28" s="14">
        <f t="shared" si="0"/>
        <v>1.7000000000000001E-2</v>
      </c>
      <c r="H28" s="15" t="s">
        <v>371</v>
      </c>
      <c r="J28" t="s">
        <v>34</v>
      </c>
      <c r="K28" s="48">
        <f t="shared" si="1"/>
        <v>7.7999999999999996E-3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201</v>
      </c>
      <c r="C29" t="s">
        <v>46</v>
      </c>
      <c r="D29" t="s">
        <v>26</v>
      </c>
      <c r="E29" s="28">
        <v>244866</v>
      </c>
      <c r="F29" s="13">
        <v>664.56632400000001</v>
      </c>
      <c r="G29" s="14">
        <f t="shared" si="0"/>
        <v>1.67E-2</v>
      </c>
      <c r="H29" s="15" t="s">
        <v>371</v>
      </c>
      <c r="J29" s="14" t="s">
        <v>433</v>
      </c>
      <c r="K29" s="48">
        <f t="shared" si="1"/>
        <v>3.8E-3</v>
      </c>
      <c r="L29" s="54">
        <f>+SUM($K$9:K27)</f>
        <v>0.96640000000000004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203</v>
      </c>
      <c r="C30" t="s">
        <v>48</v>
      </c>
      <c r="D30" t="s">
        <v>26</v>
      </c>
      <c r="E30" s="28">
        <v>14166</v>
      </c>
      <c r="F30" s="13">
        <v>663.55668900000001</v>
      </c>
      <c r="G30" s="14">
        <f t="shared" si="0"/>
        <v>1.67E-2</v>
      </c>
      <c r="H30" s="15" t="s">
        <v>371</v>
      </c>
      <c r="J30" s="14" t="s">
        <v>102</v>
      </c>
      <c r="K30" s="48">
        <f t="shared" si="1"/>
        <v>0</v>
      </c>
      <c r="L30" s="54"/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308</v>
      </c>
      <c r="C31" t="s">
        <v>57</v>
      </c>
      <c r="D31" t="s">
        <v>26</v>
      </c>
      <c r="E31" s="28">
        <v>47162</v>
      </c>
      <c r="F31" s="13">
        <v>660.24441899999999</v>
      </c>
      <c r="G31" s="14">
        <f t="shared" si="0"/>
        <v>1.66E-2</v>
      </c>
      <c r="H31" s="15" t="s">
        <v>371</v>
      </c>
      <c r="J31" s="14" t="s">
        <v>64</v>
      </c>
      <c r="K31" s="48">
        <f>+SUMIFS($G$5:$G$997,$B$5:$B$997,"CBLO / Reverse Repo Investments")+SUMIFS($G$5:$G$997,$B$5:$B$997,"Net Receivable/Payable")</f>
        <v>2.1999999999999999E-2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202</v>
      </c>
      <c r="C32" t="s">
        <v>44</v>
      </c>
      <c r="D32" t="s">
        <v>24</v>
      </c>
      <c r="E32" s="28">
        <v>105318</v>
      </c>
      <c r="F32" s="13">
        <v>613.16139599999997</v>
      </c>
      <c r="G32" s="14">
        <f t="shared" si="0"/>
        <v>1.54E-2</v>
      </c>
      <c r="H32" s="15" t="s">
        <v>371</v>
      </c>
      <c r="J32" s="14"/>
      <c r="K32" s="48"/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248</v>
      </c>
      <c r="C33" t="s">
        <v>112</v>
      </c>
      <c r="D33" t="s">
        <v>20</v>
      </c>
      <c r="E33" s="28">
        <v>16598</v>
      </c>
      <c r="F33" s="13">
        <v>612.70687099999998</v>
      </c>
      <c r="G33" s="14">
        <f t="shared" si="0"/>
        <v>1.54E-2</v>
      </c>
      <c r="H33" s="15" t="s">
        <v>371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212</v>
      </c>
      <c r="C34" t="s">
        <v>98</v>
      </c>
      <c r="D34" t="s">
        <v>10</v>
      </c>
      <c r="E34" s="28">
        <v>54915</v>
      </c>
      <c r="F34" s="13">
        <v>608.97989250000001</v>
      </c>
      <c r="G34" s="14">
        <f t="shared" si="0"/>
        <v>1.5299999999999999E-2</v>
      </c>
      <c r="H34" s="15" t="s">
        <v>371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215</v>
      </c>
      <c r="C35" t="s">
        <v>61</v>
      </c>
      <c r="D35" t="s">
        <v>22</v>
      </c>
      <c r="E35" s="28">
        <v>93656</v>
      </c>
      <c r="F35" s="13">
        <v>589.61134800000002</v>
      </c>
      <c r="G35" s="14">
        <f t="shared" si="0"/>
        <v>1.4800000000000001E-2</v>
      </c>
      <c r="H35" s="15" t="s">
        <v>371</v>
      </c>
    </row>
    <row r="36" spans="1:16" ht="12.75" customHeight="1" x14ac:dyDescent="0.2">
      <c r="A36">
        <f>+MAX($A$8:A35)+1</f>
        <v>28</v>
      </c>
      <c r="B36" t="s">
        <v>550</v>
      </c>
      <c r="C36" t="s">
        <v>551</v>
      </c>
      <c r="D36" t="s">
        <v>134</v>
      </c>
      <c r="E36" s="28">
        <v>151654</v>
      </c>
      <c r="F36" s="13">
        <v>577.11929700000007</v>
      </c>
      <c r="G36" s="14">
        <f t="shared" si="0"/>
        <v>1.4500000000000001E-2</v>
      </c>
      <c r="H36" s="15" t="s">
        <v>371</v>
      </c>
    </row>
    <row r="37" spans="1:16" ht="12.75" customHeight="1" x14ac:dyDescent="0.2">
      <c r="A37">
        <f>+MAX($A$8:A36)+1</f>
        <v>29</v>
      </c>
      <c r="B37" t="s">
        <v>228</v>
      </c>
      <c r="C37" t="s">
        <v>79</v>
      </c>
      <c r="D37" t="s">
        <v>51</v>
      </c>
      <c r="E37" s="28">
        <v>191412</v>
      </c>
      <c r="F37" s="13">
        <v>573.37464599999998</v>
      </c>
      <c r="G37" s="14">
        <f t="shared" si="0"/>
        <v>1.44E-2</v>
      </c>
      <c r="H37" s="15" t="s">
        <v>371</v>
      </c>
    </row>
    <row r="38" spans="1:16" ht="12.75" customHeight="1" x14ac:dyDescent="0.2">
      <c r="A38">
        <f>+MAX($A$8:A37)+1</f>
        <v>30</v>
      </c>
      <c r="B38" t="s">
        <v>196</v>
      </c>
      <c r="C38" t="s">
        <v>25</v>
      </c>
      <c r="D38" t="s">
        <v>14</v>
      </c>
      <c r="E38" s="28">
        <v>58069</v>
      </c>
      <c r="F38" s="13">
        <v>572.87971950000008</v>
      </c>
      <c r="G38" s="14">
        <f t="shared" si="0"/>
        <v>1.44E-2</v>
      </c>
      <c r="H38" s="15" t="s">
        <v>371</v>
      </c>
    </row>
    <row r="39" spans="1:16" ht="12.75" customHeight="1" x14ac:dyDescent="0.2">
      <c r="A39">
        <f>+MAX($A$8:A38)+1</f>
        <v>31</v>
      </c>
      <c r="B39" t="s">
        <v>367</v>
      </c>
      <c r="C39" t="s">
        <v>368</v>
      </c>
      <c r="D39" t="s">
        <v>38</v>
      </c>
      <c r="E39" s="28">
        <v>648360</v>
      </c>
      <c r="F39" s="13">
        <v>560.83140000000003</v>
      </c>
      <c r="G39" s="14">
        <f t="shared" si="0"/>
        <v>1.41E-2</v>
      </c>
      <c r="H39" s="15" t="s">
        <v>371</v>
      </c>
    </row>
    <row r="40" spans="1:16" ht="12.75" customHeight="1" x14ac:dyDescent="0.2">
      <c r="A40">
        <f>+MAX($A$8:A39)+1</f>
        <v>32</v>
      </c>
      <c r="B40" t="s">
        <v>549</v>
      </c>
      <c r="C40" t="s">
        <v>475</v>
      </c>
      <c r="D40" t="s">
        <v>22</v>
      </c>
      <c r="E40" s="28">
        <v>142801</v>
      </c>
      <c r="F40" s="13">
        <v>536.64615800000001</v>
      </c>
      <c r="G40" s="14">
        <f t="shared" si="0"/>
        <v>1.35E-2</v>
      </c>
      <c r="H40" s="15" t="s">
        <v>371</v>
      </c>
    </row>
    <row r="41" spans="1:16" ht="12.75" customHeight="1" x14ac:dyDescent="0.2">
      <c r="A41">
        <f>+MAX($A$8:A40)+1</f>
        <v>33</v>
      </c>
      <c r="B41" t="s">
        <v>430</v>
      </c>
      <c r="C41" t="s">
        <v>68</v>
      </c>
      <c r="D41" t="s">
        <v>22</v>
      </c>
      <c r="E41" s="28">
        <v>90939</v>
      </c>
      <c r="F41" s="13">
        <v>527.35526100000004</v>
      </c>
      <c r="G41" s="14">
        <f t="shared" ref="G41:G70" si="2">+ROUND(F41/VLOOKUP("Grand Total",$B$4:$F$276,5,0),4)</f>
        <v>1.3299999999999999E-2</v>
      </c>
      <c r="H41" s="15" t="s">
        <v>371</v>
      </c>
    </row>
    <row r="42" spans="1:16" ht="12.75" customHeight="1" x14ac:dyDescent="0.2">
      <c r="A42">
        <f>+MAX($A$8:A41)+1</f>
        <v>34</v>
      </c>
      <c r="B42" t="s">
        <v>211</v>
      </c>
      <c r="C42" t="s">
        <v>74</v>
      </c>
      <c r="D42" t="s">
        <v>495</v>
      </c>
      <c r="E42" s="28">
        <v>364687</v>
      </c>
      <c r="F42" s="13">
        <v>503.997434</v>
      </c>
      <c r="G42" s="14">
        <f t="shared" si="2"/>
        <v>1.2699999999999999E-2</v>
      </c>
      <c r="H42" s="15" t="s">
        <v>371</v>
      </c>
    </row>
    <row r="43" spans="1:16" ht="12.75" customHeight="1" x14ac:dyDescent="0.2">
      <c r="A43">
        <f>+MAX($A$8:A42)+1</f>
        <v>35</v>
      </c>
      <c r="B43" t="s">
        <v>220</v>
      </c>
      <c r="C43" t="s">
        <v>63</v>
      </c>
      <c r="D43" t="s">
        <v>36</v>
      </c>
      <c r="E43" s="28">
        <v>112794</v>
      </c>
      <c r="F43" s="13">
        <v>500.692566</v>
      </c>
      <c r="G43" s="14">
        <f t="shared" si="2"/>
        <v>1.26E-2</v>
      </c>
      <c r="H43" s="15" t="s">
        <v>371</v>
      </c>
    </row>
    <row r="44" spans="1:16" ht="12.75" customHeight="1" x14ac:dyDescent="0.2">
      <c r="A44">
        <f>+MAX($A$8:A43)+1</f>
        <v>36</v>
      </c>
      <c r="B44" t="s">
        <v>615</v>
      </c>
      <c r="C44" t="s">
        <v>405</v>
      </c>
      <c r="D44" t="s">
        <v>10</v>
      </c>
      <c r="E44" s="28">
        <v>439203</v>
      </c>
      <c r="F44" s="13">
        <v>487.07612700000004</v>
      </c>
      <c r="G44" s="14">
        <f t="shared" si="2"/>
        <v>1.2200000000000001E-2</v>
      </c>
      <c r="H44" s="15" t="s">
        <v>371</v>
      </c>
    </row>
    <row r="45" spans="1:16" ht="12.75" customHeight="1" x14ac:dyDescent="0.2">
      <c r="A45">
        <f>+MAX($A$8:A44)+1</f>
        <v>37</v>
      </c>
      <c r="B45" t="s">
        <v>498</v>
      </c>
      <c r="C45" t="s">
        <v>499</v>
      </c>
      <c r="D45" t="s">
        <v>24</v>
      </c>
      <c r="E45" s="28">
        <v>34774</v>
      </c>
      <c r="F45" s="13">
        <v>479.794265</v>
      </c>
      <c r="G45" s="14">
        <f t="shared" si="2"/>
        <v>1.21E-2</v>
      </c>
      <c r="H45" s="15" t="s">
        <v>371</v>
      </c>
    </row>
    <row r="46" spans="1:16" ht="12.75" customHeight="1" x14ac:dyDescent="0.2">
      <c r="A46">
        <f>+MAX($A$8:A45)+1</f>
        <v>38</v>
      </c>
      <c r="B46" t="s">
        <v>573</v>
      </c>
      <c r="C46" t="s">
        <v>574</v>
      </c>
      <c r="D46" t="s">
        <v>134</v>
      </c>
      <c r="E46" s="28">
        <v>95849</v>
      </c>
      <c r="F46" s="13">
        <v>460.2189735</v>
      </c>
      <c r="G46" s="14">
        <f t="shared" si="2"/>
        <v>1.1599999999999999E-2</v>
      </c>
      <c r="H46" s="15" t="s">
        <v>371</v>
      </c>
    </row>
    <row r="47" spans="1:16" ht="12.75" customHeight="1" x14ac:dyDescent="0.2">
      <c r="A47">
        <f>+MAX($A$8:A46)+1</f>
        <v>39</v>
      </c>
      <c r="B47" t="s">
        <v>40</v>
      </c>
      <c r="C47" t="s">
        <v>42</v>
      </c>
      <c r="D47" t="s">
        <v>10</v>
      </c>
      <c r="E47" s="28">
        <v>288565</v>
      </c>
      <c r="F47" s="13">
        <v>452.46992</v>
      </c>
      <c r="G47" s="14">
        <f t="shared" si="2"/>
        <v>1.14E-2</v>
      </c>
      <c r="H47" s="15" t="s">
        <v>371</v>
      </c>
    </row>
    <row r="48" spans="1:16" ht="12.75" customHeight="1" x14ac:dyDescent="0.2">
      <c r="A48">
        <f>+MAX($A$8:A47)+1</f>
        <v>40</v>
      </c>
      <c r="B48" t="s">
        <v>338</v>
      </c>
      <c r="C48" t="s">
        <v>339</v>
      </c>
      <c r="D48" t="s">
        <v>18</v>
      </c>
      <c r="E48" s="28">
        <v>39873</v>
      </c>
      <c r="F48" s="13">
        <v>449.68769399999996</v>
      </c>
      <c r="G48" s="14">
        <f t="shared" si="2"/>
        <v>1.1299999999999999E-2</v>
      </c>
      <c r="H48" s="15" t="s">
        <v>371</v>
      </c>
    </row>
    <row r="49" spans="1:8" ht="12.75" customHeight="1" x14ac:dyDescent="0.2">
      <c r="A49">
        <f>+MAX($A$8:A48)+1</f>
        <v>41</v>
      </c>
      <c r="B49" t="s">
        <v>496</v>
      </c>
      <c r="C49" t="s">
        <v>497</v>
      </c>
      <c r="D49" t="s">
        <v>43</v>
      </c>
      <c r="E49" s="28">
        <v>42585</v>
      </c>
      <c r="F49" s="13">
        <v>447.014745</v>
      </c>
      <c r="G49" s="14">
        <f t="shared" si="2"/>
        <v>1.12E-2</v>
      </c>
      <c r="H49" s="15" t="s">
        <v>371</v>
      </c>
    </row>
    <row r="50" spans="1:8" ht="12.75" customHeight="1" x14ac:dyDescent="0.2">
      <c r="A50">
        <f>+MAX($A$8:A49)+1</f>
        <v>42</v>
      </c>
      <c r="B50" t="s">
        <v>587</v>
      </c>
      <c r="C50" t="s">
        <v>588</v>
      </c>
      <c r="D50" t="s">
        <v>26</v>
      </c>
      <c r="E50" s="28">
        <v>6673</v>
      </c>
      <c r="F50" s="13">
        <v>443.26403450000004</v>
      </c>
      <c r="G50" s="14">
        <f t="shared" si="2"/>
        <v>1.11E-2</v>
      </c>
      <c r="H50" s="15" t="s">
        <v>371</v>
      </c>
    </row>
    <row r="51" spans="1:8" ht="12.75" customHeight="1" x14ac:dyDescent="0.2">
      <c r="A51">
        <f>+MAX($A$8:A50)+1</f>
        <v>43</v>
      </c>
      <c r="B51" t="s">
        <v>230</v>
      </c>
      <c r="C51" t="s">
        <v>81</v>
      </c>
      <c r="D51" t="s">
        <v>45</v>
      </c>
      <c r="E51" s="28">
        <v>139426</v>
      </c>
      <c r="F51" s="13">
        <v>432.569165</v>
      </c>
      <c r="G51" s="14">
        <f t="shared" si="2"/>
        <v>1.09E-2</v>
      </c>
      <c r="H51" s="15" t="s">
        <v>371</v>
      </c>
    </row>
    <row r="52" spans="1:8" ht="12.75" customHeight="1" x14ac:dyDescent="0.2">
      <c r="A52">
        <f>+MAX($A$8:A51)+1</f>
        <v>44</v>
      </c>
      <c r="B52" t="s">
        <v>204</v>
      </c>
      <c r="C52" t="s">
        <v>53</v>
      </c>
      <c r="D52" t="s">
        <v>18</v>
      </c>
      <c r="E52" s="28">
        <v>9782</v>
      </c>
      <c r="F52" s="13">
        <v>428.64724000000001</v>
      </c>
      <c r="G52" s="14">
        <f t="shared" si="2"/>
        <v>1.0800000000000001E-2</v>
      </c>
      <c r="H52" s="15" t="s">
        <v>371</v>
      </c>
    </row>
    <row r="53" spans="1:8" ht="12.75" customHeight="1" x14ac:dyDescent="0.2">
      <c r="A53">
        <f>+MAX($A$8:A52)+1</f>
        <v>45</v>
      </c>
      <c r="B53" s="65" t="s">
        <v>205</v>
      </c>
      <c r="C53" s="65" t="s">
        <v>50</v>
      </c>
      <c r="D53" t="s">
        <v>22</v>
      </c>
      <c r="E53" s="28">
        <v>7446</v>
      </c>
      <c r="F53" s="13">
        <v>418.84122299999996</v>
      </c>
      <c r="G53" s="14">
        <f t="shared" si="2"/>
        <v>1.0500000000000001E-2</v>
      </c>
      <c r="H53" s="15" t="s">
        <v>371</v>
      </c>
    </row>
    <row r="54" spans="1:8" ht="12.75" customHeight="1" x14ac:dyDescent="0.2">
      <c r="A54">
        <f>+MAX($A$8:A53)+1</f>
        <v>46</v>
      </c>
      <c r="B54" t="s">
        <v>251</v>
      </c>
      <c r="C54" t="s">
        <v>548</v>
      </c>
      <c r="D54" t="s">
        <v>10</v>
      </c>
      <c r="E54" s="28">
        <v>117820</v>
      </c>
      <c r="F54" s="13">
        <v>417.55408</v>
      </c>
      <c r="G54" s="14">
        <f t="shared" si="2"/>
        <v>1.0500000000000001E-2</v>
      </c>
      <c r="H54" s="15" t="s">
        <v>371</v>
      </c>
    </row>
    <row r="55" spans="1:8" ht="12.75" customHeight="1" x14ac:dyDescent="0.2">
      <c r="A55">
        <f>+MAX($A$8:A54)+1</f>
        <v>47</v>
      </c>
      <c r="B55" t="s">
        <v>207</v>
      </c>
      <c r="C55" t="s">
        <v>33</v>
      </c>
      <c r="D55" t="s">
        <v>18</v>
      </c>
      <c r="E55" s="28">
        <v>37195</v>
      </c>
      <c r="F55" s="13">
        <v>414.68705499999999</v>
      </c>
      <c r="G55" s="14">
        <f t="shared" si="2"/>
        <v>1.04E-2</v>
      </c>
      <c r="H55" s="15" t="s">
        <v>371</v>
      </c>
    </row>
    <row r="56" spans="1:8" ht="12.75" customHeight="1" x14ac:dyDescent="0.2">
      <c r="A56">
        <f>+MAX($A$8:A55)+1</f>
        <v>48</v>
      </c>
      <c r="B56" t="s">
        <v>217</v>
      </c>
      <c r="C56" t="s">
        <v>29</v>
      </c>
      <c r="D56" t="s">
        <v>10</v>
      </c>
      <c r="E56" s="28">
        <v>67240</v>
      </c>
      <c r="F56" s="13">
        <v>399.13664</v>
      </c>
      <c r="G56" s="14">
        <f t="shared" si="2"/>
        <v>0.01</v>
      </c>
      <c r="H56" s="15" t="s">
        <v>371</v>
      </c>
    </row>
    <row r="57" spans="1:8" ht="12.75" customHeight="1" x14ac:dyDescent="0.2">
      <c r="A57">
        <f>+MAX($A$8:A56)+1</f>
        <v>49</v>
      </c>
      <c r="B57" t="s">
        <v>200</v>
      </c>
      <c r="C57" t="s">
        <v>35</v>
      </c>
      <c r="D57" t="s">
        <v>18</v>
      </c>
      <c r="E57" s="28">
        <v>28649</v>
      </c>
      <c r="F57" s="13">
        <v>397.7197425</v>
      </c>
      <c r="G57" s="14">
        <f t="shared" si="2"/>
        <v>0.01</v>
      </c>
      <c r="H57" s="15" t="s">
        <v>371</v>
      </c>
    </row>
    <row r="58" spans="1:8" ht="12.75" customHeight="1" x14ac:dyDescent="0.2">
      <c r="A58">
        <f>+MAX($A$8:A57)+1</f>
        <v>50</v>
      </c>
      <c r="B58" t="s">
        <v>277</v>
      </c>
      <c r="C58" t="s">
        <v>147</v>
      </c>
      <c r="D58" t="s">
        <v>41</v>
      </c>
      <c r="E58" s="28">
        <v>50000</v>
      </c>
      <c r="F58" s="13">
        <v>389.45</v>
      </c>
      <c r="G58" s="14">
        <f t="shared" si="2"/>
        <v>9.7999999999999997E-3</v>
      </c>
      <c r="H58" s="15" t="s">
        <v>371</v>
      </c>
    </row>
    <row r="59" spans="1:8" ht="12.75" customHeight="1" x14ac:dyDescent="0.2">
      <c r="A59">
        <f>+MAX($A$8:A58)+1</f>
        <v>51</v>
      </c>
      <c r="B59" t="s">
        <v>310</v>
      </c>
      <c r="C59" t="s">
        <v>67</v>
      </c>
      <c r="D59" t="s">
        <v>18</v>
      </c>
      <c r="E59" s="28">
        <v>227899</v>
      </c>
      <c r="F59" s="13">
        <v>383.21216850000002</v>
      </c>
      <c r="G59" s="14">
        <f t="shared" si="2"/>
        <v>9.5999999999999992E-3</v>
      </c>
      <c r="H59" s="15" t="s">
        <v>371</v>
      </c>
    </row>
    <row r="60" spans="1:8" ht="12.75" customHeight="1" x14ac:dyDescent="0.2">
      <c r="A60">
        <f>+MAX($A$8:A59)+1</f>
        <v>52</v>
      </c>
      <c r="B60" t="s">
        <v>318</v>
      </c>
      <c r="C60" t="s">
        <v>72</v>
      </c>
      <c r="D60" t="s">
        <v>28</v>
      </c>
      <c r="E60" s="28">
        <v>961315</v>
      </c>
      <c r="F60" s="13">
        <v>377.79679499999997</v>
      </c>
      <c r="G60" s="14">
        <f t="shared" si="2"/>
        <v>9.4999999999999998E-3</v>
      </c>
      <c r="H60" s="15" t="s">
        <v>371</v>
      </c>
    </row>
    <row r="61" spans="1:8" ht="12.75" customHeight="1" x14ac:dyDescent="0.2">
      <c r="A61">
        <f>+MAX($A$8:A60)+1</f>
        <v>53</v>
      </c>
      <c r="B61" t="s">
        <v>554</v>
      </c>
      <c r="C61" t="s">
        <v>555</v>
      </c>
      <c r="D61" t="s">
        <v>10</v>
      </c>
      <c r="E61" s="28">
        <v>588497</v>
      </c>
      <c r="F61" s="13">
        <v>375.7553345</v>
      </c>
      <c r="G61" s="14">
        <f t="shared" si="2"/>
        <v>9.4000000000000004E-3</v>
      </c>
      <c r="H61" s="15" t="s">
        <v>371</v>
      </c>
    </row>
    <row r="62" spans="1:8" ht="12.75" customHeight="1" x14ac:dyDescent="0.2">
      <c r="A62">
        <f>+MAX($A$8:A61)+1</f>
        <v>54</v>
      </c>
      <c r="B62" t="s">
        <v>320</v>
      </c>
      <c r="C62" t="s">
        <v>321</v>
      </c>
      <c r="D62" t="s">
        <v>10</v>
      </c>
      <c r="E62" s="28">
        <v>226331</v>
      </c>
      <c r="F62" s="13">
        <v>359.18729700000006</v>
      </c>
      <c r="G62" s="14">
        <f t="shared" si="2"/>
        <v>8.9999999999999993E-3</v>
      </c>
      <c r="H62" s="15" t="s">
        <v>371</v>
      </c>
    </row>
    <row r="63" spans="1:8" ht="12.75" customHeight="1" x14ac:dyDescent="0.2">
      <c r="A63">
        <f>+MAX($A$8:A62)+1</f>
        <v>55</v>
      </c>
      <c r="B63" t="s">
        <v>199</v>
      </c>
      <c r="C63" t="s">
        <v>23</v>
      </c>
      <c r="D63" t="s">
        <v>495</v>
      </c>
      <c r="E63" s="28">
        <v>104515</v>
      </c>
      <c r="F63" s="13">
        <v>345.52659</v>
      </c>
      <c r="G63" s="14">
        <f t="shared" si="2"/>
        <v>8.6999999999999994E-3</v>
      </c>
      <c r="H63" s="15" t="s">
        <v>371</v>
      </c>
    </row>
    <row r="64" spans="1:8" ht="12.75" customHeight="1" x14ac:dyDescent="0.2">
      <c r="A64">
        <f>+MAX($A$8:A63)+1</f>
        <v>56</v>
      </c>
      <c r="B64" t="s">
        <v>552</v>
      </c>
      <c r="C64" t="s">
        <v>553</v>
      </c>
      <c r="D64" t="s">
        <v>45</v>
      </c>
      <c r="E64" s="28">
        <v>454547</v>
      </c>
      <c r="F64" s="13">
        <v>342.27389099999999</v>
      </c>
      <c r="G64" s="14">
        <f t="shared" si="2"/>
        <v>8.6E-3</v>
      </c>
      <c r="H64" s="15" t="s">
        <v>371</v>
      </c>
    </row>
    <row r="65" spans="1:9" ht="12.75" customHeight="1" x14ac:dyDescent="0.2">
      <c r="A65">
        <f>+MAX($A$8:A64)+1</f>
        <v>57</v>
      </c>
      <c r="B65" t="s">
        <v>166</v>
      </c>
      <c r="C65" t="s">
        <v>181</v>
      </c>
      <c r="D65" t="s">
        <v>10</v>
      </c>
      <c r="E65" s="28">
        <v>99524</v>
      </c>
      <c r="F65" s="13">
        <v>339.72517399999998</v>
      </c>
      <c r="G65" s="14">
        <f t="shared" si="2"/>
        <v>8.5000000000000006E-3</v>
      </c>
      <c r="H65" s="15" t="s">
        <v>371</v>
      </c>
    </row>
    <row r="66" spans="1:9" ht="12.75" customHeight="1" x14ac:dyDescent="0.2">
      <c r="A66">
        <f>+MAX($A$8:A65)+1</f>
        <v>58</v>
      </c>
      <c r="B66" t="s">
        <v>616</v>
      </c>
      <c r="C66" t="s">
        <v>617</v>
      </c>
      <c r="D66" t="s">
        <v>10</v>
      </c>
      <c r="E66" s="28">
        <v>442985</v>
      </c>
      <c r="F66" s="13">
        <v>321.38561750000002</v>
      </c>
      <c r="G66" s="14">
        <f t="shared" si="2"/>
        <v>8.0999999999999996E-3</v>
      </c>
      <c r="H66" s="15" t="s">
        <v>371</v>
      </c>
    </row>
    <row r="67" spans="1:9" ht="12.75" customHeight="1" x14ac:dyDescent="0.2">
      <c r="A67">
        <f>+MAX($A$8:A66)+1</f>
        <v>59</v>
      </c>
      <c r="B67" t="s">
        <v>214</v>
      </c>
      <c r="C67" t="s">
        <v>65</v>
      </c>
      <c r="D67" t="s">
        <v>34</v>
      </c>
      <c r="E67" s="28">
        <v>70471</v>
      </c>
      <c r="F67" s="13">
        <v>309.96669350000002</v>
      </c>
      <c r="G67" s="14">
        <f t="shared" si="2"/>
        <v>7.7999999999999996E-3</v>
      </c>
      <c r="H67" s="15" t="s">
        <v>371</v>
      </c>
    </row>
    <row r="68" spans="1:9" ht="12.75" customHeight="1" x14ac:dyDescent="0.2">
      <c r="A68">
        <f>+MAX($A$8:A67)+1</f>
        <v>60</v>
      </c>
      <c r="B68" t="s">
        <v>223</v>
      </c>
      <c r="C68" t="s">
        <v>70</v>
      </c>
      <c r="D68" t="s">
        <v>10</v>
      </c>
      <c r="E68" s="28">
        <v>298135</v>
      </c>
      <c r="F68" s="13">
        <v>299.4766075</v>
      </c>
      <c r="G68" s="14">
        <f t="shared" si="2"/>
        <v>7.4999999999999997E-3</v>
      </c>
      <c r="H68" s="15" t="s">
        <v>371</v>
      </c>
    </row>
    <row r="69" spans="1:9" ht="12.75" customHeight="1" x14ac:dyDescent="0.2">
      <c r="A69">
        <f>+MAX($A$8:A68)+1</f>
        <v>61</v>
      </c>
      <c r="B69" t="s">
        <v>219</v>
      </c>
      <c r="C69" t="s">
        <v>75</v>
      </c>
      <c r="D69" t="s">
        <v>36</v>
      </c>
      <c r="E69" s="28">
        <v>2533170</v>
      </c>
      <c r="F69" s="13">
        <v>182.38824</v>
      </c>
      <c r="G69" s="14">
        <f t="shared" si="2"/>
        <v>4.5999999999999999E-3</v>
      </c>
      <c r="H69" s="15" t="s">
        <v>371</v>
      </c>
    </row>
    <row r="70" spans="1:9" ht="12.75" customHeight="1" x14ac:dyDescent="0.2">
      <c r="A70">
        <f>+MAX($A$8:A69)+1</f>
        <v>62</v>
      </c>
      <c r="B70" t="s">
        <v>431</v>
      </c>
      <c r="C70" t="s">
        <v>432</v>
      </c>
      <c r="D70" t="s">
        <v>433</v>
      </c>
      <c r="E70" s="28">
        <v>56242</v>
      </c>
      <c r="F70" s="13">
        <v>150.16614000000001</v>
      </c>
      <c r="G70" s="14">
        <f t="shared" si="2"/>
        <v>3.8E-3</v>
      </c>
      <c r="H70" s="15" t="s">
        <v>371</v>
      </c>
    </row>
    <row r="71" spans="1:9" ht="12.75" customHeight="1" x14ac:dyDescent="0.2">
      <c r="A71">
        <f>+MAX($A$8:A70)+1</f>
        <v>63</v>
      </c>
      <c r="B71" t="s">
        <v>575</v>
      </c>
      <c r="C71" t="s">
        <v>84</v>
      </c>
      <c r="D71" t="s">
        <v>102</v>
      </c>
      <c r="E71" s="28">
        <v>374002</v>
      </c>
      <c r="F71" s="13">
        <v>0</v>
      </c>
      <c r="G71" s="108" t="s">
        <v>546</v>
      </c>
      <c r="H71" s="15" t="s">
        <v>371</v>
      </c>
    </row>
    <row r="72" spans="1:9" ht="12.75" customHeight="1" x14ac:dyDescent="0.2">
      <c r="A72">
        <f>+MAX($A$8:A71)+1</f>
        <v>64</v>
      </c>
      <c r="B72" s="65" t="s">
        <v>459</v>
      </c>
      <c r="C72" s="123" t="s">
        <v>724</v>
      </c>
      <c r="D72" t="s">
        <v>38</v>
      </c>
      <c r="E72" s="28">
        <v>2250</v>
      </c>
      <c r="F72" s="13">
        <v>0</v>
      </c>
      <c r="G72" s="108" t="s">
        <v>546</v>
      </c>
      <c r="H72" s="15" t="s">
        <v>371</v>
      </c>
    </row>
    <row r="73" spans="1:9" ht="12.75" customHeight="1" x14ac:dyDescent="0.2">
      <c r="B73" s="18" t="s">
        <v>85</v>
      </c>
      <c r="C73" s="18"/>
      <c r="D73" s="18"/>
      <c r="E73" s="29"/>
      <c r="F73" s="19">
        <f>SUM(F9:F72)</f>
        <v>38915.44841099999</v>
      </c>
      <c r="G73" s="20">
        <f>SUM(G9:G72)</f>
        <v>0.97799999999999987</v>
      </c>
      <c r="H73" s="21"/>
      <c r="I73" s="49"/>
    </row>
    <row r="74" spans="1:9" ht="12.75" customHeight="1" x14ac:dyDescent="0.2">
      <c r="F74" s="13"/>
      <c r="G74" s="14"/>
      <c r="H74" s="15"/>
    </row>
    <row r="75" spans="1:9" ht="12.75" customHeight="1" x14ac:dyDescent="0.2">
      <c r="A75" s="95" t="s">
        <v>370</v>
      </c>
      <c r="B75" s="16" t="s">
        <v>93</v>
      </c>
      <c r="C75" s="16"/>
      <c r="F75" s="13">
        <v>740.57447999999999</v>
      </c>
      <c r="G75" s="14">
        <f>+ROUND(F75/VLOOKUP("Grand Total",$B$4:$F$276,5,0),4)</f>
        <v>1.8599999999999998E-2</v>
      </c>
      <c r="H75" s="15">
        <v>43132</v>
      </c>
    </row>
    <row r="76" spans="1:9" ht="12.75" customHeight="1" x14ac:dyDescent="0.2">
      <c r="B76" s="18" t="s">
        <v>85</v>
      </c>
      <c r="C76" s="18"/>
      <c r="D76" s="18"/>
      <c r="E76" s="29"/>
      <c r="F76" s="19">
        <f>SUM(F75)</f>
        <v>740.57447999999999</v>
      </c>
      <c r="G76" s="20">
        <f>SUM(G75)</f>
        <v>1.8599999999999998E-2</v>
      </c>
      <c r="H76" s="21"/>
      <c r="I76" s="35"/>
    </row>
    <row r="77" spans="1:9" ht="12.75" customHeight="1" x14ac:dyDescent="0.2">
      <c r="F77" s="13"/>
      <c r="G77" s="14"/>
      <c r="H77" s="15"/>
    </row>
    <row r="78" spans="1:9" ht="12.75" customHeight="1" x14ac:dyDescent="0.2">
      <c r="B78" s="16" t="s">
        <v>94</v>
      </c>
      <c r="C78" s="16"/>
      <c r="F78" s="13"/>
      <c r="G78" s="14"/>
      <c r="H78" s="15"/>
    </row>
    <row r="79" spans="1:9" ht="12.75" customHeight="1" x14ac:dyDescent="0.2">
      <c r="B79" s="16" t="s">
        <v>95</v>
      </c>
      <c r="C79" s="16"/>
      <c r="F79" s="13">
        <v>133.7273653999946</v>
      </c>
      <c r="G79" s="14">
        <f>+ROUND(F79/VLOOKUP("Grand Total",$B$4:$F$276,5,0),4)</f>
        <v>3.3999999999999998E-3</v>
      </c>
      <c r="H79" s="15"/>
    </row>
    <row r="80" spans="1:9" ht="12.75" customHeight="1" x14ac:dyDescent="0.2">
      <c r="B80" s="18" t="s">
        <v>85</v>
      </c>
      <c r="C80" s="18"/>
      <c r="D80" s="18"/>
      <c r="E80" s="29"/>
      <c r="F80" s="19">
        <f>SUM(F79)</f>
        <v>133.7273653999946</v>
      </c>
      <c r="G80" s="20">
        <f>SUM(G79)</f>
        <v>3.3999999999999998E-3</v>
      </c>
      <c r="H80" s="21"/>
      <c r="I80" s="35"/>
    </row>
    <row r="81" spans="2:9" ht="12.75" customHeight="1" x14ac:dyDescent="0.2">
      <c r="B81" s="22" t="s">
        <v>96</v>
      </c>
      <c r="C81" s="22"/>
      <c r="D81" s="22"/>
      <c r="E81" s="30"/>
      <c r="F81" s="23">
        <f>+SUMIF($B$5:B80,"Total",$F$5:F80)</f>
        <v>39789.750256399988</v>
      </c>
      <c r="G81" s="24">
        <f>+SUMIF($B$5:B80,"Total",$G$5:G80)</f>
        <v>0.99999999999999978</v>
      </c>
      <c r="H81" s="25"/>
      <c r="I81" s="35"/>
    </row>
    <row r="82" spans="2:9" ht="12.75" customHeight="1" x14ac:dyDescent="0.2"/>
    <row r="83" spans="2:9" ht="12.75" customHeight="1" x14ac:dyDescent="0.2">
      <c r="B83" s="16" t="s">
        <v>187</v>
      </c>
      <c r="C83" s="16"/>
    </row>
    <row r="84" spans="2:9" ht="12.75" customHeight="1" x14ac:dyDescent="0.2">
      <c r="B84" s="16" t="s">
        <v>189</v>
      </c>
      <c r="C84" s="16"/>
      <c r="F84" s="43"/>
      <c r="G84" s="43"/>
    </row>
    <row r="85" spans="2:9" ht="12.75" customHeight="1" x14ac:dyDescent="0.2">
      <c r="B85" s="16" t="s">
        <v>186</v>
      </c>
      <c r="C85" s="16"/>
    </row>
    <row r="86" spans="2:9" ht="12.75" customHeight="1" x14ac:dyDescent="0.2">
      <c r="B86" s="53" t="s">
        <v>307</v>
      </c>
    </row>
    <row r="87" spans="2:9" ht="12.75" customHeight="1" x14ac:dyDescent="0.2"/>
    <row r="88" spans="2:9" ht="12.75" customHeight="1" x14ac:dyDescent="0.2"/>
    <row r="89" spans="2:9" ht="12.75" customHeight="1" x14ac:dyDescent="0.2"/>
    <row r="90" spans="2:9" ht="12.75" customHeight="1" x14ac:dyDescent="0.2"/>
    <row r="91" spans="2:9" ht="12.75" customHeight="1" x14ac:dyDescent="0.2"/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</sheetData>
  <sheetProtection password="EDB3" sheet="1" objects="1" scenarios="1"/>
  <sortState ref="J8:K28">
    <sortCondition descending="1" ref="K10:K3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3" ht="18.75" x14ac:dyDescent="0.2">
      <c r="A1" s="94" t="s">
        <v>379</v>
      </c>
      <c r="B1" s="127" t="s">
        <v>164</v>
      </c>
      <c r="C1" s="128"/>
      <c r="D1" s="128"/>
      <c r="E1" s="128"/>
      <c r="F1" s="128"/>
      <c r="G1" s="128"/>
      <c r="H1" s="129"/>
    </row>
    <row r="2" spans="1:13" x14ac:dyDescent="0.2">
      <c r="A2" s="96" t="s">
        <v>1</v>
      </c>
      <c r="B2" s="3" t="s">
        <v>672</v>
      </c>
      <c r="C2" s="3"/>
      <c r="D2" s="4"/>
      <c r="E2" s="27"/>
      <c r="F2" s="5"/>
      <c r="G2" s="6"/>
      <c r="H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3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183</v>
      </c>
      <c r="F4" s="11" t="s">
        <v>5</v>
      </c>
      <c r="G4" s="12" t="s">
        <v>6</v>
      </c>
      <c r="H4" s="32" t="s">
        <v>7</v>
      </c>
      <c r="I4" s="34"/>
    </row>
    <row r="5" spans="1:13" ht="12.75" customHeight="1" x14ac:dyDescent="0.2">
      <c r="F5" s="13"/>
      <c r="G5" s="14"/>
      <c r="H5" s="15"/>
    </row>
    <row r="6" spans="1:13" ht="12.75" customHeight="1" x14ac:dyDescent="0.2">
      <c r="F6" s="13"/>
      <c r="G6" s="14"/>
      <c r="H6" s="15"/>
    </row>
    <row r="7" spans="1:13" ht="12.75" customHeight="1" x14ac:dyDescent="0.2">
      <c r="B7" s="31" t="s">
        <v>184</v>
      </c>
      <c r="F7" s="13"/>
      <c r="G7" s="14"/>
      <c r="H7" s="15"/>
    </row>
    <row r="8" spans="1:13" ht="12.75" customHeight="1" x14ac:dyDescent="0.2">
      <c r="B8" s="31" t="s">
        <v>185</v>
      </c>
      <c r="C8" s="16"/>
      <c r="F8" s="13"/>
      <c r="G8" s="14"/>
      <c r="H8" s="15"/>
      <c r="J8" s="17" t="s">
        <v>4</v>
      </c>
      <c r="K8" s="37" t="s">
        <v>12</v>
      </c>
    </row>
    <row r="9" spans="1:13" ht="12.75" customHeight="1" x14ac:dyDescent="0.2">
      <c r="A9">
        <f>+MAX($A$8:A8)+1</f>
        <v>1</v>
      </c>
      <c r="B9" t="s">
        <v>165</v>
      </c>
      <c r="C9" s="123" t="s">
        <v>724</v>
      </c>
      <c r="D9" t="s">
        <v>319</v>
      </c>
      <c r="E9" s="28">
        <v>39643.476999999999</v>
      </c>
      <c r="F9" s="13">
        <v>1793.1171211000001</v>
      </c>
      <c r="G9" s="14">
        <f>+ROUND(F9/VLOOKUP("Grand Total",$B$4:$F$288,5,0),4)</f>
        <v>0.99299999999999999</v>
      </c>
      <c r="H9" s="15" t="s">
        <v>371</v>
      </c>
      <c r="J9" s="14" t="s">
        <v>319</v>
      </c>
      <c r="K9" s="48">
        <f>SUMIFS($G$5:$G$321,$D$5:$D$321,J9)</f>
        <v>0.99299999999999999</v>
      </c>
    </row>
    <row r="10" spans="1:13" ht="12.75" customHeight="1" x14ac:dyDescent="0.2">
      <c r="B10" s="18" t="s">
        <v>85</v>
      </c>
      <c r="C10" s="18"/>
      <c r="D10" s="18"/>
      <c r="E10" s="29"/>
      <c r="F10" s="19">
        <f>SUM(F9)</f>
        <v>1793.1171211000001</v>
      </c>
      <c r="G10" s="20">
        <f>SUM(G9)</f>
        <v>0.99299999999999999</v>
      </c>
      <c r="H10" s="21"/>
      <c r="I10" s="35"/>
      <c r="J10" s="14" t="s">
        <v>64</v>
      </c>
      <c r="K10" s="48">
        <f>+SUMIFS($G$5:$G$997,$B$5:$B$997,"CBLO / Reverse Repo Investments")+SUMIFS($G$5:$G$997,$B$5:$B$997,"Net Receivable/Payable")</f>
        <v>7.0000000000000027E-3</v>
      </c>
    </row>
    <row r="11" spans="1:13" ht="12.75" customHeight="1" x14ac:dyDescent="0.2">
      <c r="F11" s="13"/>
      <c r="G11" s="14"/>
      <c r="H11" s="15"/>
      <c r="J11" s="14"/>
    </row>
    <row r="12" spans="1:13" ht="12.75" customHeight="1" x14ac:dyDescent="0.2">
      <c r="A12" s="95" t="s">
        <v>370</v>
      </c>
      <c r="B12" s="16" t="s">
        <v>93</v>
      </c>
      <c r="C12" s="16"/>
      <c r="F12" s="13">
        <v>44.191070000000003</v>
      </c>
      <c r="G12" s="14">
        <f>+ROUND(F12/VLOOKUP("Grand Total",$B$4:$F$288,5,0),4)</f>
        <v>2.4500000000000001E-2</v>
      </c>
      <c r="H12" s="15">
        <v>43132</v>
      </c>
      <c r="J12" s="14"/>
      <c r="L12" s="54"/>
      <c r="M12" s="62"/>
    </row>
    <row r="13" spans="1:13" ht="12.75" customHeight="1" x14ac:dyDescent="0.2">
      <c r="B13" s="18" t="s">
        <v>85</v>
      </c>
      <c r="C13" s="18"/>
      <c r="D13" s="18"/>
      <c r="E13" s="29"/>
      <c r="F13" s="19">
        <f>SUM(F12)</f>
        <v>44.191070000000003</v>
      </c>
      <c r="G13" s="20">
        <f>SUM(G12)</f>
        <v>2.4500000000000001E-2</v>
      </c>
      <c r="H13" s="21"/>
      <c r="I13" s="35"/>
    </row>
    <row r="14" spans="1:13" ht="12.75" customHeight="1" x14ac:dyDescent="0.2">
      <c r="F14" s="13"/>
      <c r="G14" s="14"/>
      <c r="H14" s="15"/>
    </row>
    <row r="15" spans="1:13" ht="12.75" customHeight="1" x14ac:dyDescent="0.2">
      <c r="B15" s="16" t="s">
        <v>94</v>
      </c>
      <c r="C15" s="16"/>
      <c r="F15" s="13"/>
      <c r="G15" s="14"/>
      <c r="H15" s="15"/>
    </row>
    <row r="16" spans="1:13" ht="12.75" customHeight="1" x14ac:dyDescent="0.2">
      <c r="B16" s="16" t="s">
        <v>95</v>
      </c>
      <c r="C16" s="16"/>
      <c r="F16" s="43">
        <v>-31.468045099999927</v>
      </c>
      <c r="G16" s="125">
        <f>+ROUND(F16/VLOOKUP("Grand Total",$B$4:$F$288,5,0),4)-0.01%</f>
        <v>-1.7499999999999998E-2</v>
      </c>
      <c r="H16" s="15"/>
    </row>
    <row r="17" spans="2:9" ht="12.75" customHeight="1" x14ac:dyDescent="0.2">
      <c r="B17" s="18" t="s">
        <v>85</v>
      </c>
      <c r="C17" s="18"/>
      <c r="D17" s="18"/>
      <c r="E17" s="29"/>
      <c r="F17" s="50">
        <f>SUM(F16)</f>
        <v>-31.468045099999927</v>
      </c>
      <c r="G17" s="126">
        <f>SUM(G16)</f>
        <v>-1.7499999999999998E-2</v>
      </c>
      <c r="H17" s="21"/>
      <c r="I17" s="35"/>
    </row>
    <row r="18" spans="2:9" ht="12.75" customHeight="1" x14ac:dyDescent="0.2">
      <c r="B18" s="22" t="s">
        <v>96</v>
      </c>
      <c r="C18" s="22"/>
      <c r="D18" s="22"/>
      <c r="E18" s="30"/>
      <c r="F18" s="23">
        <f>+SUMIF($B$5:B17,"Total",$F$5:F17)</f>
        <v>1805.8401460000002</v>
      </c>
      <c r="G18" s="24">
        <f>+SUMIF($B$5:B17,"Total",$G$5:G17)</f>
        <v>1</v>
      </c>
      <c r="H18" s="25"/>
      <c r="I18" s="35"/>
    </row>
    <row r="19" spans="2:9" ht="12.75" customHeight="1" x14ac:dyDescent="0.2"/>
    <row r="20" spans="2:9" ht="12.75" customHeight="1" x14ac:dyDescent="0.2">
      <c r="B20" s="16"/>
      <c r="C20" s="16"/>
      <c r="G20" s="88"/>
    </row>
    <row r="21" spans="2:9" ht="12.75" customHeight="1" x14ac:dyDescent="0.2">
      <c r="B21" s="16"/>
      <c r="C21" s="16"/>
    </row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/>
    <row r="26" spans="2:9" ht="12.75" customHeight="1" x14ac:dyDescent="0.2"/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DYNAMIC BOND</vt:lpstr>
      <vt:lpstr>SHORT TERM</vt:lpstr>
      <vt:lpstr>Equity Savings</vt:lpstr>
      <vt:lpstr>DEBT SAVINGS</vt:lpstr>
      <vt:lpstr>BALANCED</vt:lpstr>
      <vt:lpstr>CASH MANAGEMENT</vt:lpstr>
      <vt:lpstr>MONEY MANAGER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cp:lastPrinted>2017-06-02T07:09:07Z</cp:lastPrinted>
  <dcterms:created xsi:type="dcterms:W3CDTF">2011-07-16T04:33:57Z</dcterms:created>
  <dcterms:modified xsi:type="dcterms:W3CDTF">2018-02-09T06:06:02Z</dcterms:modified>
</cp:coreProperties>
</file>