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8-2019\Apr 18\"/>
    </mc:Choice>
  </mc:AlternateContent>
  <bookViews>
    <workbookView xWindow="0" yWindow="615" windowWidth="15480" windowHeight="110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Savings'!$A$39:$Q$94</definedName>
    <definedName name="_xlnm._FilterDatabase" localSheetId="0" hidden="1">GROWTH!$D$4:$D$148</definedName>
    <definedName name="_xlnm._FilterDatabase" localSheetId="6" hidden="1">'SMART EQUITY'!$A$38:$Q$67</definedName>
  </definedNames>
  <calcPr calcId="152511"/>
</workbook>
</file>

<file path=xl/calcChain.xml><?xml version="1.0" encoding="utf-8"?>
<calcChain xmlns="http://schemas.openxmlformats.org/spreadsheetml/2006/main">
  <c r="A11" i="36" l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10" i="36"/>
  <c r="A42" i="17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41" i="17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40" i="8"/>
  <c r="F45" i="36" l="1"/>
  <c r="H44" i="36"/>
  <c r="H42" i="36"/>
  <c r="H40" i="36"/>
  <c r="H38" i="36"/>
  <c r="H36" i="36"/>
  <c r="H34" i="36"/>
  <c r="H32" i="36"/>
  <c r="H30" i="36"/>
  <c r="H26" i="36"/>
  <c r="H28" i="36"/>
  <c r="H24" i="36"/>
  <c r="H22" i="36"/>
  <c r="H20" i="36"/>
  <c r="H18" i="36"/>
  <c r="H16" i="36"/>
  <c r="H14" i="36"/>
  <c r="H12" i="36"/>
  <c r="H10" i="36"/>
  <c r="F94" i="17"/>
  <c r="H71" i="17"/>
  <c r="G70" i="17"/>
  <c r="F37" i="17"/>
  <c r="G68" i="17"/>
  <c r="G50" i="17"/>
  <c r="G84" i="17"/>
  <c r="G74" i="17"/>
  <c r="G86" i="17"/>
  <c r="G52" i="17"/>
  <c r="G80" i="17"/>
  <c r="G92" i="17"/>
  <c r="G66" i="17"/>
  <c r="G90" i="17"/>
  <c r="G88" i="17"/>
  <c r="G56" i="17"/>
  <c r="G54" i="17"/>
  <c r="L28" i="17" s="1"/>
  <c r="G76" i="17"/>
  <c r="G58" i="17"/>
  <c r="L30" i="17" s="1"/>
  <c r="G64" i="17"/>
  <c r="L33" i="17" s="1"/>
  <c r="G78" i="17"/>
  <c r="G82" i="17"/>
  <c r="G40" i="17"/>
  <c r="G42" i="17"/>
  <c r="G44" i="17"/>
  <c r="L17" i="17" s="1"/>
  <c r="G46" i="17"/>
  <c r="L18" i="17" s="1"/>
  <c r="G62" i="17"/>
  <c r="L32" i="17" s="1"/>
  <c r="G60" i="17"/>
  <c r="G72" i="17"/>
  <c r="G48" i="17"/>
  <c r="F67" i="8"/>
  <c r="F36" i="8"/>
  <c r="G53" i="8"/>
  <c r="G51" i="8"/>
  <c r="G43" i="8"/>
  <c r="G41" i="8"/>
  <c r="G63" i="8"/>
  <c r="G61" i="8"/>
  <c r="G45" i="8"/>
  <c r="G49" i="8"/>
  <c r="G55" i="8"/>
  <c r="G39" i="8"/>
  <c r="G59" i="8"/>
  <c r="G47" i="8"/>
  <c r="G65" i="8"/>
  <c r="G57" i="8"/>
  <c r="H93" i="17"/>
  <c r="H91" i="17"/>
  <c r="H89" i="17"/>
  <c r="H87" i="17"/>
  <c r="H85" i="17"/>
  <c r="H83" i="17"/>
  <c r="H81" i="17"/>
  <c r="H79" i="17"/>
  <c r="H77" i="17"/>
  <c r="H75" i="17"/>
  <c r="H73" i="17"/>
  <c r="H69" i="17"/>
  <c r="H67" i="17"/>
  <c r="H65" i="17"/>
  <c r="H63" i="17"/>
  <c r="H61" i="17"/>
  <c r="H59" i="17"/>
  <c r="H57" i="17"/>
  <c r="H55" i="17"/>
  <c r="H53" i="17"/>
  <c r="H51" i="17"/>
  <c r="H49" i="17"/>
  <c r="H47" i="17"/>
  <c r="H45" i="17"/>
  <c r="H43" i="17"/>
  <c r="H41" i="17"/>
  <c r="H66" i="8"/>
  <c r="H64" i="8"/>
  <c r="H62" i="8"/>
  <c r="H60" i="8"/>
  <c r="H58" i="8"/>
  <c r="H56" i="8"/>
  <c r="H54" i="8"/>
  <c r="H52" i="8"/>
  <c r="H50" i="8"/>
  <c r="H48" i="8"/>
  <c r="H46" i="8"/>
  <c r="H44" i="8"/>
  <c r="H42" i="8"/>
  <c r="H40" i="8"/>
  <c r="H45" i="36" l="1"/>
  <c r="L25" i="17"/>
  <c r="H94" i="17"/>
  <c r="G94" i="17"/>
  <c r="G67" i="8"/>
  <c r="H67" i="8"/>
  <c r="K49" i="19" l="1"/>
  <c r="K33" i="7"/>
  <c r="K32" i="7"/>
  <c r="F12" i="31" l="1"/>
  <c r="F84" i="8"/>
  <c r="F80" i="5"/>
  <c r="F62" i="4"/>
  <c r="F59" i="3"/>
  <c r="F29" i="21" l="1"/>
  <c r="F127" i="19"/>
  <c r="F77" i="19"/>
  <c r="F10" i="14"/>
  <c r="F12" i="11"/>
  <c r="K39" i="2" l="1"/>
  <c r="F14" i="18"/>
  <c r="F88" i="2"/>
  <c r="F94" i="8" l="1"/>
  <c r="F76" i="8"/>
  <c r="F53" i="36" l="1"/>
  <c r="F131" i="19" l="1"/>
  <c r="F104" i="6"/>
  <c r="F112" i="17" l="1"/>
  <c r="K38" i="2" l="1"/>
  <c r="F74" i="9"/>
  <c r="F66" i="7"/>
  <c r="A9" i="36"/>
  <c r="F16" i="16"/>
  <c r="A9" i="14" l="1"/>
  <c r="F33" i="21"/>
  <c r="F12" i="20"/>
  <c r="F87" i="19"/>
  <c r="F101" i="17"/>
  <c r="F26" i="11"/>
  <c r="F65" i="4"/>
  <c r="F69" i="4"/>
  <c r="A13" i="14" l="1"/>
  <c r="A14" i="14" l="1"/>
  <c r="A15" i="14" l="1"/>
  <c r="A16" i="14" s="1"/>
  <c r="F38" i="20"/>
  <c r="A9" i="20"/>
  <c r="F115" i="19"/>
  <c r="F41" i="12"/>
  <c r="F17" i="12"/>
  <c r="F45" i="11"/>
  <c r="A10" i="20" l="1"/>
  <c r="A11" i="20" s="1"/>
  <c r="A17" i="14"/>
  <c r="F34" i="16"/>
  <c r="A22" i="14" l="1"/>
  <c r="F134" i="19"/>
  <c r="F123" i="19"/>
  <c r="F111" i="19"/>
  <c r="F71" i="19"/>
  <c r="F41" i="20"/>
  <c r="F33" i="20"/>
  <c r="A23" i="14" l="1"/>
  <c r="A24" i="14" s="1"/>
  <c r="A25" i="14" s="1"/>
  <c r="A26" i="14" s="1"/>
  <c r="A27" i="14" s="1"/>
  <c r="A28" i="14" s="1"/>
  <c r="A29" i="14" s="1"/>
  <c r="A30" i="14" s="1"/>
  <c r="A31" i="14" s="1"/>
  <c r="A32" i="14" s="1"/>
  <c r="F10" i="18"/>
  <c r="A9" i="18"/>
  <c r="F60" i="36" l="1"/>
  <c r="F57" i="36"/>
  <c r="F63" i="36" l="1"/>
  <c r="G63" i="36" s="1"/>
  <c r="F98" i="8"/>
  <c r="F74" i="2" l="1"/>
  <c r="F87" i="5" l="1"/>
  <c r="F84" i="5"/>
  <c r="F76" i="5"/>
  <c r="F68" i="5"/>
  <c r="F12" i="35" l="1"/>
  <c r="F11" i="34"/>
  <c r="F36" i="21"/>
  <c r="F12" i="21"/>
  <c r="F33" i="18"/>
  <c r="F30" i="18"/>
  <c r="F116" i="17"/>
  <c r="F37" i="16"/>
  <c r="F10" i="16"/>
  <c r="F36" i="14"/>
  <c r="F33" i="14"/>
  <c r="F18" i="14"/>
  <c r="F44" i="12"/>
  <c r="F37" i="12"/>
  <c r="F13" i="12"/>
  <c r="F48" i="11"/>
  <c r="F41" i="11"/>
  <c r="F22" i="11"/>
  <c r="F13" i="10"/>
  <c r="F10" i="10"/>
  <c r="F77" i="9"/>
  <c r="F101" i="8"/>
  <c r="F80" i="8"/>
  <c r="F104" i="8" s="1"/>
  <c r="G104" i="8" s="1"/>
  <c r="F74" i="7"/>
  <c r="F71" i="7"/>
  <c r="F112" i="6"/>
  <c r="F109" i="6"/>
  <c r="F100" i="6"/>
  <c r="F58" i="4"/>
  <c r="F70" i="4" s="1"/>
  <c r="G68" i="4" s="1"/>
  <c r="F62" i="3"/>
  <c r="F91" i="2"/>
  <c r="F84" i="2"/>
  <c r="G69" i="4" l="1"/>
  <c r="G61" i="4"/>
  <c r="K30" i="4" s="1"/>
  <c r="G64" i="4"/>
  <c r="K31" i="4" s="1"/>
  <c r="G62" i="4" l="1"/>
  <c r="G65" i="4"/>
  <c r="F14" i="34"/>
  <c r="F22" i="31"/>
  <c r="F18" i="31"/>
  <c r="F40" i="21"/>
  <c r="F138" i="19"/>
  <c r="F37" i="18"/>
  <c r="F119" i="17"/>
  <c r="F122" i="17" s="1"/>
  <c r="G122" i="17" s="1"/>
  <c r="F41" i="16"/>
  <c r="F40" i="14"/>
  <c r="F48" i="12"/>
  <c r="F52" i="11"/>
  <c r="F53" i="11" s="1"/>
  <c r="G51" i="11" s="1"/>
  <c r="F17" i="10"/>
  <c r="F81" i="9"/>
  <c r="F78" i="7"/>
  <c r="F116" i="6"/>
  <c r="F117" i="6" s="1"/>
  <c r="F91" i="5"/>
  <c r="F92" i="5" s="1"/>
  <c r="G90" i="5" s="1"/>
  <c r="F66" i="3"/>
  <c r="F95" i="2"/>
  <c r="G11" i="11" l="1"/>
  <c r="G10" i="11"/>
  <c r="G115" i="6"/>
  <c r="G116" i="6" s="1"/>
  <c r="G98" i="6"/>
  <c r="G99" i="6"/>
  <c r="G79" i="5"/>
  <c r="G64" i="5"/>
  <c r="G66" i="5"/>
  <c r="G65" i="5"/>
  <c r="G108" i="6"/>
  <c r="G94" i="6"/>
  <c r="G90" i="6"/>
  <c r="G86" i="6"/>
  <c r="G82" i="6"/>
  <c r="G78" i="6"/>
  <c r="G74" i="6"/>
  <c r="G70" i="6"/>
  <c r="K33" i="6" s="1"/>
  <c r="G66" i="6"/>
  <c r="K32" i="6" s="1"/>
  <c r="G62" i="6"/>
  <c r="G58" i="6"/>
  <c r="G54" i="6"/>
  <c r="G50" i="6"/>
  <c r="G46" i="6"/>
  <c r="G42" i="6"/>
  <c r="G38" i="6"/>
  <c r="G34" i="6"/>
  <c r="G30" i="6"/>
  <c r="G26" i="6"/>
  <c r="G22" i="6"/>
  <c r="K29" i="6" s="1"/>
  <c r="G18" i="6"/>
  <c r="G14" i="6"/>
  <c r="G10" i="6"/>
  <c r="G96" i="6"/>
  <c r="G88" i="6"/>
  <c r="G76" i="6"/>
  <c r="G64" i="6"/>
  <c r="G56" i="6"/>
  <c r="G44" i="6"/>
  <c r="G32" i="6"/>
  <c r="G16" i="6"/>
  <c r="G107" i="6"/>
  <c r="G97" i="6"/>
  <c r="G93" i="6"/>
  <c r="G89" i="6"/>
  <c r="G85" i="6"/>
  <c r="K35" i="6" s="1"/>
  <c r="G81" i="6"/>
  <c r="G77" i="6"/>
  <c r="G73" i="6"/>
  <c r="G69" i="6"/>
  <c r="K34" i="6" s="1"/>
  <c r="G65" i="6"/>
  <c r="G61" i="6"/>
  <c r="G57" i="6"/>
  <c r="K31" i="6" s="1"/>
  <c r="G53" i="6"/>
  <c r="G49" i="6"/>
  <c r="G45" i="6"/>
  <c r="G41" i="6"/>
  <c r="G37" i="6"/>
  <c r="G33" i="6"/>
  <c r="G29" i="6"/>
  <c r="G25" i="6"/>
  <c r="K19" i="6" s="1"/>
  <c r="G21" i="6"/>
  <c r="G17" i="6"/>
  <c r="G13" i="6"/>
  <c r="G92" i="6"/>
  <c r="G84" i="6"/>
  <c r="G72" i="6"/>
  <c r="G60" i="6"/>
  <c r="G48" i="6"/>
  <c r="G40" i="6"/>
  <c r="G28" i="6"/>
  <c r="G20" i="6"/>
  <c r="G111" i="6"/>
  <c r="G103" i="6"/>
  <c r="K37" i="6" s="1"/>
  <c r="G95" i="6"/>
  <c r="G91" i="6"/>
  <c r="G87" i="6"/>
  <c r="G83" i="6"/>
  <c r="K28" i="6" s="1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K26" i="6" s="1"/>
  <c r="G27" i="6"/>
  <c r="G23" i="6"/>
  <c r="G19" i="6"/>
  <c r="G15" i="6"/>
  <c r="G11" i="6"/>
  <c r="G80" i="6"/>
  <c r="G68" i="6"/>
  <c r="G52" i="6"/>
  <c r="G36" i="6"/>
  <c r="G24" i="6"/>
  <c r="G12" i="6"/>
  <c r="G62" i="5"/>
  <c r="G63" i="5"/>
  <c r="K34" i="5" s="1"/>
  <c r="G25" i="11"/>
  <c r="K22" i="11" s="1"/>
  <c r="G60" i="5"/>
  <c r="K32" i="5" s="1"/>
  <c r="G61" i="5"/>
  <c r="G44" i="11"/>
  <c r="K12" i="11" s="1"/>
  <c r="G36" i="11"/>
  <c r="K18" i="11" s="1"/>
  <c r="G57" i="5"/>
  <c r="K30" i="5" s="1"/>
  <c r="G59" i="5"/>
  <c r="G58" i="5"/>
  <c r="K31" i="5" s="1"/>
  <c r="G57" i="4"/>
  <c r="G56" i="4"/>
  <c r="G55" i="4"/>
  <c r="G21" i="11"/>
  <c r="G20" i="11"/>
  <c r="K23" i="11" s="1"/>
  <c r="G19" i="11"/>
  <c r="G54" i="4"/>
  <c r="G52" i="4"/>
  <c r="K29" i="4" s="1"/>
  <c r="G53" i="4"/>
  <c r="K21" i="6" l="1"/>
  <c r="K23" i="6"/>
  <c r="K25" i="5"/>
  <c r="K38" i="6"/>
  <c r="K24" i="6"/>
  <c r="K16" i="6"/>
  <c r="K30" i="6"/>
  <c r="K25" i="6"/>
  <c r="K36" i="6"/>
  <c r="K10" i="6"/>
  <c r="K19" i="4"/>
  <c r="K12" i="6"/>
  <c r="K17" i="6"/>
  <c r="K22" i="6"/>
  <c r="K15" i="6"/>
  <c r="K13" i="6"/>
  <c r="K20" i="6"/>
  <c r="K11" i="6"/>
  <c r="K27" i="6"/>
  <c r="K14" i="6"/>
  <c r="G80" i="5"/>
  <c r="K33" i="5"/>
  <c r="G104" i="6"/>
  <c r="G45" i="11"/>
  <c r="G26" i="11"/>
  <c r="G109" i="6"/>
  <c r="G112" i="6"/>
  <c r="A9" i="11" l="1"/>
  <c r="A10" i="11" s="1"/>
  <c r="A11" i="11" s="1"/>
  <c r="G52" i="11" l="1"/>
  <c r="G33" i="11"/>
  <c r="G15" i="11"/>
  <c r="G35" i="11"/>
  <c r="K17" i="11" s="1"/>
  <c r="G30" i="11"/>
  <c r="G16" i="11"/>
  <c r="K15" i="11" s="1"/>
  <c r="G38" i="11"/>
  <c r="K19" i="11" s="1"/>
  <c r="G32" i="11"/>
  <c r="K16" i="11" s="1"/>
  <c r="G18" i="11"/>
  <c r="G31" i="11"/>
  <c r="K11" i="11" s="1"/>
  <c r="G34" i="11"/>
  <c r="G39" i="11"/>
  <c r="K20" i="11" s="1"/>
  <c r="G40" i="11"/>
  <c r="K21" i="11" s="1"/>
  <c r="G9" i="11"/>
  <c r="G17" i="11"/>
  <c r="K14" i="11" s="1"/>
  <c r="G37" i="11"/>
  <c r="G47" i="11"/>
  <c r="K24" i="11" s="1"/>
  <c r="K13" i="11" l="1"/>
  <c r="K10" i="11"/>
  <c r="G12" i="11"/>
  <c r="K9" i="11"/>
  <c r="G48" i="11"/>
  <c r="G41" i="11"/>
  <c r="G22" i="11"/>
  <c r="G53" i="11" l="1"/>
  <c r="A15" i="11" l="1"/>
  <c r="A16" i="11" l="1"/>
  <c r="A17" i="11" l="1"/>
  <c r="A18" i="11" l="1"/>
  <c r="I140" i="7"/>
  <c r="I136" i="7"/>
  <c r="I132" i="7"/>
  <c r="I131" i="7"/>
  <c r="I126" i="7"/>
  <c r="I125" i="7"/>
  <c r="I121" i="7"/>
  <c r="I117" i="7"/>
  <c r="I116" i="7"/>
  <c r="I115" i="7"/>
  <c r="I114" i="7"/>
  <c r="I113" i="7"/>
  <c r="I112" i="7"/>
  <c r="A19" i="11" l="1"/>
  <c r="A20" i="11" s="1"/>
  <c r="A21" i="11" s="1"/>
  <c r="F15" i="35" l="1"/>
  <c r="A9" i="17" l="1"/>
  <c r="A25" i="11"/>
  <c r="A13" i="18"/>
  <c r="A30" i="11" l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F15" i="31"/>
  <c r="A8" i="35"/>
  <c r="A8" i="34"/>
  <c r="A8" i="31"/>
  <c r="A9" i="31" s="1"/>
  <c r="A10" i="31" s="1"/>
  <c r="A11" i="31" s="1"/>
  <c r="F19" i="35"/>
  <c r="F18" i="34"/>
  <c r="F19" i="34" s="1"/>
  <c r="A9" i="19"/>
  <c r="A9" i="12"/>
  <c r="A9" i="10"/>
  <c r="A9" i="9"/>
  <c r="A9" i="7"/>
  <c r="A9" i="6"/>
  <c r="A9" i="5"/>
  <c r="A9" i="4"/>
  <c r="A9" i="3"/>
  <c r="A9" i="2"/>
  <c r="F45" i="20"/>
  <c r="F46" i="20" s="1"/>
  <c r="G44" i="20" s="1"/>
  <c r="F82" i="9"/>
  <c r="F67" i="3"/>
  <c r="G65" i="3" s="1"/>
  <c r="G32" i="20" l="1"/>
  <c r="G31" i="20"/>
  <c r="G29" i="20"/>
  <c r="G30" i="20"/>
  <c r="A10" i="17"/>
  <c r="K32" i="9"/>
  <c r="G70" i="9"/>
  <c r="G71" i="9"/>
  <c r="G66" i="3"/>
  <c r="G56" i="3"/>
  <c r="G55" i="3"/>
  <c r="K28" i="3" s="1"/>
  <c r="G57" i="3"/>
  <c r="G58" i="3"/>
  <c r="G80" i="9"/>
  <c r="G81" i="9" s="1"/>
  <c r="G69" i="9"/>
  <c r="G61" i="3"/>
  <c r="K30" i="3" s="1"/>
  <c r="G51" i="3"/>
  <c r="G47" i="3"/>
  <c r="G43" i="3"/>
  <c r="G39" i="3"/>
  <c r="G35" i="3"/>
  <c r="K22" i="3" s="1"/>
  <c r="G31" i="3"/>
  <c r="G23" i="3"/>
  <c r="G15" i="3"/>
  <c r="G10" i="3"/>
  <c r="G54" i="3"/>
  <c r="K29" i="3" s="1"/>
  <c r="G50" i="3"/>
  <c r="G46" i="3"/>
  <c r="G42" i="3"/>
  <c r="K23" i="3" s="1"/>
  <c r="G38" i="3"/>
  <c r="G34" i="3"/>
  <c r="G30" i="3"/>
  <c r="K20" i="3" s="1"/>
  <c r="G26" i="3"/>
  <c r="G22" i="3"/>
  <c r="G18" i="3"/>
  <c r="G53" i="3"/>
  <c r="K26" i="3" s="1"/>
  <c r="G49" i="3"/>
  <c r="G45" i="3"/>
  <c r="G41" i="3"/>
  <c r="G37" i="3"/>
  <c r="G33" i="3"/>
  <c r="G29" i="3"/>
  <c r="G25" i="3"/>
  <c r="G21" i="3"/>
  <c r="G17" i="3"/>
  <c r="G13" i="3"/>
  <c r="G52" i="3"/>
  <c r="K27" i="3" s="1"/>
  <c r="G48" i="3"/>
  <c r="K25" i="3" s="1"/>
  <c r="G44" i="3"/>
  <c r="K24" i="3" s="1"/>
  <c r="G40" i="3"/>
  <c r="G36" i="3"/>
  <c r="G32" i="3"/>
  <c r="K21" i="3" s="1"/>
  <c r="G28" i="3"/>
  <c r="G24" i="3"/>
  <c r="G20" i="3"/>
  <c r="G16" i="3"/>
  <c r="K15" i="3" s="1"/>
  <c r="G12" i="3"/>
  <c r="G27" i="3"/>
  <c r="G19" i="3"/>
  <c r="G11" i="3"/>
  <c r="G14" i="3"/>
  <c r="G11" i="20"/>
  <c r="G10" i="20"/>
  <c r="G28" i="20"/>
  <c r="G37" i="20"/>
  <c r="G67" i="9"/>
  <c r="K30" i="9" s="1"/>
  <c r="G68" i="9"/>
  <c r="K31" i="9" s="1"/>
  <c r="G66" i="9"/>
  <c r="K29" i="9" s="1"/>
  <c r="G65" i="9"/>
  <c r="G9" i="20"/>
  <c r="A10" i="12"/>
  <c r="G64" i="9"/>
  <c r="G63" i="9"/>
  <c r="G91" i="5"/>
  <c r="G55" i="5"/>
  <c r="G56" i="5"/>
  <c r="K29" i="5" s="1"/>
  <c r="A9" i="35"/>
  <c r="A9" i="34"/>
  <c r="A10" i="34" s="1"/>
  <c r="A10" i="6"/>
  <c r="A10" i="5"/>
  <c r="A10" i="19"/>
  <c r="A10" i="9"/>
  <c r="F42" i="16"/>
  <c r="G40" i="16" s="1"/>
  <c r="F96" i="2"/>
  <c r="G94" i="2" s="1"/>
  <c r="A10" i="3"/>
  <c r="A11" i="3" s="1"/>
  <c r="F20" i="35"/>
  <c r="G18" i="35" s="1"/>
  <c r="A10" i="4"/>
  <c r="A10" i="2"/>
  <c r="F49" i="12"/>
  <c r="G47" i="12" s="1"/>
  <c r="F41" i="14"/>
  <c r="G39" i="14" s="1"/>
  <c r="F139" i="19"/>
  <c r="G137" i="19" s="1"/>
  <c r="G17" i="34"/>
  <c r="F41" i="21"/>
  <c r="G39" i="21" s="1"/>
  <c r="A10" i="7"/>
  <c r="F38" i="18"/>
  <c r="G36" i="18" s="1"/>
  <c r="F23" i="31"/>
  <c r="G21" i="31" s="1"/>
  <c r="F18" i="10"/>
  <c r="G16" i="10" s="1"/>
  <c r="F79" i="7"/>
  <c r="G77" i="7" s="1"/>
  <c r="K18" i="3" l="1"/>
  <c r="K14" i="20"/>
  <c r="K16" i="3"/>
  <c r="K11" i="3"/>
  <c r="K19" i="3"/>
  <c r="K13" i="3"/>
  <c r="K17" i="3"/>
  <c r="K14" i="3"/>
  <c r="K12" i="3"/>
  <c r="A11" i="17"/>
  <c r="A12" i="17" s="1"/>
  <c r="G31" i="14"/>
  <c r="K13" i="14" s="1"/>
  <c r="G32" i="14"/>
  <c r="K14" i="14" s="1"/>
  <c r="G63" i="7"/>
  <c r="G64" i="7"/>
  <c r="K31" i="7" s="1"/>
  <c r="G95" i="2"/>
  <c r="G71" i="2"/>
  <c r="G72" i="2"/>
  <c r="G138" i="19"/>
  <c r="G9" i="14"/>
  <c r="K11" i="14" s="1"/>
  <c r="G40" i="14"/>
  <c r="G27" i="21"/>
  <c r="G23" i="21"/>
  <c r="G19" i="21"/>
  <c r="G28" i="21"/>
  <c r="G24" i="21"/>
  <c r="G20" i="21"/>
  <c r="G25" i="21"/>
  <c r="G21" i="21"/>
  <c r="G26" i="21"/>
  <c r="G22" i="21"/>
  <c r="G11" i="21"/>
  <c r="K13" i="21" s="1"/>
  <c r="G40" i="21"/>
  <c r="G16" i="21"/>
  <c r="G17" i="21"/>
  <c r="G18" i="21"/>
  <c r="K12" i="21" s="1"/>
  <c r="G15" i="21"/>
  <c r="G86" i="19"/>
  <c r="G76" i="19"/>
  <c r="G29" i="18"/>
  <c r="G28" i="18"/>
  <c r="K16" i="18" s="1"/>
  <c r="G26" i="18"/>
  <c r="G27" i="18"/>
  <c r="G25" i="18"/>
  <c r="G41" i="16"/>
  <c r="G15" i="16"/>
  <c r="G35" i="12"/>
  <c r="K18" i="12" s="1"/>
  <c r="G36" i="12"/>
  <c r="K19" i="12" s="1"/>
  <c r="G61" i="7"/>
  <c r="K30" i="7" s="1"/>
  <c r="G60" i="7"/>
  <c r="K29" i="7" s="1"/>
  <c r="G62" i="7"/>
  <c r="K37" i="2"/>
  <c r="G85" i="19"/>
  <c r="G33" i="16"/>
  <c r="G48" i="12"/>
  <c r="G34" i="12"/>
  <c r="G119" i="19"/>
  <c r="G109" i="19"/>
  <c r="G105" i="19"/>
  <c r="K45" i="19" s="1"/>
  <c r="G101" i="19"/>
  <c r="G97" i="19"/>
  <c r="G93" i="19"/>
  <c r="G84" i="19"/>
  <c r="G80" i="19"/>
  <c r="G69" i="19"/>
  <c r="K48" i="19" s="1"/>
  <c r="G65" i="19"/>
  <c r="G61" i="19"/>
  <c r="G57" i="19"/>
  <c r="G53" i="19"/>
  <c r="G49" i="19"/>
  <c r="G45" i="19"/>
  <c r="G41" i="19"/>
  <c r="G37" i="19"/>
  <c r="K24" i="19" s="1"/>
  <c r="G33" i="19"/>
  <c r="G29" i="19"/>
  <c r="G25" i="19"/>
  <c r="G21" i="19"/>
  <c r="G17" i="19"/>
  <c r="G13" i="19"/>
  <c r="G15" i="19"/>
  <c r="G30" i="19"/>
  <c r="K29" i="19" s="1"/>
  <c r="G14" i="19"/>
  <c r="G126" i="19"/>
  <c r="G127" i="19" s="1"/>
  <c r="G122" i="19"/>
  <c r="G118" i="19"/>
  <c r="G108" i="19"/>
  <c r="K46" i="19" s="1"/>
  <c r="G104" i="19"/>
  <c r="G100" i="19"/>
  <c r="K41" i="19" s="1"/>
  <c r="G96" i="19"/>
  <c r="K34" i="19" s="1"/>
  <c r="G92" i="19"/>
  <c r="G83" i="19"/>
  <c r="G75" i="19"/>
  <c r="K40" i="19" s="1"/>
  <c r="G68" i="19"/>
  <c r="G64" i="19"/>
  <c r="K44" i="19" s="1"/>
  <c r="G60" i="19"/>
  <c r="G56" i="19"/>
  <c r="G52" i="19"/>
  <c r="G48" i="19"/>
  <c r="K37" i="19" s="1"/>
  <c r="G44" i="19"/>
  <c r="G40" i="19"/>
  <c r="G36" i="19"/>
  <c r="G32" i="19"/>
  <c r="G28" i="19"/>
  <c r="K28" i="19" s="1"/>
  <c r="G24" i="19"/>
  <c r="G20" i="19"/>
  <c r="G16" i="19"/>
  <c r="G12" i="19"/>
  <c r="G38" i="19"/>
  <c r="G22" i="19"/>
  <c r="K27" i="19" s="1"/>
  <c r="G133" i="19"/>
  <c r="K50" i="19" s="1"/>
  <c r="G121" i="19"/>
  <c r="G114" i="19"/>
  <c r="K42" i="19" s="1"/>
  <c r="G107" i="19"/>
  <c r="G103" i="19"/>
  <c r="G99" i="19"/>
  <c r="G95" i="19"/>
  <c r="G91" i="19"/>
  <c r="K20" i="19" s="1"/>
  <c r="G82" i="19"/>
  <c r="K39" i="19" s="1"/>
  <c r="G67" i="19"/>
  <c r="G63" i="19"/>
  <c r="G59" i="19"/>
  <c r="G55" i="19"/>
  <c r="G51" i="19"/>
  <c r="G47" i="19"/>
  <c r="G43" i="19"/>
  <c r="G39" i="19"/>
  <c r="G35" i="19"/>
  <c r="G31" i="19"/>
  <c r="G27" i="19"/>
  <c r="G23" i="19"/>
  <c r="K26" i="19" s="1"/>
  <c r="G19" i="19"/>
  <c r="G11" i="19"/>
  <c r="G26" i="19"/>
  <c r="G10" i="19"/>
  <c r="G130" i="19"/>
  <c r="K31" i="19" s="1"/>
  <c r="G120" i="19"/>
  <c r="G110" i="19"/>
  <c r="K47" i="19" s="1"/>
  <c r="G106" i="19"/>
  <c r="G102" i="19"/>
  <c r="G98" i="19"/>
  <c r="G94" i="19"/>
  <c r="G81" i="19"/>
  <c r="K36" i="19" s="1"/>
  <c r="G66" i="19"/>
  <c r="G62" i="19"/>
  <c r="K43" i="19" s="1"/>
  <c r="G58" i="19"/>
  <c r="K38" i="19" s="1"/>
  <c r="G54" i="19"/>
  <c r="G50" i="19"/>
  <c r="G46" i="19"/>
  <c r="G42" i="19"/>
  <c r="K35" i="19" s="1"/>
  <c r="G34" i="19"/>
  <c r="G18" i="19"/>
  <c r="K23" i="19" s="1"/>
  <c r="G33" i="12"/>
  <c r="G31" i="12"/>
  <c r="G30" i="12"/>
  <c r="G32" i="12"/>
  <c r="G29" i="12"/>
  <c r="K17" i="12" s="1"/>
  <c r="A44" i="11"/>
  <c r="G28" i="12"/>
  <c r="G59" i="7"/>
  <c r="G22" i="18"/>
  <c r="K13" i="18" s="1"/>
  <c r="G20" i="18"/>
  <c r="G23" i="18"/>
  <c r="K14" i="18" s="1"/>
  <c r="G21" i="18"/>
  <c r="K11" i="18" s="1"/>
  <c r="G24" i="18"/>
  <c r="G19" i="18"/>
  <c r="G13" i="16"/>
  <c r="G14" i="16"/>
  <c r="G12" i="20"/>
  <c r="G58" i="7"/>
  <c r="G68" i="2"/>
  <c r="G70" i="2"/>
  <c r="G66" i="2"/>
  <c r="G69" i="2"/>
  <c r="G67" i="2"/>
  <c r="G40" i="12"/>
  <c r="A11" i="12"/>
  <c r="G16" i="12"/>
  <c r="K20" i="12" s="1"/>
  <c r="G57" i="7"/>
  <c r="K33" i="2"/>
  <c r="K35" i="2"/>
  <c r="K34" i="2"/>
  <c r="G31" i="16"/>
  <c r="K17" i="16" s="1"/>
  <c r="G73" i="7"/>
  <c r="K34" i="7" s="1"/>
  <c r="G53" i="7"/>
  <c r="K27" i="7" s="1"/>
  <c r="G49" i="7"/>
  <c r="G45" i="7"/>
  <c r="G41" i="7"/>
  <c r="G37" i="7"/>
  <c r="G33" i="7"/>
  <c r="K23" i="7" s="1"/>
  <c r="G29" i="7"/>
  <c r="G25" i="7"/>
  <c r="G21" i="7"/>
  <c r="G17" i="7"/>
  <c r="G13" i="7"/>
  <c r="K21" i="7" s="1"/>
  <c r="G11" i="7"/>
  <c r="G56" i="7"/>
  <c r="G52" i="7"/>
  <c r="G48" i="7"/>
  <c r="G44" i="7"/>
  <c r="G40" i="7"/>
  <c r="G36" i="7"/>
  <c r="G32" i="7"/>
  <c r="G28" i="7"/>
  <c r="G24" i="7"/>
  <c r="G20" i="7"/>
  <c r="G16" i="7"/>
  <c r="K22" i="7" s="1"/>
  <c r="G12" i="7"/>
  <c r="K16" i="7" s="1"/>
  <c r="G55" i="7"/>
  <c r="G51" i="7"/>
  <c r="K26" i="7" s="1"/>
  <c r="G47" i="7"/>
  <c r="G43" i="7"/>
  <c r="G39" i="7"/>
  <c r="G35" i="7"/>
  <c r="G31" i="7"/>
  <c r="G27" i="7"/>
  <c r="G23" i="7"/>
  <c r="G19" i="7"/>
  <c r="G15" i="7"/>
  <c r="G54" i="7"/>
  <c r="K28" i="7" s="1"/>
  <c r="G50" i="7"/>
  <c r="G46" i="7"/>
  <c r="K25" i="7" s="1"/>
  <c r="G42" i="7"/>
  <c r="K24" i="7" s="1"/>
  <c r="G38" i="7"/>
  <c r="G34" i="7"/>
  <c r="G30" i="7"/>
  <c r="G26" i="7"/>
  <c r="G22" i="7"/>
  <c r="G18" i="7"/>
  <c r="G14" i="7"/>
  <c r="G10" i="7"/>
  <c r="G17" i="14"/>
  <c r="G27" i="12"/>
  <c r="G11" i="12"/>
  <c r="G12" i="12"/>
  <c r="G9" i="34"/>
  <c r="G8" i="34"/>
  <c r="G10" i="34"/>
  <c r="G32" i="21"/>
  <c r="K14" i="21" s="1"/>
  <c r="G16" i="14"/>
  <c r="G9" i="18"/>
  <c r="G87" i="2"/>
  <c r="G88" i="2" s="1"/>
  <c r="G90" i="2"/>
  <c r="G26" i="12"/>
  <c r="G30" i="14"/>
  <c r="G29" i="14"/>
  <c r="G9" i="12"/>
  <c r="K12" i="12" s="1"/>
  <c r="G10" i="12"/>
  <c r="G62" i="3"/>
  <c r="G28" i="14"/>
  <c r="G27" i="14"/>
  <c r="K12" i="14" s="1"/>
  <c r="G22" i="31"/>
  <c r="G14" i="14"/>
  <c r="G13" i="14"/>
  <c r="G15" i="14"/>
  <c r="G26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32" i="16"/>
  <c r="G30" i="16"/>
  <c r="K16" i="16" s="1"/>
  <c r="G26" i="16"/>
  <c r="K12" i="16" s="1"/>
  <c r="G22" i="16"/>
  <c r="K10" i="16" s="1"/>
  <c r="G29" i="16"/>
  <c r="K15" i="16" s="1"/>
  <c r="G25" i="16"/>
  <c r="G21" i="16"/>
  <c r="G23" i="16"/>
  <c r="G36" i="16"/>
  <c r="K18" i="16" s="1"/>
  <c r="G28" i="16"/>
  <c r="G24" i="16"/>
  <c r="G20" i="16"/>
  <c r="G27" i="16"/>
  <c r="K13" i="16" s="1"/>
  <c r="G9" i="16"/>
  <c r="K14" i="16" s="1"/>
  <c r="G25" i="14"/>
  <c r="A10" i="35"/>
  <c r="A11" i="35" s="1"/>
  <c r="G10" i="35"/>
  <c r="G11" i="35"/>
  <c r="G18" i="34"/>
  <c r="G13" i="34"/>
  <c r="K10" i="34" s="1"/>
  <c r="G13" i="18"/>
  <c r="A11" i="6"/>
  <c r="G24" i="20"/>
  <c r="G21" i="20"/>
  <c r="G17" i="20"/>
  <c r="G23" i="20"/>
  <c r="K11" i="20" s="1"/>
  <c r="G27" i="20"/>
  <c r="G22" i="20"/>
  <c r="G18" i="20"/>
  <c r="K12" i="20" s="1"/>
  <c r="G25" i="20"/>
  <c r="K13" i="20" s="1"/>
  <c r="A11" i="9"/>
  <c r="A12" i="9" s="1"/>
  <c r="A11" i="7"/>
  <c r="G86" i="5"/>
  <c r="K36" i="5" s="1"/>
  <c r="A11" i="5"/>
  <c r="A11" i="2"/>
  <c r="G14" i="35"/>
  <c r="K10" i="35" s="1"/>
  <c r="G24" i="12"/>
  <c r="G22" i="12"/>
  <c r="K15" i="12" s="1"/>
  <c r="G25" i="12"/>
  <c r="G23" i="12"/>
  <c r="K14" i="12" s="1"/>
  <c r="G28" i="5"/>
  <c r="K23" i="5" s="1"/>
  <c r="A11" i="4"/>
  <c r="A11" i="19"/>
  <c r="G61" i="9"/>
  <c r="G18" i="9"/>
  <c r="G53" i="5"/>
  <c r="G48" i="5"/>
  <c r="G83" i="5"/>
  <c r="K35" i="5" s="1"/>
  <c r="G31" i="5"/>
  <c r="G31" i="9"/>
  <c r="G38" i="9"/>
  <c r="G49" i="9"/>
  <c r="K28" i="9" s="1"/>
  <c r="G42" i="9"/>
  <c r="K27" i="9" s="1"/>
  <c r="G46" i="9"/>
  <c r="G9" i="35"/>
  <c r="G8" i="35"/>
  <c r="G16" i="20"/>
  <c r="G21" i="12"/>
  <c r="K11" i="12" s="1"/>
  <c r="G39" i="9"/>
  <c r="K26" i="9" s="1"/>
  <c r="G41" i="9"/>
  <c r="G50" i="9"/>
  <c r="G24" i="9"/>
  <c r="G53" i="9"/>
  <c r="G35" i="9"/>
  <c r="K25" i="9" s="1"/>
  <c r="G26" i="9"/>
  <c r="G52" i="9"/>
  <c r="K24" i="9" s="1"/>
  <c r="G23" i="9"/>
  <c r="K23" i="9" s="1"/>
  <c r="G27" i="9"/>
  <c r="G30" i="9"/>
  <c r="G21" i="9"/>
  <c r="G44" i="5"/>
  <c r="G24" i="5"/>
  <c r="G27" i="5"/>
  <c r="G19" i="5"/>
  <c r="G21" i="5"/>
  <c r="G45" i="5"/>
  <c r="K28" i="5" s="1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K26" i="5" s="1"/>
  <c r="G17" i="5"/>
  <c r="G47" i="5"/>
  <c r="G32" i="5"/>
  <c r="G9" i="5"/>
  <c r="G49" i="5"/>
  <c r="K24" i="5" s="1"/>
  <c r="G50" i="5"/>
  <c r="K22" i="5" s="1"/>
  <c r="G30" i="5"/>
  <c r="G29" i="5"/>
  <c r="G39" i="5"/>
  <c r="G42" i="5"/>
  <c r="K27" i="5" s="1"/>
  <c r="G25" i="5"/>
  <c r="G14" i="5"/>
  <c r="G23" i="5"/>
  <c r="G52" i="5"/>
  <c r="G22" i="5"/>
  <c r="G13" i="5"/>
  <c r="G15" i="5"/>
  <c r="G33" i="5"/>
  <c r="G51" i="5"/>
  <c r="G54" i="5"/>
  <c r="G59" i="9"/>
  <c r="G35" i="21"/>
  <c r="K15" i="21" s="1"/>
  <c r="G35" i="14"/>
  <c r="K15" i="14" s="1"/>
  <c r="G45" i="20"/>
  <c r="A12" i="3"/>
  <c r="A13" i="3" s="1"/>
  <c r="G14" i="31"/>
  <c r="G17" i="31"/>
  <c r="G18" i="31" s="1"/>
  <c r="G10" i="31"/>
  <c r="G15" i="20"/>
  <c r="G20" i="20"/>
  <c r="G19" i="20"/>
  <c r="G37" i="18"/>
  <c r="G24" i="14"/>
  <c r="G43" i="12"/>
  <c r="K21" i="12" s="1"/>
  <c r="G56" i="9"/>
  <c r="G54" i="9"/>
  <c r="G28" i="9"/>
  <c r="G9" i="3"/>
  <c r="G9" i="2"/>
  <c r="G22" i="14"/>
  <c r="G9" i="31"/>
  <c r="G19" i="35"/>
  <c r="G17" i="9"/>
  <c r="G76" i="9"/>
  <c r="K33" i="9" s="1"/>
  <c r="G17" i="10"/>
  <c r="G12" i="10"/>
  <c r="K10" i="10" s="1"/>
  <c r="G8" i="31"/>
  <c r="G11" i="31"/>
  <c r="G10" i="21"/>
  <c r="G9" i="21"/>
  <c r="G40" i="20"/>
  <c r="K16" i="20" s="1"/>
  <c r="G9" i="19"/>
  <c r="G32" i="18"/>
  <c r="K17" i="18" s="1"/>
  <c r="G18" i="18"/>
  <c r="K10" i="18" s="1"/>
  <c r="G23" i="14"/>
  <c r="G9" i="10"/>
  <c r="G10" i="10" s="1"/>
  <c r="G29" i="9"/>
  <c r="G37" i="9"/>
  <c r="G13" i="9"/>
  <c r="G40" i="9"/>
  <c r="G12" i="9"/>
  <c r="K21" i="9" s="1"/>
  <c r="G33" i="9"/>
  <c r="G14" i="9"/>
  <c r="G25" i="9"/>
  <c r="G48" i="9"/>
  <c r="G16" i="9"/>
  <c r="G55" i="9"/>
  <c r="G22" i="9"/>
  <c r="G62" i="9"/>
  <c r="G15" i="9"/>
  <c r="K22" i="9" s="1"/>
  <c r="G57" i="9"/>
  <c r="G11" i="9"/>
  <c r="G58" i="9"/>
  <c r="G47" i="9"/>
  <c r="G19" i="9"/>
  <c r="G9" i="9"/>
  <c r="G32" i="9"/>
  <c r="G60" i="9"/>
  <c r="G44" i="9"/>
  <c r="G36" i="9"/>
  <c r="G20" i="9"/>
  <c r="G51" i="9"/>
  <c r="G43" i="9"/>
  <c r="G34" i="9"/>
  <c r="G36" i="20"/>
  <c r="G26" i="20"/>
  <c r="G9" i="7"/>
  <c r="G45" i="9"/>
  <c r="G10" i="9"/>
  <c r="A18" i="18"/>
  <c r="K18" i="5" l="1"/>
  <c r="K12" i="19"/>
  <c r="K10" i="12"/>
  <c r="K11" i="21"/>
  <c r="K21" i="19"/>
  <c r="K10" i="14"/>
  <c r="K10" i="31"/>
  <c r="K10" i="21"/>
  <c r="K9" i="21"/>
  <c r="K15" i="18"/>
  <c r="G38" i="20"/>
  <c r="K15" i="20"/>
  <c r="K10" i="20"/>
  <c r="K16" i="19"/>
  <c r="K17" i="19"/>
  <c r="K19" i="19"/>
  <c r="K13" i="19"/>
  <c r="K22" i="19"/>
  <c r="K30" i="19"/>
  <c r="K14" i="19"/>
  <c r="K32" i="19"/>
  <c r="K25" i="19"/>
  <c r="K33" i="19"/>
  <c r="K11" i="19"/>
  <c r="K10" i="19"/>
  <c r="K15" i="19"/>
  <c r="K18" i="19"/>
  <c r="K12" i="18"/>
  <c r="K9" i="16"/>
  <c r="K11" i="16"/>
  <c r="K9" i="14"/>
  <c r="K13" i="12"/>
  <c r="G41" i="12"/>
  <c r="K16" i="12"/>
  <c r="K13" i="9"/>
  <c r="K14" i="5"/>
  <c r="K14" i="9"/>
  <c r="K10" i="9"/>
  <c r="K20" i="9"/>
  <c r="K18" i="9"/>
  <c r="K12" i="9"/>
  <c r="K16" i="9"/>
  <c r="K15" i="9"/>
  <c r="K11" i="9"/>
  <c r="K17" i="9"/>
  <c r="K19" i="9"/>
  <c r="K15" i="5"/>
  <c r="K20" i="7"/>
  <c r="K20" i="5"/>
  <c r="K12" i="7"/>
  <c r="K13" i="7"/>
  <c r="K15" i="7"/>
  <c r="K14" i="7"/>
  <c r="K19" i="7"/>
  <c r="K18" i="7"/>
  <c r="K11" i="7"/>
  <c r="K10" i="7"/>
  <c r="K17" i="7"/>
  <c r="K19" i="5"/>
  <c r="K12" i="5"/>
  <c r="K16" i="5"/>
  <c r="K11" i="5"/>
  <c r="K17" i="5"/>
  <c r="K13" i="5"/>
  <c r="K21" i="5"/>
  <c r="K10" i="5"/>
  <c r="A14" i="3"/>
  <c r="A15" i="3" s="1"/>
  <c r="A16" i="3" s="1"/>
  <c r="K8" i="14"/>
  <c r="K32" i="2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G77" i="19"/>
  <c r="G10" i="14"/>
  <c r="K40" i="2"/>
  <c r="G29" i="21"/>
  <c r="K8" i="21"/>
  <c r="G14" i="18"/>
  <c r="A12" i="7"/>
  <c r="A13" i="7" s="1"/>
  <c r="K10" i="3"/>
  <c r="K9" i="3"/>
  <c r="G115" i="19"/>
  <c r="G131" i="19"/>
  <c r="A12" i="12"/>
  <c r="K31" i="2"/>
  <c r="K28" i="2"/>
  <c r="K30" i="2"/>
  <c r="G74" i="9"/>
  <c r="G66" i="7"/>
  <c r="G84" i="5"/>
  <c r="G16" i="16"/>
  <c r="K22" i="2"/>
  <c r="G33" i="21"/>
  <c r="K8" i="16"/>
  <c r="K20" i="2"/>
  <c r="K29" i="2"/>
  <c r="K26" i="2"/>
  <c r="G87" i="19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G17" i="12"/>
  <c r="K9" i="20"/>
  <c r="G78" i="7"/>
  <c r="G41" i="20"/>
  <c r="G71" i="19"/>
  <c r="G111" i="19"/>
  <c r="G134" i="19"/>
  <c r="G123" i="19"/>
  <c r="G33" i="20"/>
  <c r="G10" i="18"/>
  <c r="K9" i="18"/>
  <c r="K9" i="35"/>
  <c r="K9" i="34"/>
  <c r="G14" i="34"/>
  <c r="G74" i="2"/>
  <c r="A12" i="2"/>
  <c r="G74" i="7"/>
  <c r="G13" i="10"/>
  <c r="K9" i="5"/>
  <c r="G68" i="5"/>
  <c r="G87" i="5"/>
  <c r="G36" i="21"/>
  <c r="G33" i="18"/>
  <c r="G37" i="16"/>
  <c r="G36" i="14"/>
  <c r="G44" i="12"/>
  <c r="A12" i="4"/>
  <c r="A13" i="4" s="1"/>
  <c r="G77" i="9"/>
  <c r="G91" i="2"/>
  <c r="G12" i="35"/>
  <c r="G11" i="34"/>
  <c r="G12" i="31"/>
  <c r="G30" i="18"/>
  <c r="G12" i="21"/>
  <c r="G10" i="16"/>
  <c r="G34" i="16"/>
  <c r="G33" i="14"/>
  <c r="G18" i="14"/>
  <c r="G37" i="12"/>
  <c r="G13" i="12"/>
  <c r="G59" i="3"/>
  <c r="K9" i="19"/>
  <c r="A12" i="5"/>
  <c r="G15" i="35"/>
  <c r="L13" i="35"/>
  <c r="K9" i="31"/>
  <c r="G15" i="31"/>
  <c r="K9" i="12"/>
  <c r="K9" i="10"/>
  <c r="A12" i="6"/>
  <c r="K9" i="2"/>
  <c r="K9" i="9"/>
  <c r="K9" i="7"/>
  <c r="A19" i="18"/>
  <c r="A20" i="18" s="1"/>
  <c r="A12" i="19"/>
  <c r="A13" i="9"/>
  <c r="A40" i="17" l="1"/>
  <c r="A17" i="3"/>
  <c r="A18" i="3" s="1"/>
  <c r="A14" i="7"/>
  <c r="A15" i="7" s="1"/>
  <c r="L29" i="21"/>
  <c r="A13" i="5"/>
  <c r="A16" i="12"/>
  <c r="G19" i="34"/>
  <c r="A13" i="2"/>
  <c r="A21" i="18"/>
  <c r="A22" i="18" s="1"/>
  <c r="G23" i="31"/>
  <c r="L16" i="18"/>
  <c r="L12" i="34"/>
  <c r="L12" i="31"/>
  <c r="L12" i="21"/>
  <c r="L32" i="19"/>
  <c r="G42" i="16"/>
  <c r="G18" i="10"/>
  <c r="G82" i="9"/>
  <c r="A13" i="6"/>
  <c r="L32" i="3"/>
  <c r="G139" i="19"/>
  <c r="L29" i="9"/>
  <c r="L26" i="7"/>
  <c r="G92" i="5"/>
  <c r="A14" i="9"/>
  <c r="G96" i="2"/>
  <c r="A13" i="19"/>
  <c r="A14" i="4"/>
  <c r="G20" i="35"/>
  <c r="G41" i="21"/>
  <c r="G49" i="12"/>
  <c r="G41" i="14"/>
  <c r="G46" i="20"/>
  <c r="A9" i="21"/>
  <c r="G67" i="3"/>
  <c r="G38" i="18"/>
  <c r="G79" i="7"/>
  <c r="A19" i="3" l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9" i="8"/>
  <c r="A14" i="5"/>
  <c r="A23" i="18"/>
  <c r="A14" i="2"/>
  <c r="A15" i="9"/>
  <c r="A16" i="9" s="1"/>
  <c r="A17" i="9" s="1"/>
  <c r="A18" i="9" s="1"/>
  <c r="A14" i="6"/>
  <c r="A10" i="21"/>
  <c r="A11" i="21" s="1"/>
  <c r="A14" i="19"/>
  <c r="A16" i="7"/>
  <c r="A15" i="4"/>
  <c r="A9" i="16"/>
  <c r="A55" i="3" l="1"/>
  <c r="A56" i="3" s="1"/>
  <c r="A57" i="3" s="1"/>
  <c r="A58" i="3" s="1"/>
  <c r="A10" i="8"/>
  <c r="A24" i="18"/>
  <c r="A25" i="18" s="1"/>
  <c r="A26" i="18" s="1"/>
  <c r="A27" i="18" s="1"/>
  <c r="A15" i="5"/>
  <c r="A16" i="5" s="1"/>
  <c r="A17" i="5" s="1"/>
  <c r="A21" i="12"/>
  <c r="A15" i="6"/>
  <c r="A15" i="2"/>
  <c r="A16" i="2" s="1"/>
  <c r="A15" i="19"/>
  <c r="A19" i="9"/>
  <c r="A17" i="7"/>
  <c r="A16" i="4"/>
  <c r="A11" i="8" l="1"/>
  <c r="A28" i="18"/>
  <c r="A29" i="18" s="1"/>
  <c r="A16" i="6"/>
  <c r="A13" i="16"/>
  <c r="A22" i="12"/>
  <c r="A23" i="12" s="1"/>
  <c r="A24" i="12" s="1"/>
  <c r="A25" i="12" s="1"/>
  <c r="A26" i="12" s="1"/>
  <c r="A27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6" i="19"/>
  <c r="A17" i="19" s="1"/>
  <c r="A20" i="9"/>
  <c r="A18" i="7"/>
  <c r="A17" i="4"/>
  <c r="A18" i="4" s="1"/>
  <c r="A17" i="2"/>
  <c r="A18" i="2" s="1"/>
  <c r="A12" i="8" l="1"/>
  <c r="A17" i="6"/>
  <c r="A14" i="16"/>
  <c r="A15" i="16" s="1"/>
  <c r="A28" i="12"/>
  <c r="A56" i="5"/>
  <c r="A57" i="5" s="1"/>
  <c r="A18" i="19"/>
  <c r="A19" i="19" s="1"/>
  <c r="A21" i="9"/>
  <c r="A19" i="7"/>
  <c r="A19" i="4"/>
  <c r="A19" i="2"/>
  <c r="A13" i="8" l="1"/>
  <c r="A14" i="8" s="1"/>
  <c r="A18" i="6"/>
  <c r="A19" i="6" s="1"/>
  <c r="A20" i="6" s="1"/>
  <c r="A21" i="6" s="1"/>
  <c r="A29" i="12"/>
  <c r="A58" i="5"/>
  <c r="A59" i="5" s="1"/>
  <c r="A60" i="5" s="1"/>
  <c r="A61" i="5" s="1"/>
  <c r="A62" i="5" s="1"/>
  <c r="A63" i="5" s="1"/>
  <c r="A64" i="5" s="1"/>
  <c r="A20" i="19"/>
  <c r="A22" i="9"/>
  <c r="A20" i="7"/>
  <c r="A20" i="4"/>
  <c r="A20" i="2"/>
  <c r="A15" i="8" l="1"/>
  <c r="A22" i="6"/>
  <c r="A23" i="6" s="1"/>
  <c r="A65" i="5"/>
  <c r="A66" i="5" s="1"/>
  <c r="A67" i="5" s="1"/>
  <c r="A15" i="21"/>
  <c r="A30" i="12"/>
  <c r="A20" i="16"/>
  <c r="A21" i="16" s="1"/>
  <c r="A22" i="16" s="1"/>
  <c r="A23" i="16" s="1"/>
  <c r="A24" i="16" s="1"/>
  <c r="A25" i="16" s="1"/>
  <c r="A21" i="19"/>
  <c r="A23" i="9"/>
  <c r="A21" i="7"/>
  <c r="A21" i="4"/>
  <c r="A21" i="2"/>
  <c r="A16" i="8" l="1"/>
  <c r="A24" i="6"/>
  <c r="A25" i="6" s="1"/>
  <c r="A16" i="21"/>
  <c r="A17" i="21" s="1"/>
  <c r="A18" i="21" s="1"/>
  <c r="A31" i="12"/>
  <c r="A32" i="12" s="1"/>
  <c r="A33" i="12" s="1"/>
  <c r="A34" i="12" s="1"/>
  <c r="A35" i="12" s="1"/>
  <c r="A36" i="12" s="1"/>
  <c r="A26" i="16"/>
  <c r="A27" i="16" s="1"/>
  <c r="A28" i="16" s="1"/>
  <c r="A29" i="16" s="1"/>
  <c r="A30" i="16" s="1"/>
  <c r="A31" i="16" s="1"/>
  <c r="A32" i="16" s="1"/>
  <c r="A15" i="20"/>
  <c r="A22" i="19"/>
  <c r="A24" i="9"/>
  <c r="A22" i="7"/>
  <c r="A22" i="4"/>
  <c r="A22" i="2"/>
  <c r="A17" i="8" l="1"/>
  <c r="A18" i="8" s="1"/>
  <c r="A19" i="8" s="1"/>
  <c r="A26" i="6"/>
  <c r="A27" i="6" s="1"/>
  <c r="A19" i="21"/>
  <c r="A20" i="21" s="1"/>
  <c r="A33" i="16"/>
  <c r="A40" i="12"/>
  <c r="A16" i="20"/>
  <c r="A17" i="20" s="1"/>
  <c r="A18" i="20" s="1"/>
  <c r="A19" i="20" s="1"/>
  <c r="A23" i="19"/>
  <c r="A25" i="9"/>
  <c r="A23" i="7"/>
  <c r="A23" i="4"/>
  <c r="A23" i="2"/>
  <c r="A20" i="8" l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21" i="21"/>
  <c r="A22" i="21" s="1"/>
  <c r="A20" i="20"/>
  <c r="A24" i="19"/>
  <c r="A26" i="9"/>
  <c r="A24" i="7"/>
  <c r="A28" i="6"/>
  <c r="A24" i="4"/>
  <c r="A24" i="2"/>
  <c r="A39" i="8" l="1"/>
  <c r="A23" i="21"/>
  <c r="A24" i="21" s="1"/>
  <c r="A25" i="21" s="1"/>
  <c r="A26" i="21" s="1"/>
  <c r="A27" i="21" s="1"/>
  <c r="A28" i="21" s="1"/>
  <c r="A32" i="21" s="1"/>
  <c r="A21" i="20"/>
  <c r="A25" i="19"/>
  <c r="A27" i="9"/>
  <c r="A25" i="7"/>
  <c r="A29" i="6"/>
  <c r="A25" i="4"/>
  <c r="A25" i="2"/>
  <c r="A22" i="20" l="1"/>
  <c r="A23" i="20" s="1"/>
  <c r="A24" i="20" s="1"/>
  <c r="A25" i="20" s="1"/>
  <c r="A26" i="20" s="1"/>
  <c r="A26" i="19"/>
  <c r="A28" i="9"/>
  <c r="A26" i="7"/>
  <c r="A30" i="6"/>
  <c r="A26" i="4"/>
  <c r="A26" i="2"/>
  <c r="A27" i="20" l="1"/>
  <c r="A28" i="20" s="1"/>
  <c r="A29" i="20" s="1"/>
  <c r="A27" i="19"/>
  <c r="A29" i="9"/>
  <c r="A27" i="7"/>
  <c r="A31" i="6"/>
  <c r="A27" i="4"/>
  <c r="A27" i="2"/>
  <c r="A30" i="20" l="1"/>
  <c r="A31" i="20" s="1"/>
  <c r="A32" i="20" s="1"/>
  <c r="A28" i="19"/>
  <c r="A30" i="9"/>
  <c r="A28" i="7"/>
  <c r="A32" i="6"/>
  <c r="A28" i="4"/>
  <c r="A28" i="2"/>
  <c r="A36" i="20" l="1"/>
  <c r="A37" i="20" s="1"/>
  <c r="A29" i="19"/>
  <c r="A31" i="9"/>
  <c r="A29" i="7"/>
  <c r="A33" i="6"/>
  <c r="A29" i="4"/>
  <c r="A29" i="2"/>
  <c r="G51" i="4" l="1"/>
  <c r="G50" i="4"/>
  <c r="A30" i="19"/>
  <c r="A32" i="9"/>
  <c r="A30" i="7"/>
  <c r="A34" i="6"/>
  <c r="A30" i="4"/>
  <c r="A30" i="2"/>
  <c r="G49" i="4"/>
  <c r="K28" i="4" s="1"/>
  <c r="G46" i="4"/>
  <c r="K26" i="4" s="1"/>
  <c r="G12" i="4"/>
  <c r="G33" i="4"/>
  <c r="G21" i="4"/>
  <c r="G36" i="4"/>
  <c r="G14" i="4"/>
  <c r="G41" i="4"/>
  <c r="K24" i="4" s="1"/>
  <c r="G38" i="4"/>
  <c r="K23" i="4" s="1"/>
  <c r="G35" i="4"/>
  <c r="K21" i="4" s="1"/>
  <c r="G40" i="4"/>
  <c r="G26" i="4"/>
  <c r="K20" i="4" s="1"/>
  <c r="G18" i="4"/>
  <c r="G42" i="4"/>
  <c r="G25" i="4"/>
  <c r="G28" i="4"/>
  <c r="G9" i="4"/>
  <c r="G44" i="4"/>
  <c r="G19" i="4"/>
  <c r="K17" i="4" s="1"/>
  <c r="G47" i="4"/>
  <c r="K25" i="4" s="1"/>
  <c r="G16" i="4"/>
  <c r="G24" i="4"/>
  <c r="G39" i="4"/>
  <c r="G30" i="4"/>
  <c r="G34" i="4"/>
  <c r="G29" i="4"/>
  <c r="G43" i="4"/>
  <c r="G45" i="4"/>
  <c r="G13" i="4"/>
  <c r="G20" i="4"/>
  <c r="G17" i="4"/>
  <c r="G48" i="4"/>
  <c r="K27" i="4" s="1"/>
  <c r="G32" i="4"/>
  <c r="K22" i="4" s="1"/>
  <c r="G31" i="4"/>
  <c r="G37" i="4"/>
  <c r="G10" i="4"/>
  <c r="G15" i="4"/>
  <c r="G22" i="4"/>
  <c r="G27" i="4"/>
  <c r="G23" i="4"/>
  <c r="G11" i="4"/>
  <c r="K14" i="4" l="1"/>
  <c r="K16" i="4"/>
  <c r="K13" i="4"/>
  <c r="K15" i="4"/>
  <c r="K18" i="4"/>
  <c r="K12" i="4"/>
  <c r="G58" i="4"/>
  <c r="G70" i="4" s="1"/>
  <c r="K10" i="4"/>
  <c r="K9" i="4"/>
  <c r="K11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100" i="6" l="1"/>
  <c r="K18" i="6"/>
  <c r="K9" i="6"/>
  <c r="A43" i="19"/>
  <c r="A45" i="9"/>
  <c r="A43" i="7"/>
  <c r="A47" i="6"/>
  <c r="A43" i="4"/>
  <c r="A43" i="2"/>
  <c r="L36" i="6" l="1"/>
  <c r="A44" i="19"/>
  <c r="A46" i="9"/>
  <c r="A44" i="7"/>
  <c r="G117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61" i="4" s="1"/>
  <c r="A50" i="19"/>
  <c r="A52" i="9"/>
  <c r="A54" i="6"/>
  <c r="A50" i="2"/>
  <c r="A59" i="7" l="1"/>
  <c r="A60" i="7" s="1"/>
  <c r="A51" i="19"/>
  <c r="A53" i="9"/>
  <c r="A55" i="6"/>
  <c r="A51" i="2"/>
  <c r="A61" i="7" l="1"/>
  <c r="A62" i="7" s="1"/>
  <c r="A63" i="7" s="1"/>
  <c r="A64" i="7" s="1"/>
  <c r="A65" i="7" s="1"/>
  <c r="A52" i="19"/>
  <c r="A54" i="9"/>
  <c r="A56" i="6"/>
  <c r="A52" i="2"/>
  <c r="A69" i="7" l="1"/>
  <c r="A53" i="19"/>
  <c r="A55" i="9"/>
  <c r="A57" i="6"/>
  <c r="A53" i="2"/>
  <c r="A70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62" i="9"/>
  <c r="A64" i="6"/>
  <c r="A60" i="2"/>
  <c r="A75" i="19" l="1"/>
  <c r="A76" i="19" s="1"/>
  <c r="A63" i="9"/>
  <c r="A65" i="6"/>
  <c r="A61" i="2"/>
  <c r="A64" i="9" l="1"/>
  <c r="A65" i="9" s="1"/>
  <c r="A66" i="9" s="1"/>
  <c r="A67" i="9" s="1"/>
  <c r="A68" i="9" s="1"/>
  <c r="A69" i="9" s="1"/>
  <c r="A70" i="9" s="1"/>
  <c r="A66" i="6"/>
  <c r="A62" i="2"/>
  <c r="A71" i="9" l="1"/>
  <c r="A72" i="9" s="1"/>
  <c r="A73" i="9" s="1"/>
  <c r="A80" i="19"/>
  <c r="A81" i="19" s="1"/>
  <c r="A82" i="19" s="1"/>
  <c r="A67" i="6"/>
  <c r="A63" i="2"/>
  <c r="A83" i="19" l="1"/>
  <c r="A84" i="19" s="1"/>
  <c r="A85" i="19" s="1"/>
  <c r="A86" i="19" s="1"/>
  <c r="A68" i="6"/>
  <c r="A64" i="2"/>
  <c r="A91" i="19" l="1"/>
  <c r="A92" i="19" s="1"/>
  <c r="A93" i="19" s="1"/>
  <c r="A69" i="6"/>
  <c r="A65" i="2"/>
  <c r="A66" i="2" s="1"/>
  <c r="A67" i="2" s="1"/>
  <c r="A68" i="2" s="1"/>
  <c r="A69" i="2" s="1"/>
  <c r="A70" i="2" s="1"/>
  <c r="A71" i="2" s="1"/>
  <c r="A72" i="2" s="1"/>
  <c r="A73" i="2" s="1"/>
  <c r="A94" i="19" l="1"/>
  <c r="A95" i="19" s="1"/>
  <c r="A96" i="19" s="1"/>
  <c r="A70" i="6"/>
  <c r="A97" i="19" l="1"/>
  <c r="A71" i="6"/>
  <c r="A98" i="19" l="1"/>
  <c r="A72" i="6"/>
  <c r="A99" i="19" l="1"/>
  <c r="A100" i="19" s="1"/>
  <c r="A101" i="19" s="1"/>
  <c r="A73" i="6"/>
  <c r="A102" i="19" l="1"/>
  <c r="A103" i="19" s="1"/>
  <c r="A104" i="19" s="1"/>
  <c r="A105" i="19" s="1"/>
  <c r="A106" i="19" s="1"/>
  <c r="A107" i="19" s="1"/>
  <c r="A108" i="19" s="1"/>
  <c r="A109" i="19" s="1"/>
  <c r="A110" i="19" s="1"/>
  <c r="A74" i="6"/>
  <c r="A114" i="19" l="1"/>
  <c r="A118" i="19" s="1"/>
  <c r="A119" i="19" s="1"/>
  <c r="A120" i="19" s="1"/>
  <c r="A121" i="19" s="1"/>
  <c r="A122" i="19" s="1"/>
  <c r="A75" i="6"/>
  <c r="A76" i="6" l="1"/>
  <c r="A77" i="6" s="1"/>
  <c r="A78" i="6" s="1"/>
  <c r="A79" i="6" s="1"/>
  <c r="A80" i="6" s="1"/>
  <c r="A126" i="19" l="1"/>
  <c r="A81" i="6"/>
  <c r="A82" i="6" s="1"/>
  <c r="A83" i="6" s="1"/>
  <c r="A84" i="6" s="1"/>
  <c r="A85" i="6" s="1"/>
  <c r="A86" i="6" l="1"/>
  <c r="A87" i="6" s="1"/>
  <c r="A88" i="6" s="1"/>
  <c r="A89" i="6" s="1"/>
  <c r="A71" i="5"/>
  <c r="A72" i="5" s="1"/>
  <c r="A73" i="5" s="1"/>
  <c r="A74" i="5" s="1"/>
  <c r="A75" i="5" s="1"/>
  <c r="A79" i="5" s="1"/>
  <c r="A130" i="19" l="1"/>
  <c r="A90" i="6"/>
  <c r="A91" i="6" l="1"/>
  <c r="A92" i="6" s="1"/>
  <c r="A93" i="6" s="1"/>
  <c r="A94" i="6" s="1"/>
  <c r="A95" i="6" s="1"/>
  <c r="A96" i="6" s="1"/>
  <c r="A97" i="6" s="1"/>
  <c r="A98" i="6" s="1"/>
  <c r="A99" i="6" s="1"/>
  <c r="A83" i="5"/>
  <c r="A103" i="6" l="1"/>
  <c r="A77" i="2"/>
  <c r="A78" i="2" s="1"/>
  <c r="A79" i="2" s="1"/>
  <c r="A80" i="2" s="1"/>
  <c r="A81" i="2" s="1"/>
  <c r="A107" i="6" l="1"/>
  <c r="A108" i="6" s="1"/>
  <c r="A82" i="2"/>
  <c r="A83" i="2" s="1"/>
  <c r="A87" i="2" s="1"/>
  <c r="F123" i="17" l="1"/>
  <c r="G22" i="17" l="1"/>
  <c r="G123" i="17"/>
  <c r="G115" i="17"/>
  <c r="L23" i="17" s="1"/>
  <c r="G105" i="17"/>
  <c r="L19" i="17" s="1"/>
  <c r="G107" i="17"/>
  <c r="L27" i="17" s="1"/>
  <c r="G118" i="17"/>
  <c r="G106" i="17"/>
  <c r="L21" i="17" s="1"/>
  <c r="G99" i="17"/>
  <c r="G98" i="17"/>
  <c r="G108" i="17"/>
  <c r="G109" i="17"/>
  <c r="L31" i="17" s="1"/>
  <c r="G9" i="17"/>
  <c r="G100" i="17"/>
  <c r="L20" i="17" s="1"/>
  <c r="G14" i="17"/>
  <c r="G10" i="17"/>
  <c r="G12" i="17"/>
  <c r="G11" i="17"/>
  <c r="G13" i="17"/>
  <c r="G15" i="17"/>
  <c r="L29" i="17" s="1"/>
  <c r="G111" i="17"/>
  <c r="L36" i="17" s="1"/>
  <c r="G20" i="17"/>
  <c r="G24" i="17"/>
  <c r="G18" i="17"/>
  <c r="G16" i="17"/>
  <c r="G21" i="17"/>
  <c r="G19" i="17"/>
  <c r="G23" i="17"/>
  <c r="G110" i="17"/>
  <c r="G17" i="17"/>
  <c r="G36" i="17"/>
  <c r="G26" i="17"/>
  <c r="G32" i="17"/>
  <c r="L35" i="17" s="1"/>
  <c r="G29" i="17"/>
  <c r="G25" i="17"/>
  <c r="L34" i="17" s="1"/>
  <c r="G35" i="17"/>
  <c r="G31" i="17"/>
  <c r="G28" i="17"/>
  <c r="L22" i="17" s="1"/>
  <c r="G34" i="17"/>
  <c r="L16" i="17" s="1"/>
  <c r="G33" i="17"/>
  <c r="G30" i="17"/>
  <c r="G27" i="17"/>
  <c r="L9" i="17" l="1"/>
  <c r="L13" i="17"/>
  <c r="L37" i="17"/>
  <c r="L14" i="17"/>
  <c r="L15" i="17"/>
  <c r="L10" i="17"/>
  <c r="L12" i="17"/>
  <c r="L24" i="17"/>
  <c r="L11" i="17"/>
  <c r="G37" i="17"/>
  <c r="G119" i="17"/>
  <c r="L26" i="17"/>
  <c r="G116" i="17"/>
  <c r="G101" i="17"/>
  <c r="G112" i="17"/>
  <c r="G124" i="17" l="1"/>
  <c r="A98" i="17"/>
  <c r="A99" i="17" l="1"/>
  <c r="A100" i="17" s="1"/>
  <c r="A105" i="17" l="1"/>
  <c r="A106" i="17" s="1"/>
  <c r="A107" i="17" l="1"/>
  <c r="A108" i="17" s="1"/>
  <c r="A109" i="17" s="1"/>
  <c r="A110" i="17" l="1"/>
  <c r="A111" i="17" s="1"/>
  <c r="A71" i="8"/>
  <c r="A72" i="8" s="1"/>
  <c r="A73" i="8" s="1"/>
  <c r="A74" i="8" s="1"/>
  <c r="A75" i="8" s="1"/>
  <c r="A115" i="17" l="1"/>
  <c r="A79" i="8"/>
  <c r="A83" i="8" s="1"/>
  <c r="A88" i="8" l="1"/>
  <c r="A89" i="8" s="1"/>
  <c r="A90" i="8" s="1"/>
  <c r="A91" i="8" s="1"/>
  <c r="A92" i="8" s="1"/>
  <c r="A93" i="8" l="1"/>
  <c r="A49" i="36"/>
  <c r="A97" i="8" l="1"/>
  <c r="A50" i="36"/>
  <c r="A51" i="36" s="1"/>
  <c r="A52" i="36" s="1"/>
  <c r="A56" i="36" l="1"/>
  <c r="F64" i="36" l="1"/>
  <c r="G52" i="36" l="1"/>
  <c r="G37" i="36"/>
  <c r="G29" i="36"/>
  <c r="G21" i="36"/>
  <c r="L16" i="36" s="1"/>
  <c r="G13" i="36"/>
  <c r="G43" i="36"/>
  <c r="L24" i="36" s="1"/>
  <c r="G35" i="36"/>
  <c r="G27" i="36"/>
  <c r="L18" i="36" s="1"/>
  <c r="G19" i="36"/>
  <c r="L15" i="36" s="1"/>
  <c r="G11" i="36"/>
  <c r="G41" i="36"/>
  <c r="L23" i="36" s="1"/>
  <c r="G33" i="36"/>
  <c r="L21" i="36" s="1"/>
  <c r="G25" i="36"/>
  <c r="L17" i="36" s="1"/>
  <c r="G17" i="36"/>
  <c r="L14" i="36" s="1"/>
  <c r="G39" i="36"/>
  <c r="L22" i="36" s="1"/>
  <c r="G31" i="36"/>
  <c r="L20" i="36" s="1"/>
  <c r="G23" i="36"/>
  <c r="G15" i="36"/>
  <c r="L12" i="36" s="1"/>
  <c r="G51" i="36"/>
  <c r="L19" i="36" s="1"/>
  <c r="G64" i="36"/>
  <c r="G56" i="36"/>
  <c r="L10" i="36" s="1"/>
  <c r="G49" i="36"/>
  <c r="L13" i="36" s="1"/>
  <c r="G50" i="36"/>
  <c r="L11" i="36" s="1"/>
  <c r="G9" i="36"/>
  <c r="G59" i="36"/>
  <c r="L25" i="36" l="1"/>
  <c r="L8" i="36"/>
  <c r="G45" i="36"/>
  <c r="G57" i="36"/>
  <c r="G53" i="36"/>
  <c r="G60" i="36"/>
  <c r="L9" i="36"/>
  <c r="G65" i="36" l="1"/>
  <c r="F105" i="8"/>
  <c r="G75" i="8" l="1"/>
  <c r="G35" i="8"/>
  <c r="L29" i="8" s="1"/>
  <c r="G32" i="8"/>
  <c r="L14" i="8" s="1"/>
  <c r="G34" i="8"/>
  <c r="L28" i="8" s="1"/>
  <c r="G31" i="8"/>
  <c r="G29" i="8"/>
  <c r="G30" i="8"/>
  <c r="G33" i="8"/>
  <c r="G74" i="8"/>
  <c r="G83" i="8"/>
  <c r="G84" i="8" s="1"/>
  <c r="G21" i="8"/>
  <c r="G105" i="8"/>
  <c r="G73" i="8"/>
  <c r="L19" i="8" s="1"/>
  <c r="G10" i="8"/>
  <c r="G12" i="8"/>
  <c r="G72" i="8"/>
  <c r="L20" i="8" s="1"/>
  <c r="G100" i="8"/>
  <c r="L31" i="8" s="1"/>
  <c r="G88" i="8"/>
  <c r="L21" i="8" s="1"/>
  <c r="G25" i="8"/>
  <c r="G90" i="8"/>
  <c r="L25" i="8" s="1"/>
  <c r="G11" i="8"/>
  <c r="G20" i="8"/>
  <c r="G13" i="8"/>
  <c r="G97" i="8"/>
  <c r="L23" i="8" s="1"/>
  <c r="G15" i="8"/>
  <c r="L9" i="8" s="1"/>
  <c r="G28" i="8"/>
  <c r="G92" i="8"/>
  <c r="L30" i="8" s="1"/>
  <c r="G24" i="8"/>
  <c r="L27" i="8" s="1"/>
  <c r="G14" i="8"/>
  <c r="L16" i="8" s="1"/>
  <c r="G23" i="8"/>
  <c r="G9" i="8"/>
  <c r="G91" i="8"/>
  <c r="G19" i="8"/>
  <c r="G17" i="8"/>
  <c r="G22" i="8"/>
  <c r="G18" i="8"/>
  <c r="G93" i="8"/>
  <c r="G89" i="8"/>
  <c r="L24" i="8" s="1"/>
  <c r="G79" i="8"/>
  <c r="L22" i="8" s="1"/>
  <c r="G71" i="8"/>
  <c r="L18" i="8" s="1"/>
  <c r="G16" i="8"/>
  <c r="G27" i="8"/>
  <c r="G26" i="8"/>
  <c r="L15" i="8" l="1"/>
  <c r="L12" i="8"/>
  <c r="L26" i="8"/>
  <c r="L13" i="8"/>
  <c r="L17" i="8"/>
  <c r="L10" i="8"/>
  <c r="G98" i="8"/>
  <c r="L11" i="8"/>
  <c r="G80" i="8"/>
  <c r="G94" i="8"/>
  <c r="G76" i="8"/>
  <c r="G101" i="8"/>
  <c r="G36" i="8"/>
  <c r="G106" i="8" l="1"/>
</calcChain>
</file>

<file path=xl/sharedStrings.xml><?xml version="1.0" encoding="utf-8"?>
<sst xmlns="http://schemas.openxmlformats.org/spreadsheetml/2006/main" count="4099" uniqueCount="753">
  <si>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</si>
  <si>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</si>
  <si>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</si>
  <si>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</si>
  <si>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</si>
  <si>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</si>
  <si>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</si>
  <si>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</si>
  <si>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</si>
  <si>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</si>
  <si>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</si>
  <si>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</si>
  <si>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</si>
  <si>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</si>
  <si>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</si>
  <si>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</si>
  <si>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</si>
  <si>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</si>
  <si>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</si>
  <si>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</si>
  <si>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</si>
  <si>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</si>
  <si>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</si>
  <si>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</si>
  <si>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</si>
  <si>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</si>
  <si>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</si>
  <si>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</si>
  <si>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</si>
  <si>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</si>
  <si>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</si>
  <si>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</si>
  <si>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</si>
  <si>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</si>
  <si>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</si>
  <si>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</si>
  <si>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</si>
  <si>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</si>
  <si>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</si>
  <si>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</si>
  <si>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</si>
  <si>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</si>
  <si>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</si>
  <si>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</si>
  <si>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</si>
  <si>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</si>
  <si>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</si>
  <si>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</si>
  <si>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</si>
  <si>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</si>
  <si>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</si>
  <si>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</si>
  <si>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</si>
  <si>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</si>
  <si>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</si>
  <si>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</si>
  <si>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</si>
  <si>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</si>
  <si>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</si>
  <si>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</si>
  <si>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</si>
  <si>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</si>
  <si>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</si>
  <si>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</si>
  <si>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</si>
  <si>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</si>
  <si>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</si>
  <si>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</si>
  <si>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</si>
  <si>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</si>
  <si>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</si>
  <si>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</si>
  <si>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</si>
  <si>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</si>
  <si>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</si>
  <si>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</si>
  <si>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</si>
  <si>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</si>
  <si>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</si>
  <si>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</si>
  <si>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</si>
  <si>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</si>
  <si>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</si>
  <si>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</si>
  <si>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</si>
  <si>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</si>
  <si>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</si>
  <si>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</si>
  <si>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</si>
  <si>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</si>
  <si>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</si>
  <si>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</si>
  <si>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</si>
  <si>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</si>
  <si>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</si>
  <si>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</si>
  <si>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</si>
  <si>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</si>
  <si>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</si>
  <si>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</si>
  <si>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</si>
  <si>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</si>
  <si>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</si>
  <si>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</si>
  <si>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</si>
  <si>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</si>
  <si>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</si>
  <si>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</si>
  <si>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</si>
  <si>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</si>
  <si>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</si>
  <si>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</si>
  <si>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</si>
  <si>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</si>
  <si>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</si>
  <si>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</si>
  <si>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</si>
  <si>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</si>
  <si>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</si>
  <si>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</si>
  <si>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</si>
  <si>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</si>
  <si>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</si>
  <si>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</si>
  <si>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INE070A01015</t>
  </si>
  <si>
    <t>INE259A01022</t>
  </si>
  <si>
    <t>IN9155A01020</t>
  </si>
  <si>
    <t>Principal Dividend Yield Fund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</si>
  <si>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</si>
  <si>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</si>
  <si>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</si>
  <si>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</si>
  <si>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</si>
  <si>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</si>
  <si>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</si>
  <si>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</si>
  <si>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</si>
  <si>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</si>
  <si>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</si>
  <si>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</si>
  <si>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</si>
  <si>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</si>
  <si>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</si>
  <si>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</si>
  <si>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</si>
  <si>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</si>
  <si>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</si>
  <si>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</si>
  <si>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</si>
  <si>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</si>
  <si>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</si>
  <si>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</si>
  <si>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</si>
  <si>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</si>
  <si>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</si>
  <si>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</si>
  <si>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</si>
  <si>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</si>
  <si>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</si>
  <si>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</si>
  <si>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</si>
  <si>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</si>
  <si>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</si>
  <si>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</si>
  <si>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</si>
  <si>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</si>
  <si>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</si>
  <si>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</si>
  <si>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</si>
  <si>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</si>
  <si>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</si>
  <si>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</si>
  <si>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</si>
  <si>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</si>
  <si>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</si>
  <si>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</si>
  <si>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</si>
  <si>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</si>
  <si>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</si>
  <si>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</si>
  <si>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</si>
  <si>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</si>
  <si>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</si>
  <si>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</si>
  <si>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</si>
  <si>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</si>
  <si>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</si>
  <si>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</si>
  <si>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</si>
  <si>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</si>
  <si>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</si>
  <si>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</si>
  <si>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</si>
  <si>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</si>
  <si>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</si>
  <si>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</si>
  <si>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</si>
  <si>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</si>
  <si>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</si>
  <si>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</si>
  <si>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</si>
  <si>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</si>
  <si>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</si>
  <si>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</si>
  <si>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</si>
  <si>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</si>
  <si>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</si>
  <si>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</si>
  <si>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</si>
  <si>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</si>
  <si>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</si>
  <si>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</si>
  <si>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</si>
  <si>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</si>
  <si>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</si>
  <si>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</si>
  <si>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</si>
  <si>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</si>
  <si>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</si>
  <si>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</si>
  <si>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</si>
  <si>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</si>
  <si>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</si>
  <si>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</si>
  <si>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</si>
  <si>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</si>
  <si>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</si>
  <si>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</si>
  <si>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</si>
  <si>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</si>
  <si>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</si>
  <si>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</si>
  <si>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</si>
  <si>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</si>
  <si>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</si>
  <si>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</si>
  <si>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</si>
  <si>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</si>
  <si>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</si>
  <si>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</si>
  <si>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</si>
  <si>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</si>
  <si>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</si>
  <si>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</si>
  <si>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Ambuja Cements Ltd.</t>
  </si>
  <si>
    <t>ACC Ltd.</t>
  </si>
  <si>
    <t>Hindalco Industries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</si>
  <si>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</si>
  <si>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</si>
  <si>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</si>
  <si>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</si>
  <si>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</si>
  <si>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</si>
  <si>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</si>
  <si>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</si>
  <si>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</si>
  <si>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</si>
  <si>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</si>
  <si>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</si>
  <si>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</si>
  <si>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</si>
  <si>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</si>
  <si>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</si>
  <si>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</si>
  <si>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</si>
  <si>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</si>
  <si>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</si>
  <si>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</si>
  <si>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</si>
  <si>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</si>
  <si>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</si>
  <si>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</si>
  <si>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</si>
  <si>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</si>
  <si>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[ICRA]A1+</t>
  </si>
  <si>
    <t>Cox &amp; Kings Ltd.</t>
  </si>
  <si>
    <t>[ICRA]AA</t>
  </si>
  <si>
    <t>[ICRA]AA-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</si>
  <si>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</si>
  <si>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</si>
  <si>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</si>
  <si>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</si>
  <si>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</si>
  <si>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</si>
  <si>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</si>
  <si>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</si>
  <si>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</si>
  <si>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</si>
  <si>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</si>
  <si>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</si>
  <si>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</si>
  <si>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</si>
  <si>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</si>
  <si>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</si>
  <si>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</si>
  <si>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</si>
  <si>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</si>
  <si>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</si>
  <si>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</si>
  <si>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</si>
  <si>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</si>
  <si>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</si>
  <si>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</si>
  <si>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</si>
  <si>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</si>
  <si>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</si>
  <si>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Bharti Infratel Ltd.</t>
  </si>
  <si>
    <t>INE121J01017</t>
  </si>
  <si>
    <t>IND A1+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</si>
  <si>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</si>
  <si>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</si>
  <si>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</si>
  <si>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</si>
  <si>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</si>
  <si>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</si>
  <si>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</si>
  <si>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</si>
  <si>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</si>
  <si>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</si>
  <si>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</si>
  <si>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</si>
  <si>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</si>
  <si>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</si>
  <si>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</si>
  <si>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</si>
  <si>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</si>
  <si>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</si>
  <si>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</si>
  <si>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</si>
  <si>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</si>
  <si>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</si>
  <si>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</si>
  <si>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</si>
  <si>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</si>
  <si>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</si>
  <si>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</si>
  <si>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</si>
  <si>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</si>
  <si>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BWR AAA</t>
  </si>
  <si>
    <t>INE296A01024</t>
  </si>
  <si>
    <t>INE586V01016</t>
  </si>
  <si>
    <t>BWR AA-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</si>
  <si>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</si>
  <si>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</si>
  <si>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</si>
  <si>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</si>
  <si>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</si>
  <si>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</si>
  <si>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</si>
  <si>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</si>
  <si>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</si>
  <si>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</si>
  <si>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</si>
  <si>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</si>
  <si>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</si>
  <si>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</si>
  <si>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</si>
  <si>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</si>
  <si>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</si>
  <si>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</si>
  <si>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</si>
  <si>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</si>
  <si>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</si>
  <si>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</si>
  <si>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</si>
  <si>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</si>
  <si>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</si>
  <si>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</si>
  <si>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</si>
  <si>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</si>
  <si>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</si>
  <si>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</si>
  <si>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</si>
  <si>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</si>
  <si>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</si>
  <si>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</si>
  <si>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</si>
  <si>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</si>
  <si>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</si>
  <si>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</si>
  <si>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INE036D01028</t>
  </si>
  <si>
    <t>Listed / awaiting listing on the stock exchanges</t>
  </si>
  <si>
    <t>INE733E07KB4</t>
  </si>
  <si>
    <t>Chambal Fertilisers and Chemicals Ltd.</t>
  </si>
  <si>
    <t>INE085A01013</t>
  </si>
  <si>
    <t>Fertilisers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</si>
  <si>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</si>
  <si>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</si>
  <si>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</si>
  <si>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</si>
  <si>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</si>
  <si>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</si>
  <si>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</si>
  <si>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Coromandel International Ltd.</t>
  </si>
  <si>
    <t>INE169A01031</t>
  </si>
  <si>
    <t>Sheela Foam Ltd.</t>
  </si>
  <si>
    <t>INE916U01025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</si>
  <si>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</si>
  <si>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</si>
  <si>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</si>
  <si>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</si>
  <si>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</si>
  <si>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</si>
  <si>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</si>
  <si>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</si>
  <si>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</si>
  <si>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</si>
  <si>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</si>
  <si>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</si>
  <si>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</si>
  <si>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</si>
  <si>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Himadri Speciality Chemical Ltd.</t>
  </si>
  <si>
    <t>INE019C01026</t>
  </si>
  <si>
    <t>Principal Cash Management Fund - Growth Option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</si>
  <si>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</si>
  <si>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</si>
  <si>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</si>
  <si>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</si>
  <si>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</si>
  <si>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</si>
  <si>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</si>
  <si>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</si>
  <si>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</si>
  <si>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</si>
  <si>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</si>
  <si>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</si>
  <si>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</si>
  <si>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</si>
  <si>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</si>
  <si>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</si>
  <si>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</si>
  <si>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</si>
  <si>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Principal Money Manager Fund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</si>
  <si>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</si>
  <si>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</si>
  <si>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</si>
  <si>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</si>
  <si>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</si>
  <si>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</si>
  <si>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</si>
  <si>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</si>
  <si>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</si>
  <si>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</si>
  <si>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</si>
  <si>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</si>
  <si>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</si>
  <si>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</si>
  <si>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</si>
  <si>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</si>
  <si>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</si>
  <si>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</si>
  <si>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</si>
  <si>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</si>
  <si>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</si>
  <si>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</si>
  <si>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</si>
  <si>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</si>
  <si>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</si>
  <si>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</si>
  <si>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</si>
  <si>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</si>
  <si>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</si>
  <si>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</si>
  <si>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</si>
  <si>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</si>
  <si>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</si>
  <si>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</si>
  <si>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</si>
  <si>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</si>
  <si>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</si>
  <si>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</si>
  <si>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</si>
  <si>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</si>
  <si>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</si>
  <si>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</si>
  <si>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</si>
  <si>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</si>
  <si>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</si>
  <si>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</si>
  <si>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</si>
  <si>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</si>
  <si>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</si>
  <si>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</si>
  <si>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</si>
  <si>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</si>
  <si>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</si>
  <si>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</si>
  <si>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</si>
  <si>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</si>
  <si>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</si>
  <si>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</si>
  <si>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INE148I14SU5</t>
  </si>
  <si>
    <t>INE069R07117</t>
  </si>
  <si>
    <t>INE155A08365</t>
  </si>
  <si>
    <t>***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</si>
  <si>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</si>
  <si>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</si>
  <si>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</si>
  <si>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</si>
  <si>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</si>
  <si>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</si>
  <si>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</si>
  <si>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</si>
  <si>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</si>
  <si>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</si>
  <si>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</si>
  <si>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</si>
  <si>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</si>
  <si>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Chennai Petroleum Corporation Ltd.</t>
  </si>
  <si>
    <t>INE178A01016</t>
  </si>
  <si>
    <t>INE008I14JK1</t>
  </si>
  <si>
    <t>National Bank for Agriculture and Rural Development</t>
  </si>
  <si>
    <t>HCL Infosystems Ltd.</t>
  </si>
  <si>
    <t>[ICRA]A1</t>
  </si>
  <si>
    <t>INE261F08907</t>
  </si>
  <si>
    <t>INE002A08476</t>
  </si>
  <si>
    <t>INE261F08527</t>
  </si>
  <si>
    <t>Gujarat Narmada Valley Fertilizers &amp; Chemicals Ltd.</t>
  </si>
  <si>
    <t>INE113A01013</t>
  </si>
  <si>
    <t>Chennai Super Kings Ltd. @**</t>
  </si>
  <si>
    <t>BWR A1+</t>
  </si>
  <si>
    <t>Kribhco Fertilizers Ltd.</t>
  </si>
  <si>
    <t>INE486H14888</t>
  </si>
  <si>
    <t>TBILL 91 DAYS 2018</t>
  </si>
  <si>
    <t>INE001A07PT5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</si>
  <si>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</si>
  <si>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</si>
  <si>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</si>
  <si>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</si>
  <si>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</si>
  <si>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</si>
  <si>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</si>
  <si>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</si>
  <si>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</si>
  <si>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</si>
  <si>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</si>
  <si>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6.79% Government of India Security</t>
  </si>
  <si>
    <t>IN0020170026</t>
  </si>
  <si>
    <t>INE008I14KL7</t>
  </si>
  <si>
    <t>INE008I14KK9</t>
  </si>
  <si>
    <t>INE020B08591</t>
  </si>
  <si>
    <t>INE936D07067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</si>
  <si>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</si>
  <si>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</si>
  <si>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</si>
  <si>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</si>
  <si>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</si>
  <si>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</si>
  <si>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</si>
  <si>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</si>
  <si>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NCC Ltd.</t>
  </si>
  <si>
    <t>INE868B01028</t>
  </si>
  <si>
    <t>Amara Raja Batteries Ltd.</t>
  </si>
  <si>
    <t>INE885A01032</t>
  </si>
  <si>
    <t>INE110L07054</t>
  </si>
  <si>
    <t>INE053F09FU0</t>
  </si>
  <si>
    <t>DLF Ltd.</t>
  </si>
  <si>
    <t>INE271C01023</t>
  </si>
  <si>
    <t>Reliance Capital Ltd.</t>
  </si>
  <si>
    <t>INE013A01015</t>
  </si>
  <si>
    <t>INE001A07QV9</t>
  </si>
  <si>
    <t>Principal Credit Opportunities Fund - Direct Plan - Growth Option</t>
  </si>
  <si>
    <t>INF173K01FX6</t>
  </si>
  <si>
    <t>IND A (SO)</t>
  </si>
  <si>
    <t>CARE AA+ (SO)</t>
  </si>
  <si>
    <t>All corporate ratings are assigned by rating agencies like CRISIL; CARE; ICRA; IND; BRW.</t>
  </si>
  <si>
    <t>Shree Cement Ltd.</t>
  </si>
  <si>
    <t>Rama Steel Tubes Ltd.</t>
  </si>
  <si>
    <t>INE230R01027</t>
  </si>
  <si>
    <t>Orient Electric Ltd. @**</t>
  </si>
  <si>
    <t>INE142Z01019</t>
  </si>
  <si>
    <t>Texmaco Rail &amp; Engineering Ltd.</t>
  </si>
  <si>
    <t>INE621L01012</t>
  </si>
  <si>
    <t>INE600K01018</t>
  </si>
  <si>
    <t>The Ramco Cements Ltd.</t>
  </si>
  <si>
    <t>INE331A01037</t>
  </si>
  <si>
    <t>INE124N07085</t>
  </si>
  <si>
    <t>INE140A07369</t>
  </si>
  <si>
    <t>CESC Ltd.</t>
  </si>
  <si>
    <t>INE486A01013</t>
  </si>
  <si>
    <t>Dish TV India Ltd.</t>
  </si>
  <si>
    <t>INE836F01026</t>
  </si>
  <si>
    <t>INE090A160O6</t>
  </si>
  <si>
    <t>India Infoline Housing Finance Ltd.</t>
  </si>
  <si>
    <t>INE148I14UG0</t>
  </si>
  <si>
    <t>INE477L14CL5</t>
  </si>
  <si>
    <t>Industry / Rating</t>
  </si>
  <si>
    <t>Interglobe Aviation Ltd.</t>
  </si>
  <si>
    <t>INE646L01027</t>
  </si>
  <si>
    <t>Sterlite Technologies Ltd.</t>
  </si>
  <si>
    <t>INE089C01029</t>
  </si>
  <si>
    <t>Galaxy Surfactants Ltd.</t>
  </si>
  <si>
    <t>HSIL Ltd.</t>
  </si>
  <si>
    <t>INE415A14BP1</t>
  </si>
  <si>
    <t>INE008I14LF7</t>
  </si>
  <si>
    <t>INE236A14HJ1</t>
  </si>
  <si>
    <t>INE002A08484</t>
  </si>
  <si>
    <t>Avanse Financial Services Ltd.</t>
  </si>
  <si>
    <t>INE087P14374</t>
  </si>
  <si>
    <t>INE752E07OF7</t>
  </si>
  <si>
    <t>Cash Future Arbitrage</t>
  </si>
  <si>
    <t>Gayatri Projects Ltd.</t>
  </si>
  <si>
    <t>INE336H01023</t>
  </si>
  <si>
    <t>Bandhan Bank Ltd.</t>
  </si>
  <si>
    <t>INE545U01014</t>
  </si>
  <si>
    <t>IN002017X544</t>
  </si>
  <si>
    <t>INE238A16S56</t>
  </si>
  <si>
    <t>DCB Bank Ltd.</t>
  </si>
  <si>
    <t>INE503A16FA2</t>
  </si>
  <si>
    <t>Rural Electrification Corporation Ltd.</t>
  </si>
  <si>
    <t>INE020B14516</t>
  </si>
  <si>
    <t>INE236A14HK9</t>
  </si>
  <si>
    <t>8.55% Indiabulls Housing Finance Ltd.</t>
  </si>
  <si>
    <t>9.20% Avanse Financial Services Ltd.</t>
  </si>
  <si>
    <t>10.35% Ess Kay Fincorp Ltd.</t>
  </si>
  <si>
    <t>INE428Q08057</t>
  </si>
  <si>
    <t>CARE A-</t>
  </si>
  <si>
    <t>Sprit Infrapower &amp; Multiventures Pvt. Ltd. (ZCB)</t>
  </si>
  <si>
    <t>INE428Q08040</t>
  </si>
  <si>
    <t>[ICRA]A-</t>
  </si>
  <si>
    <t>6.98% National Bank for Agriculture and Rural Development</t>
  </si>
  <si>
    <t>6.78% Reliance Industries Ltd.</t>
  </si>
  <si>
    <t>INE090A08UB4</t>
  </si>
  <si>
    <t>[ICRA]AA+</t>
  </si>
  <si>
    <t>7.35% Government of India Security</t>
  </si>
  <si>
    <t>IN0020090034</t>
  </si>
  <si>
    <t>INE514E08FN1</t>
  </si>
  <si>
    <t>INE557F08FA4</t>
  </si>
  <si>
    <t>INE134E08JO8</t>
  </si>
  <si>
    <t>The Jammu &amp; Kashmir Bank Ltd.</t>
  </si>
  <si>
    <t>INE168A16LD6</t>
  </si>
  <si>
    <t>IL&amp;FS Financial Services Ltd.</t>
  </si>
  <si>
    <t>INE261F14CJ9</t>
  </si>
  <si>
    <t>8.37% National Bank for Agriculture and Rural Development</t>
  </si>
  <si>
    <t>8.84% Maharashtra State Government Security</t>
  </si>
  <si>
    <t>IN2220120058</t>
  </si>
  <si>
    <t>INE171A16GU4</t>
  </si>
  <si>
    <t>Reliance Jio Infocomm Ltd.</t>
  </si>
  <si>
    <t>INE110L14GV2</t>
  </si>
  <si>
    <t>INE121H14JE7</t>
  </si>
  <si>
    <t>INE087P14424</t>
  </si>
  <si>
    <t>INE881J14NM7</t>
  </si>
  <si>
    <t>INE881J14NI5</t>
  </si>
  <si>
    <t>Piramal Enterprises Ltd.</t>
  </si>
  <si>
    <t>INE140A14SA1</t>
  </si>
  <si>
    <t>INE477L14CQ4</t>
  </si>
  <si>
    <t>IN002017X569</t>
  </si>
  <si>
    <t>Certificate of Deposit **</t>
  </si>
  <si>
    <t>Principal Multi Cap Growth Fund</t>
  </si>
  <si>
    <t>Portfolio as on April 30, 2018</t>
  </si>
  <si>
    <t>Portfolio as on April 27, 2018</t>
  </si>
  <si>
    <t>INE602A01023</t>
  </si>
  <si>
    <t>ICICI Prudential Life Insurance Company Ltd.</t>
  </si>
  <si>
    <t>INE726G01019</t>
  </si>
  <si>
    <t>Titan Company Ltd.</t>
  </si>
  <si>
    <t>INE280A01028</t>
  </si>
  <si>
    <t>Cadila Healthcare Ltd.</t>
  </si>
  <si>
    <t>INE010B01027</t>
  </si>
  <si>
    <t>Mahanagar Gas Ltd.</t>
  </si>
  <si>
    <t>INE002S01010</t>
  </si>
  <si>
    <t>INE095N01031</t>
  </si>
  <si>
    <t>INE238A161A6</t>
  </si>
  <si>
    <t>8.75% Muthoot Finance Ltd.</t>
  </si>
  <si>
    <t>INE414G07CM0</t>
  </si>
  <si>
    <t>11.55% Suryoday Small Finance Bank Ltd.</t>
  </si>
  <si>
    <t>9.15% ICICI Bank Ltd.</t>
  </si>
  <si>
    <t>8.13% Piramal Enterprises Ltd.</t>
  </si>
  <si>
    <t>10.85% Aspire Home Finance Corporation Ltd.</t>
  </si>
  <si>
    <t>7.37% Government of India Security</t>
  </si>
  <si>
    <t>IN0020180025</t>
  </si>
  <si>
    <t>6.68% Government of India Security</t>
  </si>
  <si>
    <t>IN0020170042</t>
  </si>
  <si>
    <t>INE020B08AY3</t>
  </si>
  <si>
    <t>8.95% Reliance Utilities &amp; Power Private Ltd.</t>
  </si>
  <si>
    <t>7.80% Housing Development Finance Corporation Ltd.</t>
  </si>
  <si>
    <t>7.25% Small Industries Development Bank of India</t>
  </si>
  <si>
    <t>8.10% NTPC Ltd.</t>
  </si>
  <si>
    <t>7.59% National Housing Bank</t>
  </si>
  <si>
    <t>6.99% Rural Electrification Corporation Ltd.</t>
  </si>
  <si>
    <t>INE020B08AN6</t>
  </si>
  <si>
    <t>7.99% Power Finance Corporation Ltd.</t>
  </si>
  <si>
    <t>9.25% Power Grid Corporation of India Ltd.</t>
  </si>
  <si>
    <t>INE038A07266</t>
  </si>
  <si>
    <t>INE040A16CB0</t>
  </si>
  <si>
    <t>INE602A14414</t>
  </si>
  <si>
    <t>Aditya Birla Finance Ltd.</t>
  </si>
  <si>
    <t>INE860H14D61</t>
  </si>
  <si>
    <t>Aadhar Housing Finance Ltd.</t>
  </si>
  <si>
    <t>INE538L14AH6</t>
  </si>
  <si>
    <t>Sudarshan Chemical Industries Ltd.</t>
  </si>
  <si>
    <t>INE659A14281</t>
  </si>
  <si>
    <t>Multi Commodity Exchange of India Ltd.</t>
  </si>
  <si>
    <t>INE745G01035</t>
  </si>
  <si>
    <t>TV18 Broadcast Ltd.</t>
  </si>
  <si>
    <t>INE886H01027</t>
  </si>
  <si>
    <t>-</t>
  </si>
  <si>
    <t>Unlisted **</t>
  </si>
  <si>
    <t>8.55% Indiabulls Housing Finance Ltd. **</t>
  </si>
  <si>
    <t>8.15% Piramal Enterprises Ltd. **</t>
  </si>
  <si>
    <t>9.20% Avanse Financial Services Ltd. **</t>
  </si>
  <si>
    <t>8.70% JM Financial Products Ltd. **</t>
  </si>
  <si>
    <t>9.05% Dewan Housing Finance Corporation Ltd. **</t>
  </si>
  <si>
    <t>10.30% Manappuram Finance Ltd. **</t>
  </si>
  <si>
    <t>8.13% Tata Motors Ltd. **</t>
  </si>
  <si>
    <t>10.70% Aspire Home Finance Corporation Ltd. **</t>
  </si>
  <si>
    <t>10.35% Ess Kay Fincorp Ltd. **</t>
  </si>
  <si>
    <t>11.15% Suryoday Small Finance Bank Ltd. **</t>
  </si>
  <si>
    <t>11.55% Suryoday Small Finance Bank Ltd. **</t>
  </si>
  <si>
    <t>8.10% Reliance Jio Infocomm Ltd. **</t>
  </si>
  <si>
    <t>6.78% Reliance Industries Ltd. **</t>
  </si>
  <si>
    <t>8.85% Power Grid Corporation of India Ltd. **</t>
  </si>
  <si>
    <t>9.10% Dewan Housing Finance Corporation Ltd. **</t>
  </si>
  <si>
    <t>7.50% Power Finance Corporation Ltd. **</t>
  </si>
  <si>
    <t>8.13% Piramal Enterprises Ltd. **</t>
  </si>
  <si>
    <t>9.48% Rural Electrification Corporation Ltd. **</t>
  </si>
  <si>
    <t>8.55% Indian Railway Finance Corporation Ltd. **</t>
  </si>
  <si>
    <t>10.85% Aspire Home Finance Corporation Ltd. **</t>
  </si>
  <si>
    <t>8.01% Rural Electrification Corporation Ltd. **</t>
  </si>
  <si>
    <t>8.88% Export-Import Bank of India **</t>
  </si>
  <si>
    <t>7.48% Housing Development Finance Corporation Ltd. **</t>
  </si>
  <si>
    <t>7.40% Tata Motors Ltd. **</t>
  </si>
  <si>
    <t>7.00% Reliance Industries Ltd. **</t>
  </si>
  <si>
    <t>7.56% Export-Import Bank of India **</t>
  </si>
  <si>
    <t>8.80% Indiabulls Housing Finance Ltd. **</t>
  </si>
  <si>
    <t>7.59% National Housing Bank **</t>
  </si>
  <si>
    <t>6.99% Rural Electrification Corporation Ltd. **</t>
  </si>
  <si>
    <t>7.99% Power Finance Corporation Ltd. **</t>
  </si>
  <si>
    <t>8.10% NTPC Ltd. **</t>
  </si>
  <si>
    <t>9.55% Hindalco Industries Ltd. **</t>
  </si>
  <si>
    <t>7.21% Housing Development Finance Corporation Ltd. **</t>
  </si>
  <si>
    <t>7.65% Housing Development Finance Corporation Ltd. **</t>
  </si>
  <si>
    <t>7.78% LIC Housing Finance Ltd. **</t>
  </si>
  <si>
    <t>7.30% Power Grid Corporation of India Ltd. **</t>
  </si>
  <si>
    <t>Aggregate investments by other schemes of Principal Mutual Fund at the end of the period is Rs.811.53 Lakhs</t>
  </si>
  <si>
    <t>Aggregate investments by other schemes of Principal Mutual Fund at the end of the period is Rs.1535.44 Lakhs</t>
  </si>
  <si>
    <t>Aggregate investments by other schemes of Principal Mutual Fund at the end of the period is Rs.50.01 Lakhs</t>
  </si>
  <si>
    <t>Aggregate investments by other schemes of Principal Mutual Fund at the end of the period is Rs.164.29 Lakhs</t>
  </si>
  <si>
    <t>Aggregate investments by other schemes of Principal Mutual Fund at the end of the period is Rs.93.28 Lakhs</t>
  </si>
  <si>
    <t>Aggregate investments by other schemes of Principal Mutual Fund at the end of the period is Rs.1384.94 Lakhs</t>
  </si>
  <si>
    <t>Derivatives   % to Net Assets</t>
  </si>
  <si>
    <t>Balmer Lawrie Freight Containers Ltd.</t>
  </si>
  <si>
    <t>Sangam Health Care Products Ltd.</t>
  </si>
  <si>
    <t>Virtual Dynamics Software Ltd.</t>
  </si>
  <si>
    <t>Noble Brothers Impex Ltd.</t>
  </si>
  <si>
    <t>Precision Fasteners Ltd.</t>
  </si>
  <si>
    <t>Crescent Finstock Ltd.</t>
  </si>
  <si>
    <t>Mukerian Papers Ltd.</t>
  </si>
  <si>
    <t>Western Paques (India) Ltd.</t>
  </si>
  <si>
    <t>Minerava Holdings Ltd.</t>
  </si>
  <si>
    <t>Crystal Cable Industries Ltd.</t>
  </si>
  <si>
    <t>Sandur Laminates Ltd.</t>
  </si>
  <si>
    <t>Tirrihannah Company Ltd.</t>
  </si>
  <si>
    <t>Punjab Wireless Systems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</si>
</sst>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  <numFmt numFmtId="176" formatCode="_(* #,##0.000000_);_(* \(#,##0.000000\);_(* &quot;-&quot;??_);_(@_)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75" fontId="0" fillId="0" borderId="0" xfId="0" applyNumberFormat="1"/>
    <xf numFmtId="175" fontId="11" fillId="4" borderId="0" xfId="0" applyNumberFormat="1" applyFont="1" applyFill="1"/>
    <xf numFmtId="10" fontId="11" fillId="4" borderId="0" xfId="0" applyNumberFormat="1" applyFont="1" applyFill="1"/>
    <xf numFmtId="0" fontId="0" fillId="0" borderId="0" xfId="0" applyAlignment="1">
      <alignment horizontal="center"/>
    </xf>
    <xf numFmtId="10" fontId="5" fillId="2" borderId="2" xfId="4" applyNumberFormat="1" applyFont="1" applyFill="1" applyBorder="1" applyAlignment="1">
      <alignment horizontal="center" vertical="top" wrapText="1"/>
    </xf>
    <xf numFmtId="176" fontId="1" fillId="0" borderId="0" xfId="1" applyNumberFormat="1" applyFont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8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344</v>
      </c>
      <c r="B1" s="128" t="s">
        <v>648</v>
      </c>
      <c r="C1" s="129"/>
      <c r="D1" s="129"/>
      <c r="E1" s="129"/>
      <c r="F1" s="129"/>
      <c r="G1" s="129"/>
      <c r="H1" s="130"/>
    </row>
    <row r="2" spans="1:15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8</v>
      </c>
      <c r="C7" s="16"/>
      <c r="F7" s="13"/>
      <c r="G7" s="14"/>
      <c r="H7" s="15"/>
    </row>
    <row r="8" spans="1:15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5" ht="12.75" customHeight="1" x14ac:dyDescent="0.2">
      <c r="A9">
        <f>+MAX($A$8:A8)+1</f>
        <v>1</v>
      </c>
      <c r="B9" t="s">
        <v>186</v>
      </c>
      <c r="C9" t="s">
        <v>12</v>
      </c>
      <c r="D9" t="s">
        <v>9</v>
      </c>
      <c r="E9" s="28">
        <v>142365</v>
      </c>
      <c r="F9" s="13">
        <v>2768.0026950000001</v>
      </c>
      <c r="G9" s="14">
        <f t="shared" ref="G9:G40" si="0">+ROUND(F9/VLOOKUP("Grand Total",$B$4:$F$285,5,0),4)</f>
        <v>4.0500000000000001E-2</v>
      </c>
      <c r="H9" s="15"/>
      <c r="I9" s="15"/>
      <c r="J9" s="14" t="s">
        <v>9</v>
      </c>
      <c r="K9" s="48">
        <f t="shared" ref="K9:K39" si="1">SUMIFS($G$5:$G$323,$D$5:$D$323,J9)</f>
        <v>0.17869999999999997</v>
      </c>
    </row>
    <row r="10" spans="1:15" ht="12.75" customHeight="1" x14ac:dyDescent="0.2">
      <c r="A10">
        <f>+MAX($A$8:A9)+1</f>
        <v>2</v>
      </c>
      <c r="B10" t="s">
        <v>189</v>
      </c>
      <c r="C10" t="s">
        <v>10</v>
      </c>
      <c r="D10" t="s">
        <v>9</v>
      </c>
      <c r="E10" s="28">
        <v>778587</v>
      </c>
      <c r="F10" s="13">
        <v>2212.7442540000002</v>
      </c>
      <c r="G10" s="14">
        <f t="shared" si="0"/>
        <v>3.2399999999999998E-2</v>
      </c>
      <c r="H10" s="15"/>
      <c r="J10" s="14" t="s">
        <v>24</v>
      </c>
      <c r="K10" s="48">
        <f t="shared" si="1"/>
        <v>0.12039999999999999</v>
      </c>
    </row>
    <row r="11" spans="1:15" ht="12.75" customHeight="1" x14ac:dyDescent="0.2">
      <c r="A11">
        <f>+MAX($A$8:A10)+1</f>
        <v>3</v>
      </c>
      <c r="B11" t="s">
        <v>188</v>
      </c>
      <c r="C11" t="s">
        <v>29</v>
      </c>
      <c r="D11" t="s">
        <v>28</v>
      </c>
      <c r="E11" s="28">
        <v>207332</v>
      </c>
      <c r="F11" s="13">
        <v>1997.2291559999999</v>
      </c>
      <c r="G11" s="14">
        <f t="shared" si="0"/>
        <v>2.92E-2</v>
      </c>
      <c r="H11" s="15"/>
      <c r="J11" s="14" t="s">
        <v>13</v>
      </c>
      <c r="K11" s="48">
        <f t="shared" si="1"/>
        <v>7.2999999999999995E-2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187</v>
      </c>
      <c r="C12" t="s">
        <v>14</v>
      </c>
      <c r="D12" t="s">
        <v>13</v>
      </c>
      <c r="E12" s="28">
        <v>164142</v>
      </c>
      <c r="F12" s="13">
        <v>1968.88329</v>
      </c>
      <c r="G12" s="14">
        <f t="shared" si="0"/>
        <v>2.8799999999999999E-2</v>
      </c>
      <c r="H12" s="15"/>
      <c r="J12" s="14" t="s">
        <v>22</v>
      </c>
      <c r="K12" s="48">
        <f t="shared" si="1"/>
        <v>6.3299999999999995E-2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219</v>
      </c>
      <c r="C13" t="s">
        <v>69</v>
      </c>
      <c r="D13" t="s">
        <v>26</v>
      </c>
      <c r="E13" s="28">
        <v>137696</v>
      </c>
      <c r="F13" s="13">
        <v>1928.983264</v>
      </c>
      <c r="G13" s="14">
        <f t="shared" si="0"/>
        <v>2.8199999999999999E-2</v>
      </c>
      <c r="H13" s="15"/>
      <c r="J13" s="14" t="s">
        <v>34</v>
      </c>
      <c r="K13" s="48">
        <f t="shared" si="1"/>
        <v>5.21E-2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192</v>
      </c>
      <c r="C14" t="s">
        <v>25</v>
      </c>
      <c r="D14" t="s">
        <v>22</v>
      </c>
      <c r="E14" s="28">
        <v>93303</v>
      </c>
      <c r="F14" s="13">
        <v>1757.1287474999999</v>
      </c>
      <c r="G14" s="14">
        <f t="shared" si="0"/>
        <v>2.5700000000000001E-2</v>
      </c>
      <c r="H14" s="15"/>
      <c r="J14" s="14" t="s">
        <v>26</v>
      </c>
      <c r="K14" s="48">
        <f t="shared" si="1"/>
        <v>5.1200000000000002E-2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299</v>
      </c>
      <c r="C15" t="s">
        <v>300</v>
      </c>
      <c r="D15" t="s">
        <v>140</v>
      </c>
      <c r="E15" s="28">
        <v>262209</v>
      </c>
      <c r="F15" s="13">
        <v>1720.4843535</v>
      </c>
      <c r="G15" s="14">
        <f t="shared" si="0"/>
        <v>2.52E-2</v>
      </c>
      <c r="H15" s="15"/>
      <c r="J15" s="14" t="s">
        <v>19</v>
      </c>
      <c r="K15" s="48">
        <f t="shared" si="1"/>
        <v>5.0800000000000005E-2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195</v>
      </c>
      <c r="C16" t="s">
        <v>44</v>
      </c>
      <c r="D16" t="s">
        <v>24</v>
      </c>
      <c r="E16" s="28">
        <v>581201</v>
      </c>
      <c r="F16" s="13">
        <v>1635.7902144999998</v>
      </c>
      <c r="G16" s="14">
        <f t="shared" si="0"/>
        <v>2.3900000000000001E-2</v>
      </c>
      <c r="H16" s="15"/>
      <c r="J16" s="14" t="s">
        <v>130</v>
      </c>
      <c r="K16" s="48">
        <f t="shared" si="1"/>
        <v>4.1700000000000001E-2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15</v>
      </c>
      <c r="C17" t="s">
        <v>16</v>
      </c>
      <c r="D17" t="s">
        <v>9</v>
      </c>
      <c r="E17" s="28">
        <v>653759</v>
      </c>
      <c r="F17" s="13">
        <v>1610.8621759999999</v>
      </c>
      <c r="G17" s="14">
        <f t="shared" si="0"/>
        <v>2.3599999999999999E-2</v>
      </c>
      <c r="H17" s="15"/>
      <c r="J17" s="14" t="s">
        <v>17</v>
      </c>
      <c r="K17" s="48">
        <f t="shared" si="1"/>
        <v>4.0099999999999997E-2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191</v>
      </c>
      <c r="C18" t="s">
        <v>23</v>
      </c>
      <c r="D18" t="s">
        <v>13</v>
      </c>
      <c r="E18" s="28">
        <v>148986</v>
      </c>
      <c r="F18" s="13">
        <v>1568.4501150000001</v>
      </c>
      <c r="G18" s="14">
        <f t="shared" si="0"/>
        <v>2.29E-2</v>
      </c>
      <c r="H18" s="15"/>
      <c r="J18" s="14" t="s">
        <v>21</v>
      </c>
      <c r="K18" s="48">
        <f t="shared" si="1"/>
        <v>3.9300000000000002E-2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292</v>
      </c>
      <c r="C19" t="s">
        <v>55</v>
      </c>
      <c r="D19" t="s">
        <v>24</v>
      </c>
      <c r="E19" s="28">
        <v>95728</v>
      </c>
      <c r="F19" s="13">
        <v>1557.446696</v>
      </c>
      <c r="G19" s="14">
        <f t="shared" si="0"/>
        <v>2.2800000000000001E-2</v>
      </c>
      <c r="H19" s="15"/>
      <c r="J19" s="14" t="s">
        <v>39</v>
      </c>
      <c r="K19" s="48">
        <f t="shared" si="1"/>
        <v>3.4500000000000003E-2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225</v>
      </c>
      <c r="C20" t="s">
        <v>76</v>
      </c>
      <c r="D20" t="s">
        <v>24</v>
      </c>
      <c r="E20" s="28">
        <v>41692</v>
      </c>
      <c r="F20" s="13">
        <v>1510.1676240000002</v>
      </c>
      <c r="G20" s="14">
        <f t="shared" si="0"/>
        <v>2.2100000000000002E-2</v>
      </c>
      <c r="H20" s="15"/>
      <c r="J20" s="90" t="s">
        <v>28</v>
      </c>
      <c r="K20" s="48">
        <f t="shared" si="1"/>
        <v>2.92E-2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324</v>
      </c>
      <c r="C21" t="s">
        <v>651</v>
      </c>
      <c r="D21" t="s">
        <v>130</v>
      </c>
      <c r="E21" s="28">
        <v>572575</v>
      </c>
      <c r="F21" s="13">
        <v>1493.2755999999999</v>
      </c>
      <c r="G21" s="14">
        <f t="shared" si="0"/>
        <v>2.18E-2</v>
      </c>
      <c r="H21" s="15"/>
      <c r="J21" s="14" t="s">
        <v>36</v>
      </c>
      <c r="K21" s="48">
        <f t="shared" si="1"/>
        <v>2.8299999999999999E-2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210</v>
      </c>
      <c r="C22" t="s">
        <v>18</v>
      </c>
      <c r="D22" t="s">
        <v>13</v>
      </c>
      <c r="E22" s="28">
        <v>41230</v>
      </c>
      <c r="F22" s="13">
        <v>1456.2848300000001</v>
      </c>
      <c r="G22" s="14">
        <f t="shared" si="0"/>
        <v>2.1299999999999999E-2</v>
      </c>
      <c r="H22" s="15"/>
      <c r="J22" s="14" t="s">
        <v>140</v>
      </c>
      <c r="K22" s="48">
        <f t="shared" si="1"/>
        <v>2.52E-2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383</v>
      </c>
      <c r="C23" t="s">
        <v>384</v>
      </c>
      <c r="D23" t="s">
        <v>385</v>
      </c>
      <c r="E23" s="28">
        <v>663035</v>
      </c>
      <c r="F23" s="13">
        <v>1296.5649424999999</v>
      </c>
      <c r="G23" s="14">
        <f t="shared" si="0"/>
        <v>1.9E-2</v>
      </c>
      <c r="H23" s="15"/>
      <c r="J23" s="14" t="s">
        <v>385</v>
      </c>
      <c r="K23" s="48">
        <f t="shared" si="1"/>
        <v>1.9E-2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525</v>
      </c>
      <c r="C24" t="s">
        <v>526</v>
      </c>
      <c r="D24" t="s">
        <v>34</v>
      </c>
      <c r="E24" s="28">
        <v>1450000</v>
      </c>
      <c r="F24" s="13">
        <v>1280.3499999999999</v>
      </c>
      <c r="G24" s="14">
        <f t="shared" si="0"/>
        <v>1.8700000000000001E-2</v>
      </c>
      <c r="H24" s="15"/>
      <c r="J24" s="14" t="s">
        <v>43</v>
      </c>
      <c r="K24" s="48">
        <f t="shared" si="1"/>
        <v>1.7299999999999999E-2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237</v>
      </c>
      <c r="C25" t="s">
        <v>113</v>
      </c>
      <c r="D25" t="s">
        <v>34</v>
      </c>
      <c r="E25" s="28">
        <v>737700</v>
      </c>
      <c r="F25" s="13">
        <v>1269.95055</v>
      </c>
      <c r="G25" s="14">
        <f t="shared" si="0"/>
        <v>1.8599999999999998E-2</v>
      </c>
      <c r="H25" s="15"/>
      <c r="J25" s="14" t="s">
        <v>450</v>
      </c>
      <c r="K25" s="48">
        <f t="shared" si="1"/>
        <v>1.5699999999999999E-2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262</v>
      </c>
      <c r="C26" t="s">
        <v>143</v>
      </c>
      <c r="D26" t="s">
        <v>39</v>
      </c>
      <c r="E26" s="28">
        <v>150643</v>
      </c>
      <c r="F26" s="13">
        <v>1259.827409</v>
      </c>
      <c r="G26" s="14">
        <f t="shared" si="0"/>
        <v>1.84E-2</v>
      </c>
      <c r="H26" s="15"/>
      <c r="J26" t="s">
        <v>35</v>
      </c>
      <c r="K26" s="48">
        <f t="shared" si="1"/>
        <v>1.2E-2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218</v>
      </c>
      <c r="C27" t="s">
        <v>64</v>
      </c>
      <c r="D27" t="s">
        <v>26</v>
      </c>
      <c r="E27" s="28">
        <v>307552</v>
      </c>
      <c r="F27" s="13">
        <v>1249.1224480000001</v>
      </c>
      <c r="G27" s="14">
        <f t="shared" si="0"/>
        <v>1.83E-2</v>
      </c>
      <c r="H27" s="15"/>
      <c r="J27" t="s">
        <v>49</v>
      </c>
      <c r="K27" s="48">
        <f t="shared" si="1"/>
        <v>1.15E-2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369</v>
      </c>
      <c r="C28" t="s">
        <v>368</v>
      </c>
      <c r="D28" t="s">
        <v>24</v>
      </c>
      <c r="E28" s="28">
        <v>329351</v>
      </c>
      <c r="F28" s="13">
        <v>1216.6225940000002</v>
      </c>
      <c r="G28" s="14">
        <f t="shared" si="0"/>
        <v>1.78E-2</v>
      </c>
      <c r="H28" s="15"/>
      <c r="J28" t="s">
        <v>41</v>
      </c>
      <c r="K28" s="48">
        <f t="shared" si="1"/>
        <v>1.04E-2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197</v>
      </c>
      <c r="C29" t="s">
        <v>46</v>
      </c>
      <c r="D29" t="s">
        <v>24</v>
      </c>
      <c r="E29" s="28">
        <v>21639</v>
      </c>
      <c r="F29" s="13">
        <v>1193.001348</v>
      </c>
      <c r="G29" s="14">
        <f t="shared" si="0"/>
        <v>1.7399999999999999E-2</v>
      </c>
      <c r="H29" s="15"/>
      <c r="J29" t="s">
        <v>302</v>
      </c>
      <c r="K29" s="48">
        <f t="shared" si="1"/>
        <v>9.2999999999999992E-3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293</v>
      </c>
      <c r="C30" t="s">
        <v>74</v>
      </c>
      <c r="D30" t="s">
        <v>36</v>
      </c>
      <c r="E30" s="28">
        <v>323315</v>
      </c>
      <c r="F30" s="13">
        <v>1174.6033950000001</v>
      </c>
      <c r="G30" s="14">
        <f t="shared" si="0"/>
        <v>1.72E-2</v>
      </c>
      <c r="H30" s="15"/>
      <c r="J30" t="s">
        <v>32</v>
      </c>
      <c r="K30" s="48">
        <f t="shared" si="1"/>
        <v>7.3000000000000001E-3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527</v>
      </c>
      <c r="C31" t="s">
        <v>528</v>
      </c>
      <c r="D31" t="s">
        <v>24</v>
      </c>
      <c r="E31" s="28">
        <v>18416</v>
      </c>
      <c r="F31" s="13">
        <v>1123.5325359999999</v>
      </c>
      <c r="G31" s="14">
        <f t="shared" si="0"/>
        <v>1.6400000000000001E-2</v>
      </c>
      <c r="H31" s="15"/>
      <c r="J31" s="65" t="s">
        <v>30</v>
      </c>
      <c r="K31" s="48">
        <f t="shared" si="1"/>
        <v>7.2000000000000007E-3</v>
      </c>
      <c r="N31" s="36"/>
      <c r="O31" s="14"/>
    </row>
    <row r="32" spans="1:15" ht="12.75" customHeight="1" x14ac:dyDescent="0.2">
      <c r="A32">
        <f>+MAX($A$8:A31)+1</f>
        <v>24</v>
      </c>
      <c r="B32" t="s">
        <v>200</v>
      </c>
      <c r="C32" t="s">
        <v>50</v>
      </c>
      <c r="D32" t="s">
        <v>39</v>
      </c>
      <c r="E32" s="28">
        <v>944272</v>
      </c>
      <c r="F32" s="13">
        <v>1102.4375600000001</v>
      </c>
      <c r="G32" s="14">
        <f t="shared" si="0"/>
        <v>1.61E-2</v>
      </c>
      <c r="H32" s="15"/>
      <c r="J32" t="s">
        <v>401</v>
      </c>
      <c r="K32" s="48">
        <f t="shared" si="1"/>
        <v>6.4000000000000003E-3</v>
      </c>
      <c r="N32" s="36"/>
      <c r="O32" s="14"/>
    </row>
    <row r="33" spans="1:15" ht="12.75" customHeight="1" x14ac:dyDescent="0.2">
      <c r="A33">
        <f>+MAX($A$8:A32)+1</f>
        <v>25</v>
      </c>
      <c r="B33" t="s">
        <v>205</v>
      </c>
      <c r="C33" t="s">
        <v>72</v>
      </c>
      <c r="D33" t="s">
        <v>450</v>
      </c>
      <c r="E33" s="28">
        <v>724907</v>
      </c>
      <c r="F33" s="13">
        <v>1072.4999065</v>
      </c>
      <c r="G33" s="14">
        <f t="shared" si="0"/>
        <v>1.5699999999999999E-2</v>
      </c>
      <c r="H33" s="15"/>
      <c r="J33" t="s">
        <v>52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203</v>
      </c>
      <c r="C34" t="s">
        <v>47</v>
      </c>
      <c r="D34" t="s">
        <v>19</v>
      </c>
      <c r="E34" s="28">
        <v>12016</v>
      </c>
      <c r="F34" s="13">
        <v>1059.2043920000001</v>
      </c>
      <c r="G34" s="14">
        <f t="shared" si="0"/>
        <v>1.55E-2</v>
      </c>
      <c r="H34" s="15"/>
      <c r="J34" t="s">
        <v>60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652</v>
      </c>
      <c r="C35" t="s">
        <v>653</v>
      </c>
      <c r="D35" t="s">
        <v>22</v>
      </c>
      <c r="E35" s="28">
        <v>240000</v>
      </c>
      <c r="F35" s="13">
        <v>1023.12</v>
      </c>
      <c r="G35" s="14">
        <f t="shared" si="0"/>
        <v>1.4999999999999999E-2</v>
      </c>
      <c r="H35" s="15"/>
      <c r="J35" t="s">
        <v>54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294</v>
      </c>
      <c r="C36" t="s">
        <v>65</v>
      </c>
      <c r="D36" t="s">
        <v>17</v>
      </c>
      <c r="E36" s="28">
        <v>679284</v>
      </c>
      <c r="F36" s="13">
        <v>998.88712199999998</v>
      </c>
      <c r="G36" s="14">
        <f t="shared" si="0"/>
        <v>1.46E-2</v>
      </c>
      <c r="H36" s="15"/>
      <c r="J36" t="s">
        <v>100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206</v>
      </c>
      <c r="C37" t="s">
        <v>96</v>
      </c>
      <c r="D37" t="s">
        <v>9</v>
      </c>
      <c r="E37" s="28">
        <v>82252</v>
      </c>
      <c r="F37" s="13">
        <v>996.15397200000007</v>
      </c>
      <c r="G37" s="14">
        <f t="shared" si="0"/>
        <v>1.46E-2</v>
      </c>
      <c r="H37" s="15"/>
      <c r="J37" s="14" t="s">
        <v>56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235</v>
      </c>
      <c r="C38" t="s">
        <v>110</v>
      </c>
      <c r="D38" t="s">
        <v>19</v>
      </c>
      <c r="E38" s="28">
        <v>25122</v>
      </c>
      <c r="F38" s="13">
        <v>937.61584500000004</v>
      </c>
      <c r="G38" s="14">
        <f t="shared" si="0"/>
        <v>1.37E-2</v>
      </c>
      <c r="H38" s="15"/>
      <c r="J38" s="14" t="s">
        <v>58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227</v>
      </c>
      <c r="C39" t="s">
        <v>98</v>
      </c>
      <c r="D39" t="s">
        <v>19</v>
      </c>
      <c r="E39" s="28">
        <v>100125</v>
      </c>
      <c r="F39" s="13">
        <v>874.39162499999998</v>
      </c>
      <c r="G39" s="14">
        <f t="shared" si="0"/>
        <v>1.2800000000000001E-2</v>
      </c>
      <c r="H39" s="15"/>
      <c r="J39" s="14" t="s">
        <v>397</v>
      </c>
      <c r="K39" s="48">
        <f t="shared" si="1"/>
        <v>0</v>
      </c>
      <c r="M39" s="14"/>
    </row>
    <row r="40" spans="1:15" ht="12.75" customHeight="1" x14ac:dyDescent="0.2">
      <c r="A40">
        <f>+MAX($A$8:A39)+1</f>
        <v>32</v>
      </c>
      <c r="B40" t="s">
        <v>214</v>
      </c>
      <c r="C40" t="s">
        <v>61</v>
      </c>
      <c r="D40" t="s">
        <v>34</v>
      </c>
      <c r="E40" s="28">
        <v>169704</v>
      </c>
      <c r="F40" s="13">
        <v>829.00404000000003</v>
      </c>
      <c r="G40" s="14">
        <f t="shared" si="0"/>
        <v>1.21E-2</v>
      </c>
      <c r="H40" s="15"/>
      <c r="J40" s="14" t="s">
        <v>62</v>
      </c>
      <c r="K40" s="48">
        <f>+SUMIFS($G$5:$G$998,$B$5:$B$998,"CBLO / Reverse Repo Investments")+SUMIFS($G$5:$G$998,$B$5:$B$998,"Net Receivable/Payable")</f>
        <v>5.6099999999999997E-2</v>
      </c>
      <c r="L40" s="54"/>
    </row>
    <row r="41" spans="1:15" ht="12.75" customHeight="1" x14ac:dyDescent="0.2">
      <c r="A41">
        <f>+MAX($A$8:A40)+1</f>
        <v>33</v>
      </c>
      <c r="B41" t="s">
        <v>587</v>
      </c>
      <c r="C41" t="s">
        <v>588</v>
      </c>
      <c r="D41" t="s">
        <v>35</v>
      </c>
      <c r="E41" s="28">
        <v>58709</v>
      </c>
      <c r="F41" s="13">
        <v>823.56985200000008</v>
      </c>
      <c r="G41" s="14">
        <f t="shared" ref="G41:G70" si="2">+ROUND(F41/VLOOKUP("Grand Total",$B$4:$F$285,5,0),4)</f>
        <v>1.2E-2</v>
      </c>
      <c r="H41" s="15"/>
      <c r="J41" s="14"/>
      <c r="K41" s="48"/>
    </row>
    <row r="42" spans="1:15" ht="12.75" customHeight="1" x14ac:dyDescent="0.2">
      <c r="A42">
        <f>+MAX($A$8:A41)+1</f>
        <v>34</v>
      </c>
      <c r="B42" t="s">
        <v>222</v>
      </c>
      <c r="C42" t="s">
        <v>77</v>
      </c>
      <c r="D42" t="s">
        <v>49</v>
      </c>
      <c r="E42" s="28">
        <v>276857</v>
      </c>
      <c r="F42" s="13">
        <v>789.04245000000003</v>
      </c>
      <c r="G42" s="14">
        <f t="shared" si="2"/>
        <v>1.15E-2</v>
      </c>
      <c r="H42" s="15"/>
    </row>
    <row r="43" spans="1:15" ht="12.75" customHeight="1" x14ac:dyDescent="0.2">
      <c r="A43">
        <f>+MAX($A$8:A42)+1</f>
        <v>35</v>
      </c>
      <c r="B43" t="s">
        <v>453</v>
      </c>
      <c r="C43" t="s">
        <v>454</v>
      </c>
      <c r="D43" t="s">
        <v>22</v>
      </c>
      <c r="E43" s="28">
        <v>48012</v>
      </c>
      <c r="F43" s="13">
        <v>773.16124200000002</v>
      </c>
      <c r="G43" s="14">
        <f t="shared" si="2"/>
        <v>1.1299999999999999E-2</v>
      </c>
      <c r="H43" s="15"/>
    </row>
    <row r="44" spans="1:15" ht="12.75" customHeight="1" x14ac:dyDescent="0.2">
      <c r="A44">
        <f>+MAX($A$8:A43)+1</f>
        <v>36</v>
      </c>
      <c r="B44" t="s">
        <v>196</v>
      </c>
      <c r="C44" t="s">
        <v>42</v>
      </c>
      <c r="D44" t="s">
        <v>22</v>
      </c>
      <c r="E44" s="28">
        <v>120593</v>
      </c>
      <c r="F44" s="13">
        <v>773.00112999999999</v>
      </c>
      <c r="G44" s="14">
        <f t="shared" si="2"/>
        <v>1.1299999999999999E-2</v>
      </c>
      <c r="H44" s="15"/>
    </row>
    <row r="45" spans="1:15" ht="12.75" customHeight="1" x14ac:dyDescent="0.2">
      <c r="A45">
        <f>+MAX($A$8:A44)+1</f>
        <v>37</v>
      </c>
      <c r="B45" t="s">
        <v>497</v>
      </c>
      <c r="C45" t="s">
        <v>498</v>
      </c>
      <c r="D45" t="s">
        <v>130</v>
      </c>
      <c r="E45" s="28">
        <v>238963</v>
      </c>
      <c r="F45" s="13">
        <v>763.96471099999997</v>
      </c>
      <c r="G45" s="14">
        <f t="shared" si="2"/>
        <v>1.12E-2</v>
      </c>
      <c r="H45" s="15"/>
    </row>
    <row r="46" spans="1:15" ht="12.75" customHeight="1" x14ac:dyDescent="0.2">
      <c r="A46">
        <f>+MAX($A$8:A45)+1</f>
        <v>38</v>
      </c>
      <c r="B46" t="s">
        <v>496</v>
      </c>
      <c r="C46" t="s">
        <v>433</v>
      </c>
      <c r="D46" t="s">
        <v>21</v>
      </c>
      <c r="E46" s="28">
        <v>204217</v>
      </c>
      <c r="F46" s="13">
        <v>763.6694715000001</v>
      </c>
      <c r="G46" s="14">
        <f t="shared" si="2"/>
        <v>1.12E-2</v>
      </c>
      <c r="H46" s="15"/>
    </row>
    <row r="47" spans="1:15" ht="12.75" customHeight="1" x14ac:dyDescent="0.2">
      <c r="A47">
        <f>+MAX($A$8:A46)+1</f>
        <v>39</v>
      </c>
      <c r="B47" t="s">
        <v>342</v>
      </c>
      <c r="C47" t="s">
        <v>343</v>
      </c>
      <c r="D47" t="s">
        <v>36</v>
      </c>
      <c r="E47" s="28">
        <v>969860</v>
      </c>
      <c r="F47" s="13">
        <v>761.82502999999997</v>
      </c>
      <c r="G47" s="14">
        <f t="shared" si="2"/>
        <v>1.11E-2</v>
      </c>
      <c r="H47" s="15"/>
    </row>
    <row r="48" spans="1:15" ht="12.75" customHeight="1" x14ac:dyDescent="0.2">
      <c r="A48">
        <f>+MAX($A$8:A47)+1</f>
        <v>40</v>
      </c>
      <c r="B48" t="s">
        <v>451</v>
      </c>
      <c r="C48" t="s">
        <v>452</v>
      </c>
      <c r="D48" t="s">
        <v>41</v>
      </c>
      <c r="E48" s="28">
        <v>63940</v>
      </c>
      <c r="F48" s="13">
        <v>711.04476999999997</v>
      </c>
      <c r="G48" s="14">
        <f t="shared" si="2"/>
        <v>1.04E-2</v>
      </c>
      <c r="H48" s="15"/>
    </row>
    <row r="49" spans="1:11" ht="12.75" customHeight="1" x14ac:dyDescent="0.2">
      <c r="A49">
        <f>+MAX($A$8:A48)+1</f>
        <v>41</v>
      </c>
      <c r="B49" t="s">
        <v>543</v>
      </c>
      <c r="C49" t="s">
        <v>380</v>
      </c>
      <c r="D49" t="s">
        <v>9</v>
      </c>
      <c r="E49" s="28">
        <v>623711</v>
      </c>
      <c r="F49" s="13">
        <v>679.2212790000001</v>
      </c>
      <c r="G49" s="14">
        <f t="shared" si="2"/>
        <v>9.9000000000000008E-3</v>
      </c>
      <c r="H49" s="15"/>
    </row>
    <row r="50" spans="1:11" ht="12.75" customHeight="1" x14ac:dyDescent="0.2">
      <c r="A50">
        <f>+MAX($A$8:A49)+1</f>
        <v>42</v>
      </c>
      <c r="B50" t="s">
        <v>217</v>
      </c>
      <c r="C50" t="s">
        <v>68</v>
      </c>
      <c r="D50" t="s">
        <v>9</v>
      </c>
      <c r="E50" s="28">
        <v>676878</v>
      </c>
      <c r="F50" s="13">
        <v>665.37107400000002</v>
      </c>
      <c r="G50" s="14">
        <f t="shared" si="2"/>
        <v>9.7000000000000003E-3</v>
      </c>
      <c r="H50" s="15"/>
    </row>
    <row r="51" spans="1:11" ht="12.75" customHeight="1" x14ac:dyDescent="0.2">
      <c r="A51">
        <f>+MAX($A$8:A50)+1</f>
        <v>43</v>
      </c>
      <c r="B51" t="s">
        <v>224</v>
      </c>
      <c r="C51" t="s">
        <v>79</v>
      </c>
      <c r="D51" t="s">
        <v>43</v>
      </c>
      <c r="E51" s="28">
        <v>200927</v>
      </c>
      <c r="F51" s="13">
        <v>656.72989949999999</v>
      </c>
      <c r="G51" s="14">
        <f t="shared" si="2"/>
        <v>9.5999999999999992E-3</v>
      </c>
      <c r="H51" s="15"/>
    </row>
    <row r="52" spans="1:11" ht="12.75" customHeight="1" x14ac:dyDescent="0.2">
      <c r="A52">
        <f>+MAX($A$8:A51)+1</f>
        <v>44</v>
      </c>
      <c r="B52" t="s">
        <v>199</v>
      </c>
      <c r="C52" t="s">
        <v>48</v>
      </c>
      <c r="D52" t="s">
        <v>21</v>
      </c>
      <c r="E52" s="28">
        <v>10546</v>
      </c>
      <c r="F52" s="13">
        <v>651.70588899999996</v>
      </c>
      <c r="G52" s="14">
        <f t="shared" si="2"/>
        <v>9.4999999999999998E-3</v>
      </c>
      <c r="H52" s="15"/>
    </row>
    <row r="53" spans="1:11" ht="12.75" customHeight="1" x14ac:dyDescent="0.2">
      <c r="A53">
        <f>+MAX($A$8:A52)+1</f>
        <v>45</v>
      </c>
      <c r="B53" t="s">
        <v>38</v>
      </c>
      <c r="C53" t="s">
        <v>40</v>
      </c>
      <c r="D53" t="s">
        <v>9</v>
      </c>
      <c r="E53" s="28">
        <v>434753</v>
      </c>
      <c r="F53" s="13">
        <v>647.5645935</v>
      </c>
      <c r="G53" s="14">
        <f t="shared" si="2"/>
        <v>9.4999999999999998E-3</v>
      </c>
      <c r="H53" s="15"/>
    </row>
    <row r="54" spans="1:11" ht="12.75" customHeight="1" x14ac:dyDescent="0.2">
      <c r="A54">
        <f>+MAX($A$8:A53)+1</f>
        <v>46</v>
      </c>
      <c r="B54" s="65" t="s">
        <v>398</v>
      </c>
      <c r="C54" s="65" t="s">
        <v>66</v>
      </c>
      <c r="D54" t="s">
        <v>21</v>
      </c>
      <c r="E54" s="28">
        <v>121679</v>
      </c>
      <c r="F54" s="13">
        <v>642.95183600000007</v>
      </c>
      <c r="G54" s="14">
        <f t="shared" si="2"/>
        <v>9.4000000000000004E-3</v>
      </c>
      <c r="H54" s="15"/>
    </row>
    <row r="55" spans="1:11" ht="12.75" customHeight="1" x14ac:dyDescent="0.2">
      <c r="A55">
        <f>+MAX($A$8:A54)+1</f>
        <v>47</v>
      </c>
      <c r="B55" t="s">
        <v>317</v>
      </c>
      <c r="C55" t="s">
        <v>318</v>
      </c>
      <c r="D55" t="s">
        <v>17</v>
      </c>
      <c r="E55" s="28">
        <v>83502</v>
      </c>
      <c r="F55" s="13">
        <v>638.08053299999995</v>
      </c>
      <c r="G55" s="14">
        <f t="shared" si="2"/>
        <v>9.2999999999999992E-3</v>
      </c>
      <c r="H55" s="15"/>
    </row>
    <row r="56" spans="1:11" ht="12.75" customHeight="1" x14ac:dyDescent="0.2">
      <c r="A56">
        <f>+MAX($A$8:A55)+1</f>
        <v>48</v>
      </c>
      <c r="B56" t="s">
        <v>209</v>
      </c>
      <c r="C56" t="s">
        <v>59</v>
      </c>
      <c r="D56" t="s">
        <v>21</v>
      </c>
      <c r="E56" s="28">
        <v>97828</v>
      </c>
      <c r="F56" s="13">
        <v>628.05575999999996</v>
      </c>
      <c r="G56" s="14">
        <f t="shared" si="2"/>
        <v>9.1999999999999998E-3</v>
      </c>
      <c r="H56" s="15"/>
    </row>
    <row r="57" spans="1:11" ht="12.75" customHeight="1" x14ac:dyDescent="0.2">
      <c r="A57">
        <f>+MAX($A$8:A56)+1</f>
        <v>49</v>
      </c>
      <c r="B57" t="s">
        <v>162</v>
      </c>
      <c r="C57" t="s">
        <v>176</v>
      </c>
      <c r="D57" t="s">
        <v>9</v>
      </c>
      <c r="E57" s="28">
        <v>232499</v>
      </c>
      <c r="F57" s="13">
        <v>618.33109049999996</v>
      </c>
      <c r="G57" s="14">
        <f t="shared" si="2"/>
        <v>8.9999999999999993E-3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190</v>
      </c>
      <c r="C58" t="s">
        <v>20</v>
      </c>
      <c r="D58" t="s">
        <v>19</v>
      </c>
      <c r="E58" s="28">
        <v>177516</v>
      </c>
      <c r="F58" s="13">
        <v>604.26446399999998</v>
      </c>
      <c r="G58" s="14">
        <f t="shared" si="2"/>
        <v>8.8000000000000005E-3</v>
      </c>
      <c r="H58" s="15"/>
    </row>
    <row r="59" spans="1:11" ht="12.75" customHeight="1" x14ac:dyDescent="0.2">
      <c r="A59">
        <f>+MAX($A$8:A58)+1</f>
        <v>51</v>
      </c>
      <c r="B59" t="s">
        <v>517</v>
      </c>
      <c r="C59" t="s">
        <v>518</v>
      </c>
      <c r="D59" t="s">
        <v>130</v>
      </c>
      <c r="E59" s="28">
        <v>125479</v>
      </c>
      <c r="F59" s="13">
        <v>597.84469549999994</v>
      </c>
      <c r="G59" s="14">
        <f t="shared" si="2"/>
        <v>8.6999999999999994E-3</v>
      </c>
      <c r="H59" s="15"/>
    </row>
    <row r="60" spans="1:11" ht="12.75" customHeight="1" x14ac:dyDescent="0.2">
      <c r="A60">
        <f>+MAX($A$8:A59)+1</f>
        <v>52</v>
      </c>
      <c r="B60" t="s">
        <v>303</v>
      </c>
      <c r="C60" t="s">
        <v>304</v>
      </c>
      <c r="D60" t="s">
        <v>9</v>
      </c>
      <c r="E60" s="28">
        <v>323668</v>
      </c>
      <c r="F60" s="13">
        <v>595.06361800000002</v>
      </c>
      <c r="G60" s="14">
        <f t="shared" si="2"/>
        <v>8.6999999999999994E-3</v>
      </c>
      <c r="H60" s="15"/>
    </row>
    <row r="61" spans="1:11" ht="12.75" customHeight="1" x14ac:dyDescent="0.2">
      <c r="A61">
        <f>+MAX($A$8:A60)+1</f>
        <v>53</v>
      </c>
      <c r="B61" t="s">
        <v>198</v>
      </c>
      <c r="C61" t="s">
        <v>51</v>
      </c>
      <c r="D61" t="s">
        <v>17</v>
      </c>
      <c r="E61" s="28">
        <v>13982</v>
      </c>
      <c r="F61" s="13">
        <v>574.49940700000002</v>
      </c>
      <c r="G61" s="14">
        <f t="shared" si="2"/>
        <v>8.3999999999999995E-3</v>
      </c>
      <c r="H61" s="15"/>
    </row>
    <row r="62" spans="1:11" ht="12.75" customHeight="1" x14ac:dyDescent="0.2">
      <c r="A62">
        <f>+MAX($A$8:A61)+1</f>
        <v>54</v>
      </c>
      <c r="B62" t="s">
        <v>501</v>
      </c>
      <c r="C62" t="s">
        <v>502</v>
      </c>
      <c r="D62" t="s">
        <v>9</v>
      </c>
      <c r="E62" s="28">
        <v>853115</v>
      </c>
      <c r="F62" s="13">
        <v>543.86081249999995</v>
      </c>
      <c r="G62" s="14">
        <f t="shared" si="2"/>
        <v>8.0000000000000002E-3</v>
      </c>
      <c r="H62" s="15"/>
    </row>
    <row r="63" spans="1:11" ht="12.75" customHeight="1" x14ac:dyDescent="0.2">
      <c r="A63">
        <f>+MAX($A$8:A62)+1</f>
        <v>55</v>
      </c>
      <c r="B63" t="s">
        <v>201</v>
      </c>
      <c r="C63" t="s">
        <v>31</v>
      </c>
      <c r="D63" t="s">
        <v>17</v>
      </c>
      <c r="E63" s="28">
        <v>53292</v>
      </c>
      <c r="F63" s="13">
        <v>533.02658399999996</v>
      </c>
      <c r="G63" s="14">
        <f t="shared" si="2"/>
        <v>7.7999999999999996E-3</v>
      </c>
      <c r="H63" s="15"/>
    </row>
    <row r="64" spans="1:11" ht="12.75" customHeight="1" x14ac:dyDescent="0.2">
      <c r="A64">
        <f>+MAX($A$8:A63)+1</f>
        <v>56</v>
      </c>
      <c r="B64" t="s">
        <v>499</v>
      </c>
      <c r="C64" t="s">
        <v>500</v>
      </c>
      <c r="D64" t="s">
        <v>43</v>
      </c>
      <c r="E64" s="28">
        <v>654548</v>
      </c>
      <c r="F64" s="13">
        <v>527.23841400000003</v>
      </c>
      <c r="G64" s="14">
        <f t="shared" si="2"/>
        <v>7.7000000000000002E-3</v>
      </c>
      <c r="H64" s="15"/>
    </row>
    <row r="65" spans="1:9" ht="12.75" customHeight="1" x14ac:dyDescent="0.2">
      <c r="A65">
        <f>+MAX($A$8:A64)+1</f>
        <v>57</v>
      </c>
      <c r="B65" s="65" t="s">
        <v>211</v>
      </c>
      <c r="C65" t="s">
        <v>27</v>
      </c>
      <c r="D65" t="s">
        <v>9</v>
      </c>
      <c r="E65" s="28">
        <v>97342</v>
      </c>
      <c r="F65" s="13">
        <v>503.55016599999999</v>
      </c>
      <c r="G65" s="14">
        <f t="shared" si="2"/>
        <v>7.4000000000000003E-3</v>
      </c>
      <c r="H65" s="15"/>
    </row>
    <row r="66" spans="1:9" ht="12.75" customHeight="1" x14ac:dyDescent="0.2">
      <c r="A66">
        <f>+MAX($A$8:A65)+1</f>
        <v>58</v>
      </c>
      <c r="B66" s="65" t="s">
        <v>208</v>
      </c>
      <c r="C66" t="s">
        <v>63</v>
      </c>
      <c r="D66" t="s">
        <v>32</v>
      </c>
      <c r="E66" s="28">
        <v>122695</v>
      </c>
      <c r="F66" s="13">
        <v>502.49737249999998</v>
      </c>
      <c r="G66" s="14">
        <f t="shared" si="2"/>
        <v>7.3000000000000001E-3</v>
      </c>
      <c r="H66" s="15"/>
    </row>
    <row r="67" spans="1:9" ht="12.75" customHeight="1" x14ac:dyDescent="0.2">
      <c r="A67">
        <f>+MAX($A$8:A66)+1</f>
        <v>59</v>
      </c>
      <c r="B67" s="65" t="s">
        <v>601</v>
      </c>
      <c r="C67" t="s">
        <v>602</v>
      </c>
      <c r="D67" t="s">
        <v>30</v>
      </c>
      <c r="E67" s="28">
        <v>236000</v>
      </c>
      <c r="F67" s="13">
        <v>486.98599999999999</v>
      </c>
      <c r="G67" s="14">
        <f t="shared" si="2"/>
        <v>7.1000000000000004E-3</v>
      </c>
      <c r="H67" s="15"/>
    </row>
    <row r="68" spans="1:9" ht="12.75" customHeight="1" x14ac:dyDescent="0.2">
      <c r="A68">
        <f>+MAX($A$8:A67)+1</f>
        <v>60</v>
      </c>
      <c r="B68" s="65" t="s">
        <v>399</v>
      </c>
      <c r="C68" t="s">
        <v>400</v>
      </c>
      <c r="D68" t="s">
        <v>401</v>
      </c>
      <c r="E68" s="28">
        <v>199566</v>
      </c>
      <c r="F68" s="13">
        <v>438.14715299999995</v>
      </c>
      <c r="G68" s="14">
        <f t="shared" si="2"/>
        <v>6.4000000000000003E-3</v>
      </c>
      <c r="H68" s="15"/>
    </row>
    <row r="69" spans="1:9" ht="12.75" customHeight="1" x14ac:dyDescent="0.2">
      <c r="A69">
        <f>+MAX($A$8:A68)+1</f>
        <v>61</v>
      </c>
      <c r="B69" s="65" t="s">
        <v>544</v>
      </c>
      <c r="C69" t="s">
        <v>545</v>
      </c>
      <c r="D69" t="s">
        <v>9</v>
      </c>
      <c r="E69" s="28">
        <v>666967</v>
      </c>
      <c r="F69" s="13">
        <v>367.49881700000003</v>
      </c>
      <c r="G69" s="14">
        <f t="shared" si="2"/>
        <v>5.4000000000000003E-3</v>
      </c>
      <c r="H69" s="15"/>
    </row>
    <row r="70" spans="1:9" ht="12.75" customHeight="1" x14ac:dyDescent="0.2">
      <c r="A70">
        <f>+MAX($A$8:A69)+1</f>
        <v>62</v>
      </c>
      <c r="B70" s="65" t="s">
        <v>301</v>
      </c>
      <c r="C70" t="s">
        <v>70</v>
      </c>
      <c r="D70" t="s">
        <v>26</v>
      </c>
      <c r="E70" s="28">
        <v>1365791</v>
      </c>
      <c r="F70" s="13">
        <v>322.32667600000002</v>
      </c>
      <c r="G70" s="14">
        <f t="shared" si="2"/>
        <v>4.7000000000000002E-3</v>
      </c>
      <c r="H70" s="15"/>
    </row>
    <row r="71" spans="1:9" ht="12.75" customHeight="1" x14ac:dyDescent="0.2">
      <c r="A71">
        <f>+MAX($A$8:A70)+1</f>
        <v>63</v>
      </c>
      <c r="B71" s="65" t="s">
        <v>213</v>
      </c>
      <c r="C71" t="s">
        <v>73</v>
      </c>
      <c r="D71" t="s">
        <v>34</v>
      </c>
      <c r="E71" s="28">
        <v>3622594</v>
      </c>
      <c r="F71" s="13">
        <v>184.75229399999998</v>
      </c>
      <c r="G71" s="14">
        <f t="shared" ref="G71:G72" si="3">+ROUND(F71/VLOOKUP("Grand Total",$B$4:$F$285,5,0),4)</f>
        <v>2.7000000000000001E-3</v>
      </c>
      <c r="H71" s="15"/>
    </row>
    <row r="72" spans="1:9" ht="12.75" customHeight="1" x14ac:dyDescent="0.2">
      <c r="A72">
        <f>+MAX($A$8:A71)+1</f>
        <v>64</v>
      </c>
      <c r="B72" s="65" t="s">
        <v>422</v>
      </c>
      <c r="C72" t="s">
        <v>81</v>
      </c>
      <c r="D72" t="s">
        <v>30</v>
      </c>
      <c r="E72" s="28">
        <v>100000</v>
      </c>
      <c r="F72" s="13">
        <v>5.54</v>
      </c>
      <c r="G72" s="14">
        <f t="shared" si="3"/>
        <v>1E-4</v>
      </c>
      <c r="H72" s="15"/>
    </row>
    <row r="73" spans="1:9" ht="12.75" customHeight="1" x14ac:dyDescent="0.2">
      <c r="A73">
        <f>+MAX($A$8:A72)+1</f>
        <v>65</v>
      </c>
      <c r="B73" s="65" t="s">
        <v>519</v>
      </c>
      <c r="C73" t="s">
        <v>82</v>
      </c>
      <c r="D73" t="s">
        <v>100</v>
      </c>
      <c r="E73" s="28">
        <v>511578</v>
      </c>
      <c r="F73" s="13">
        <v>0</v>
      </c>
      <c r="G73" s="108" t="s">
        <v>494</v>
      </c>
      <c r="H73" s="15"/>
    </row>
    <row r="74" spans="1:9" ht="12.75" customHeight="1" x14ac:dyDescent="0.2">
      <c r="B74" s="18" t="s">
        <v>83</v>
      </c>
      <c r="C74" s="18"/>
      <c r="D74" s="18"/>
      <c r="E74" s="29"/>
      <c r="F74" s="19">
        <f>SUM(F9:F73)</f>
        <v>63917.009785000002</v>
      </c>
      <c r="G74" s="20">
        <f>SUM(G9:G73)</f>
        <v>0.93459999999999976</v>
      </c>
      <c r="H74" s="21"/>
      <c r="I74" s="35"/>
    </row>
    <row r="75" spans="1:9" ht="12.75" customHeight="1" x14ac:dyDescent="0.2">
      <c r="F75" s="13"/>
      <c r="G75" s="14"/>
      <c r="H75" s="15"/>
    </row>
    <row r="76" spans="1:9" ht="12.75" customHeight="1" x14ac:dyDescent="0.2">
      <c r="B76" s="16" t="s">
        <v>288</v>
      </c>
      <c r="C76" s="16"/>
      <c r="F76" s="13"/>
      <c r="G76" s="14"/>
      <c r="H76" s="15"/>
    </row>
    <row r="77" spans="1:9" ht="12.75" customHeight="1" x14ac:dyDescent="0.2">
      <c r="A77">
        <f>+MAX($A$8:A76)+1</f>
        <v>66</v>
      </c>
      <c r="B77" s="65" t="s">
        <v>740</v>
      </c>
      <c r="C77" s="121" t="s">
        <v>695</v>
      </c>
      <c r="D77" t="s">
        <v>56</v>
      </c>
      <c r="E77" s="28">
        <v>54000</v>
      </c>
      <c r="F77" s="13">
        <v>0</v>
      </c>
      <c r="G77" s="108" t="s">
        <v>494</v>
      </c>
      <c r="H77" s="15"/>
    </row>
    <row r="78" spans="1:9" ht="12.75" customHeight="1" x14ac:dyDescent="0.2">
      <c r="A78">
        <f>+MAX($A$8:A77)+1</f>
        <v>67</v>
      </c>
      <c r="B78" s="65" t="s">
        <v>741</v>
      </c>
      <c r="C78" s="65" t="s">
        <v>84</v>
      </c>
      <c r="D78" s="65" t="s">
        <v>52</v>
      </c>
      <c r="E78" s="28">
        <v>200000</v>
      </c>
      <c r="F78" s="13">
        <v>0</v>
      </c>
      <c r="G78" s="108" t="s">
        <v>494</v>
      </c>
      <c r="H78" s="15"/>
    </row>
    <row r="79" spans="1:9" ht="12.75" customHeight="1" x14ac:dyDescent="0.2">
      <c r="A79">
        <f>+MAX($A$8:A78)+1</f>
        <v>68</v>
      </c>
      <c r="B79" s="65" t="s">
        <v>742</v>
      </c>
      <c r="C79" s="65" t="s">
        <v>88</v>
      </c>
      <c r="D79" s="65" t="s">
        <v>397</v>
      </c>
      <c r="E79" s="28">
        <v>176305</v>
      </c>
      <c r="F79" s="13">
        <v>0</v>
      </c>
      <c r="G79" s="108" t="s">
        <v>494</v>
      </c>
      <c r="H79" s="15"/>
    </row>
    <row r="80" spans="1:9" ht="12.75" customHeight="1" x14ac:dyDescent="0.2">
      <c r="A80">
        <f>+MAX($A$8:A79)+1</f>
        <v>69</v>
      </c>
      <c r="B80" s="65" t="s">
        <v>743</v>
      </c>
      <c r="C80" s="121" t="s">
        <v>695</v>
      </c>
      <c r="D80" s="1" t="s">
        <v>54</v>
      </c>
      <c r="E80" s="28">
        <v>93200</v>
      </c>
      <c r="F80" s="13">
        <v>0</v>
      </c>
      <c r="G80" s="108" t="s">
        <v>494</v>
      </c>
      <c r="H80" s="15"/>
    </row>
    <row r="81" spans="1:9" ht="12.75" customHeight="1" x14ac:dyDescent="0.2">
      <c r="A81">
        <f>+MAX($A$8:A80)+1</f>
        <v>70</v>
      </c>
      <c r="B81" s="65" t="s">
        <v>744</v>
      </c>
      <c r="C81" s="65" t="s">
        <v>87</v>
      </c>
      <c r="D81" s="1" t="s">
        <v>36</v>
      </c>
      <c r="E81" s="28">
        <v>200</v>
      </c>
      <c r="F81" s="13">
        <v>0</v>
      </c>
      <c r="G81" s="108" t="s">
        <v>494</v>
      </c>
      <c r="H81" s="15"/>
    </row>
    <row r="82" spans="1:9" ht="12.75" customHeight="1" x14ac:dyDescent="0.2">
      <c r="A82">
        <f>+MAX($A$8:A81)+1</f>
        <v>71</v>
      </c>
      <c r="B82" s="65" t="s">
        <v>745</v>
      </c>
      <c r="C82" s="65" t="s">
        <v>86</v>
      </c>
      <c r="D82" s="1" t="s">
        <v>60</v>
      </c>
      <c r="E82" s="28">
        <v>39500</v>
      </c>
      <c r="F82" s="13">
        <v>0</v>
      </c>
      <c r="G82" s="108" t="s">
        <v>494</v>
      </c>
      <c r="H82" s="15"/>
    </row>
    <row r="83" spans="1:9" ht="12.75" customHeight="1" x14ac:dyDescent="0.2">
      <c r="A83">
        <f>+MAX($A$8:A82)+1</f>
        <v>72</v>
      </c>
      <c r="B83" s="65" t="s">
        <v>746</v>
      </c>
      <c r="C83" s="65" t="s">
        <v>85</v>
      </c>
      <c r="D83" s="1" t="s">
        <v>58</v>
      </c>
      <c r="E83" s="28">
        <v>50800</v>
      </c>
      <c r="F83" s="13">
        <v>0</v>
      </c>
      <c r="G83" s="108" t="s">
        <v>494</v>
      </c>
      <c r="H83" s="15"/>
    </row>
    <row r="84" spans="1:9" ht="12.75" customHeight="1" x14ac:dyDescent="0.2">
      <c r="B84" s="18" t="s">
        <v>83</v>
      </c>
      <c r="C84" s="18"/>
      <c r="D84" s="18"/>
      <c r="E84" s="29"/>
      <c r="F84" s="19">
        <f>SUM(F77:F83)</f>
        <v>0</v>
      </c>
      <c r="G84" s="51" t="s">
        <v>494</v>
      </c>
      <c r="H84" s="21"/>
      <c r="I84" s="35"/>
    </row>
    <row r="85" spans="1:9" ht="12.75" customHeight="1" x14ac:dyDescent="0.2">
      <c r="F85" s="13"/>
      <c r="G85" s="14"/>
      <c r="H85" s="15"/>
    </row>
    <row r="86" spans="1:9" ht="12.75" customHeight="1" x14ac:dyDescent="0.2">
      <c r="B86" s="16" t="s">
        <v>90</v>
      </c>
      <c r="C86" s="16"/>
      <c r="F86" s="13"/>
      <c r="G86" s="14"/>
      <c r="H86" s="15"/>
    </row>
    <row r="87" spans="1:9" ht="12.75" customHeight="1" x14ac:dyDescent="0.2">
      <c r="A87">
        <f>+MAX($A$8:A86)+1</f>
        <v>73</v>
      </c>
      <c r="B87" t="s">
        <v>420</v>
      </c>
      <c r="C87" s="65" t="s">
        <v>283</v>
      </c>
      <c r="D87" t="s">
        <v>302</v>
      </c>
      <c r="E87" s="28">
        <v>2014991.537</v>
      </c>
      <c r="F87" s="13">
        <v>637.39421289999996</v>
      </c>
      <c r="G87" s="14">
        <f>+ROUND(F87/VLOOKUP("Grand Total",$B$4:$F$285,5,0),4)</f>
        <v>9.2999999999999992E-3</v>
      </c>
      <c r="H87" s="15"/>
    </row>
    <row r="88" spans="1:9" ht="12.75" customHeight="1" x14ac:dyDescent="0.2">
      <c r="B88" s="18" t="s">
        <v>83</v>
      </c>
      <c r="C88" s="18"/>
      <c r="D88" s="18"/>
      <c r="E88" s="29"/>
      <c r="F88" s="19">
        <f>SUM(F87:F87)</f>
        <v>637.39421289999996</v>
      </c>
      <c r="G88" s="51">
        <f>SUM(G87:G87)</f>
        <v>9.2999999999999992E-3</v>
      </c>
      <c r="H88" s="21"/>
      <c r="I88" s="35"/>
    </row>
    <row r="89" spans="1:9" ht="12.75" customHeight="1" x14ac:dyDescent="0.2">
      <c r="F89" s="13"/>
      <c r="G89" s="14"/>
      <c r="H89" s="15"/>
    </row>
    <row r="90" spans="1:9" ht="12.75" customHeight="1" x14ac:dyDescent="0.2">
      <c r="A90" s="95" t="s">
        <v>345</v>
      </c>
      <c r="B90" s="16" t="s">
        <v>91</v>
      </c>
      <c r="C90" s="16"/>
      <c r="F90" s="13">
        <v>4089.1068202999995</v>
      </c>
      <c r="G90" s="14">
        <f>+ROUND(F90/VLOOKUP("Grand Total",$B$4:$F$285,5,0),4)</f>
        <v>5.9799999999999999E-2</v>
      </c>
      <c r="H90" s="15">
        <v>43222</v>
      </c>
    </row>
    <row r="91" spans="1:9" ht="12.75" customHeight="1" x14ac:dyDescent="0.2">
      <c r="B91" s="18" t="s">
        <v>83</v>
      </c>
      <c r="C91" s="18"/>
      <c r="D91" s="18"/>
      <c r="E91" s="29"/>
      <c r="F91" s="19">
        <f>SUM(F90)</f>
        <v>4089.1068202999995</v>
      </c>
      <c r="G91" s="20">
        <f>SUM(G90)</f>
        <v>5.9799999999999999E-2</v>
      </c>
      <c r="H91" s="21"/>
      <c r="I91" s="35"/>
    </row>
    <row r="92" spans="1:9" ht="12.75" customHeight="1" x14ac:dyDescent="0.2">
      <c r="F92" s="13"/>
      <c r="G92" s="14"/>
      <c r="H92" s="15"/>
    </row>
    <row r="93" spans="1:9" ht="12.75" customHeight="1" x14ac:dyDescent="0.2">
      <c r="B93" s="16" t="s">
        <v>92</v>
      </c>
      <c r="C93" s="16"/>
      <c r="F93" s="13"/>
      <c r="G93" s="14"/>
      <c r="H93" s="15"/>
    </row>
    <row r="94" spans="1:9" ht="12.75" customHeight="1" x14ac:dyDescent="0.2">
      <c r="B94" s="16" t="s">
        <v>93</v>
      </c>
      <c r="C94" s="16"/>
      <c r="F94" s="13">
        <v>-249.19466860000102</v>
      </c>
      <c r="G94" s="122">
        <f>+ROUND(F94/VLOOKUP("Grand Total",$B$4:$F$285,5,0),4)-0.01%</f>
        <v>-3.6999999999999997E-3</v>
      </c>
      <c r="H94" s="15"/>
    </row>
    <row r="95" spans="1:9" ht="12.75" customHeight="1" x14ac:dyDescent="0.2">
      <c r="B95" s="18" t="s">
        <v>83</v>
      </c>
      <c r="C95" s="18"/>
      <c r="D95" s="18"/>
      <c r="E95" s="29"/>
      <c r="F95" s="19">
        <f>SUM(F94)</f>
        <v>-249.19466860000102</v>
      </c>
      <c r="G95" s="123">
        <f>SUM(G94)</f>
        <v>-3.6999999999999997E-3</v>
      </c>
      <c r="H95" s="21"/>
      <c r="I95" s="35"/>
    </row>
    <row r="96" spans="1:9" ht="12.75" customHeight="1" x14ac:dyDescent="0.2">
      <c r="B96" s="22" t="s">
        <v>94</v>
      </c>
      <c r="C96" s="22"/>
      <c r="D96" s="22"/>
      <c r="E96" s="30"/>
      <c r="F96" s="23">
        <f>+SUMIF($B$5:B95,"Total",$F$5:F95)</f>
        <v>68394.316149599996</v>
      </c>
      <c r="G96" s="24">
        <f>+SUMIF($B$5:B95,"Total",$G$5:G95)</f>
        <v>0.99999999999999978</v>
      </c>
      <c r="H96" s="25"/>
      <c r="I96" s="35"/>
    </row>
    <row r="97" spans="2:7" ht="12.75" customHeight="1" x14ac:dyDescent="0.2"/>
    <row r="98" spans="2:7" ht="12.75" customHeight="1" x14ac:dyDescent="0.2">
      <c r="B98" s="16" t="s">
        <v>181</v>
      </c>
      <c r="C98" s="16"/>
    </row>
    <row r="99" spans="2:7" ht="12.75" customHeight="1" x14ac:dyDescent="0.2">
      <c r="B99" s="16" t="s">
        <v>182</v>
      </c>
      <c r="C99" s="16"/>
    </row>
    <row r="100" spans="2:7" ht="12.75" customHeight="1" x14ac:dyDescent="0.2">
      <c r="B100" s="16" t="s">
        <v>183</v>
      </c>
      <c r="C100" s="16"/>
      <c r="F100" s="43"/>
      <c r="G100" s="43"/>
    </row>
    <row r="101" spans="2:7" ht="12.75" customHeight="1" x14ac:dyDescent="0.2">
      <c r="B101" s="53" t="s">
        <v>291</v>
      </c>
      <c r="C101" s="16"/>
    </row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</sheetData>
  <sheetProtection password="EDB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9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355</v>
      </c>
      <c r="B1" s="128" t="s">
        <v>310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89</v>
      </c>
      <c r="C7" s="16"/>
      <c r="F7" s="13"/>
      <c r="G7" s="14"/>
      <c r="H7" s="15"/>
    </row>
    <row r="8" spans="1:16" ht="12.75" customHeight="1" x14ac:dyDescent="0.2">
      <c r="B8" s="16" t="s">
        <v>647</v>
      </c>
      <c r="C8" s="16"/>
      <c r="F8" s="13"/>
      <c r="G8" s="14"/>
      <c r="H8" s="15"/>
      <c r="J8" s="17" t="s">
        <v>586</v>
      </c>
      <c r="K8" s="37" t="s">
        <v>11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607</v>
      </c>
      <c r="C9" s="65" t="s">
        <v>608</v>
      </c>
      <c r="D9" t="s">
        <v>157</v>
      </c>
      <c r="E9" s="28">
        <v>1950</v>
      </c>
      <c r="F9" s="13">
        <v>1930.8822</v>
      </c>
      <c r="G9" s="14">
        <f>+ROUND(F9/VLOOKUP("Grand Total",$B$4:$F$277,5,0),4)</f>
        <v>3.9100000000000003E-2</v>
      </c>
      <c r="H9" s="15">
        <v>43271</v>
      </c>
      <c r="I9" s="99"/>
      <c r="J9" s="14" t="s">
        <v>157</v>
      </c>
      <c r="K9" s="48">
        <f t="shared" ref="K9:K23" si="0">SUMIFS($G$5:$G$310,$D$5:$D$310,J9)</f>
        <v>0.1822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211</v>
      </c>
      <c r="C10" s="65" t="s">
        <v>661</v>
      </c>
      <c r="D10" t="s">
        <v>157</v>
      </c>
      <c r="E10" s="28">
        <v>1650</v>
      </c>
      <c r="F10" s="13">
        <v>1606.33275</v>
      </c>
      <c r="G10" s="14">
        <f t="shared" ref="G10:G11" si="1">+ROUND(F10/VLOOKUP("Grand Total",$B$4:$F$277,5,0),4)</f>
        <v>3.2500000000000001E-2</v>
      </c>
      <c r="H10" s="15">
        <v>43353</v>
      </c>
      <c r="I10" s="99"/>
      <c r="J10" s="14" t="s">
        <v>338</v>
      </c>
      <c r="K10" s="48">
        <f t="shared" si="0"/>
        <v>0.15060000000000001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211</v>
      </c>
      <c r="C11" s="65" t="s">
        <v>606</v>
      </c>
      <c r="D11" t="s">
        <v>157</v>
      </c>
      <c r="E11" s="28">
        <v>500</v>
      </c>
      <c r="F11" s="13">
        <v>496.44600000000003</v>
      </c>
      <c r="G11" s="14">
        <f t="shared" si="1"/>
        <v>1.01E-2</v>
      </c>
      <c r="H11" s="15">
        <v>43257</v>
      </c>
      <c r="I11" s="99"/>
      <c r="J11" s="14" t="s">
        <v>276</v>
      </c>
      <c r="K11" s="48">
        <f t="shared" si="0"/>
        <v>9.6600000000000005E-2</v>
      </c>
      <c r="M11" s="14"/>
      <c r="N11" s="36"/>
      <c r="P11" s="14"/>
    </row>
    <row r="12" spans="1:16" ht="12.75" customHeight="1" x14ac:dyDescent="0.2">
      <c r="B12" s="18" t="s">
        <v>83</v>
      </c>
      <c r="C12" s="18"/>
      <c r="D12" s="18"/>
      <c r="E12" s="29"/>
      <c r="F12" s="19">
        <f>SUM(F9:F11)</f>
        <v>4033.66095</v>
      </c>
      <c r="G12" s="20">
        <f>SUM(G9:G11)</f>
        <v>8.1699999999999995E-2</v>
      </c>
      <c r="H12" s="21"/>
      <c r="J12" s="14" t="s">
        <v>341</v>
      </c>
      <c r="K12" s="48">
        <f t="shared" si="0"/>
        <v>8.6099999999999996E-2</v>
      </c>
      <c r="M12" s="14"/>
      <c r="N12" s="36"/>
      <c r="P12" s="14"/>
    </row>
    <row r="13" spans="1:16" ht="12.75" customHeight="1" x14ac:dyDescent="0.2">
      <c r="B13" s="16"/>
      <c r="C13" s="16"/>
      <c r="F13" s="13"/>
      <c r="G13" s="14"/>
      <c r="H13" s="15"/>
      <c r="J13" s="14" t="s">
        <v>414</v>
      </c>
      <c r="K13" s="48">
        <f t="shared" si="0"/>
        <v>8.0500000000000002E-2</v>
      </c>
      <c r="M13" s="14"/>
    </row>
    <row r="14" spans="1:16" ht="12.75" customHeight="1" x14ac:dyDescent="0.2">
      <c r="B14" s="16" t="s">
        <v>290</v>
      </c>
      <c r="C14" s="16"/>
      <c r="F14" s="13"/>
      <c r="G14" s="14"/>
      <c r="H14" s="15"/>
      <c r="J14" s="14" t="s">
        <v>513</v>
      </c>
      <c r="K14" s="48">
        <f t="shared" si="0"/>
        <v>7.4099999999999999E-2</v>
      </c>
      <c r="M14" s="14"/>
    </row>
    <row r="15" spans="1:16" ht="12.75" customHeight="1" x14ac:dyDescent="0.2">
      <c r="A15">
        <f>+MAX($A$1:A14)+1</f>
        <v>4</v>
      </c>
      <c r="B15" t="s">
        <v>609</v>
      </c>
      <c r="C15" t="s">
        <v>610</v>
      </c>
      <c r="D15" t="s">
        <v>157</v>
      </c>
      <c r="E15" s="28">
        <v>1000</v>
      </c>
      <c r="F15" s="13">
        <v>4872.8999999999996</v>
      </c>
      <c r="G15" s="14">
        <f t="shared" ref="G15:G21" si="2">+ROUND(F15/VLOOKUP("Grand Total",$B$4:$F$277,5,0),4)</f>
        <v>9.8699999999999996E-2</v>
      </c>
      <c r="H15" s="15">
        <v>43347</v>
      </c>
      <c r="I15" s="99"/>
      <c r="J15" s="14" t="s">
        <v>520</v>
      </c>
      <c r="K15" s="48">
        <f t="shared" si="0"/>
        <v>5.9900000000000002E-2</v>
      </c>
      <c r="M15" s="14"/>
    </row>
    <row r="16" spans="1:16" ht="12.75" customHeight="1" x14ac:dyDescent="0.2">
      <c r="A16">
        <f>+MAX($A$1:A15)+1</f>
        <v>5</v>
      </c>
      <c r="B16" t="s">
        <v>275</v>
      </c>
      <c r="C16" t="s">
        <v>538</v>
      </c>
      <c r="D16" t="s">
        <v>520</v>
      </c>
      <c r="E16" s="28">
        <v>440</v>
      </c>
      <c r="F16" s="13">
        <v>2093.0250000000001</v>
      </c>
      <c r="G16" s="14">
        <f t="shared" si="2"/>
        <v>4.24E-2</v>
      </c>
      <c r="H16" s="15">
        <v>43430</v>
      </c>
      <c r="I16" s="99"/>
      <c r="J16" s="14" t="s">
        <v>564</v>
      </c>
      <c r="K16" s="48">
        <f t="shared" si="0"/>
        <v>5.0500000000000003E-2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512</v>
      </c>
      <c r="C17" t="s">
        <v>611</v>
      </c>
      <c r="D17" t="s">
        <v>513</v>
      </c>
      <c r="E17" s="28">
        <v>400</v>
      </c>
      <c r="F17" s="13">
        <v>1970.2180000000001</v>
      </c>
      <c r="G17" s="14">
        <f t="shared" si="2"/>
        <v>3.9899999999999998E-2</v>
      </c>
      <c r="H17" s="15">
        <v>43272</v>
      </c>
      <c r="I17" s="99"/>
      <c r="J17" s="14" t="s">
        <v>489</v>
      </c>
      <c r="K17" s="48">
        <f t="shared" si="0"/>
        <v>4.9200000000000001E-2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512</v>
      </c>
      <c r="C18" t="s">
        <v>595</v>
      </c>
      <c r="D18" t="s">
        <v>513</v>
      </c>
      <c r="E18" s="28">
        <v>340</v>
      </c>
      <c r="F18" s="13">
        <v>1686.8725999999999</v>
      </c>
      <c r="G18" s="14">
        <f t="shared" si="2"/>
        <v>3.4200000000000001E-2</v>
      </c>
      <c r="H18" s="15">
        <v>43245</v>
      </c>
      <c r="I18" s="99"/>
      <c r="J18" s="14" t="s">
        <v>170</v>
      </c>
      <c r="K18" s="48">
        <f t="shared" si="0"/>
        <v>4.7600000000000003E-2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s="65" t="s">
        <v>275</v>
      </c>
      <c r="C19" t="s">
        <v>510</v>
      </c>
      <c r="D19" t="s">
        <v>520</v>
      </c>
      <c r="E19" s="28">
        <v>178</v>
      </c>
      <c r="F19" s="13">
        <v>862.82295999999997</v>
      </c>
      <c r="G19" s="14">
        <f t="shared" si="2"/>
        <v>1.7500000000000002E-2</v>
      </c>
      <c r="H19" s="15">
        <v>43350</v>
      </c>
      <c r="I19" s="99"/>
      <c r="J19" s="14" t="s">
        <v>277</v>
      </c>
      <c r="K19" s="48">
        <f t="shared" si="0"/>
        <v>2.86E-2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521</v>
      </c>
      <c r="C20" t="s">
        <v>522</v>
      </c>
      <c r="D20" t="s">
        <v>274</v>
      </c>
      <c r="E20" s="28">
        <v>50</v>
      </c>
      <c r="F20" s="13">
        <v>247.56649999999999</v>
      </c>
      <c r="G20" s="14">
        <f t="shared" si="2"/>
        <v>5.0000000000000001E-3</v>
      </c>
      <c r="H20" s="15">
        <v>43265</v>
      </c>
      <c r="I20" s="99"/>
      <c r="J20" s="14" t="s">
        <v>563</v>
      </c>
      <c r="K20" s="48">
        <f t="shared" si="0"/>
        <v>2.6599999999999999E-2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326</v>
      </c>
      <c r="C21" t="s">
        <v>491</v>
      </c>
      <c r="D21" t="s">
        <v>157</v>
      </c>
      <c r="E21" s="28">
        <v>18</v>
      </c>
      <c r="F21" s="13">
        <v>89.064089999999993</v>
      </c>
      <c r="G21" s="14">
        <f t="shared" si="2"/>
        <v>1.8E-3</v>
      </c>
      <c r="H21" s="15">
        <v>43273</v>
      </c>
      <c r="I21" s="99"/>
      <c r="J21" s="14" t="s">
        <v>616</v>
      </c>
      <c r="K21" s="48">
        <f t="shared" si="0"/>
        <v>2.0299999999999999E-2</v>
      </c>
      <c r="M21" s="14"/>
      <c r="N21" s="36"/>
      <c r="O21" s="14"/>
      <c r="P21" s="14"/>
    </row>
    <row r="22" spans="1:16" ht="12.75" customHeight="1" x14ac:dyDescent="0.2">
      <c r="B22" s="18" t="s">
        <v>83</v>
      </c>
      <c r="C22" s="18"/>
      <c r="D22" s="18"/>
      <c r="E22" s="29"/>
      <c r="F22" s="19">
        <f>SUM(F15:F21)</f>
        <v>11822.469150000001</v>
      </c>
      <c r="G22" s="20">
        <f>SUM(G15:G21)</f>
        <v>0.23950000000000002</v>
      </c>
      <c r="H22" s="21"/>
      <c r="J22" s="14" t="s">
        <v>378</v>
      </c>
      <c r="K22" s="48">
        <f t="shared" si="0"/>
        <v>6.3E-3</v>
      </c>
      <c r="L22" s="54"/>
      <c r="N22" s="36"/>
      <c r="O22" s="14"/>
      <c r="P22" s="14"/>
    </row>
    <row r="23" spans="1:16" ht="12.75" customHeight="1" x14ac:dyDescent="0.2">
      <c r="F23" s="13"/>
      <c r="G23" s="14"/>
      <c r="H23" s="15"/>
      <c r="J23" s="14" t="s">
        <v>274</v>
      </c>
      <c r="K23" s="48">
        <f t="shared" si="0"/>
        <v>5.0000000000000001E-3</v>
      </c>
      <c r="M23" s="90"/>
      <c r="N23" s="36"/>
      <c r="O23" s="14"/>
      <c r="P23" s="14"/>
    </row>
    <row r="24" spans="1:16" ht="12.75" customHeight="1" x14ac:dyDescent="0.2">
      <c r="B24" s="16" t="s">
        <v>164</v>
      </c>
      <c r="C24" s="16"/>
      <c r="F24" s="13"/>
      <c r="G24" s="14"/>
      <c r="H24" s="15"/>
      <c r="I24" s="35"/>
      <c r="J24" s="14" t="s">
        <v>62</v>
      </c>
      <c r="K24" s="48">
        <f>+SUMIFS($G$5:$G$998,$B$5:$B$998,"CBLO / Reverse Repo Investments")+SUMIFS($G$5:$G$998,$B$5:$B$998,"Net Receivable/Payable")</f>
        <v>3.5900000000000001E-2</v>
      </c>
      <c r="M24" s="14"/>
      <c r="N24" s="36"/>
      <c r="O24" s="14"/>
      <c r="P24" s="14"/>
    </row>
    <row r="25" spans="1:16" ht="12.75" customHeight="1" x14ac:dyDescent="0.2">
      <c r="A25">
        <f>+MAX($A$1:A24)+1</f>
        <v>11</v>
      </c>
      <c r="B25" s="65" t="s">
        <v>523</v>
      </c>
      <c r="C25" t="s">
        <v>605</v>
      </c>
      <c r="D25" t="s">
        <v>378</v>
      </c>
      <c r="E25" s="28">
        <v>312600</v>
      </c>
      <c r="F25" s="13">
        <v>310.56466140000003</v>
      </c>
      <c r="G25" s="14">
        <f>+ROUND(F25/VLOOKUP("Grand Total",$B$4:$F$277,5,0),4)</f>
        <v>6.3E-3</v>
      </c>
      <c r="H25" s="15">
        <v>43258</v>
      </c>
      <c r="I25" s="99"/>
      <c r="J25" s="14"/>
      <c r="K25" s="48"/>
      <c r="N25" s="36"/>
      <c r="O25" s="14"/>
      <c r="P25" s="14"/>
    </row>
    <row r="26" spans="1:16" ht="12.75" customHeight="1" x14ac:dyDescent="0.2">
      <c r="B26" s="18" t="s">
        <v>83</v>
      </c>
      <c r="C26" s="18"/>
      <c r="D26" s="18"/>
      <c r="E26" s="29"/>
      <c r="F26" s="19">
        <f>SUM(F25:F25)</f>
        <v>310.56466140000003</v>
      </c>
      <c r="G26" s="20">
        <f>SUM(G25:G25)</f>
        <v>6.3E-3</v>
      </c>
      <c r="H26" s="21"/>
      <c r="J26" s="14"/>
      <c r="K26" s="48"/>
      <c r="L26" s="54"/>
      <c r="M26" s="14"/>
      <c r="N26" s="36"/>
      <c r="O26" s="14"/>
      <c r="P26" s="14"/>
    </row>
    <row r="27" spans="1:16" ht="12.75" customHeight="1" x14ac:dyDescent="0.2">
      <c r="F27" s="13"/>
      <c r="G27" s="14"/>
      <c r="H27" s="15"/>
      <c r="J27" s="14"/>
      <c r="K27" s="48"/>
      <c r="M27" s="90"/>
      <c r="N27" s="36"/>
      <c r="O27" s="14"/>
      <c r="P27" s="14"/>
    </row>
    <row r="28" spans="1:16" ht="12.75" customHeight="1" x14ac:dyDescent="0.2">
      <c r="B28" s="16" t="s">
        <v>122</v>
      </c>
      <c r="C28" s="16"/>
      <c r="F28" s="13"/>
      <c r="G28" s="14"/>
      <c r="H28" s="15"/>
      <c r="I28" s="35"/>
      <c r="N28" s="36"/>
      <c r="P28" s="14"/>
    </row>
    <row r="29" spans="1:16" ht="12.75" customHeight="1" x14ac:dyDescent="0.2">
      <c r="B29" s="31" t="s">
        <v>381</v>
      </c>
      <c r="C29" s="16"/>
      <c r="F29" s="13"/>
      <c r="G29" s="14"/>
      <c r="H29" s="15"/>
      <c r="N29" s="36"/>
      <c r="P29" s="14"/>
    </row>
    <row r="30" spans="1:16" ht="12.75" customHeight="1" x14ac:dyDescent="0.2">
      <c r="A30">
        <f>+MAX($A$1:A29)+1</f>
        <v>12</v>
      </c>
      <c r="B30" s="65" t="s">
        <v>697</v>
      </c>
      <c r="C30" t="s">
        <v>370</v>
      </c>
      <c r="D30" t="s">
        <v>338</v>
      </c>
      <c r="E30" s="28">
        <v>500</v>
      </c>
      <c r="F30" s="13">
        <v>5000.25</v>
      </c>
      <c r="G30" s="14">
        <f t="shared" ref="G30:G40" si="3">+ROUND(F30/VLOOKUP("Grand Total",$B$4:$F$277,5,0),4)</f>
        <v>0.1013</v>
      </c>
      <c r="H30" s="15">
        <v>43892</v>
      </c>
      <c r="I30" s="99"/>
    </row>
    <row r="31" spans="1:16" s="65" customFormat="1" ht="12.75" customHeight="1" x14ac:dyDescent="0.2">
      <c r="A31">
        <f>+MAX($A$1:A30)+1</f>
        <v>13</v>
      </c>
      <c r="B31" s="65" t="s">
        <v>698</v>
      </c>
      <c r="C31" s="65" t="s">
        <v>446</v>
      </c>
      <c r="D31" s="65" t="s">
        <v>276</v>
      </c>
      <c r="E31" s="85">
        <v>480</v>
      </c>
      <c r="F31" s="86">
        <v>4772.1264000000001</v>
      </c>
      <c r="G31" s="90">
        <f t="shared" si="3"/>
        <v>9.6600000000000005E-2</v>
      </c>
      <c r="H31" s="89">
        <v>43630</v>
      </c>
      <c r="I31" s="99"/>
      <c r="N31" s="84"/>
      <c r="P31" s="90"/>
    </row>
    <row r="32" spans="1:16" ht="12.75" customHeight="1" x14ac:dyDescent="0.2">
      <c r="A32">
        <f>+MAX($A$1:A31)+1</f>
        <v>14</v>
      </c>
      <c r="B32" s="65" t="s">
        <v>699</v>
      </c>
      <c r="C32" t="s">
        <v>429</v>
      </c>
      <c r="D32" t="s">
        <v>564</v>
      </c>
      <c r="E32" s="28">
        <v>250</v>
      </c>
      <c r="F32" s="13">
        <v>2495.9124999999999</v>
      </c>
      <c r="G32" s="14">
        <f t="shared" si="3"/>
        <v>5.0500000000000003E-2</v>
      </c>
      <c r="H32" s="15">
        <v>43469</v>
      </c>
      <c r="I32" s="99"/>
      <c r="N32" s="36"/>
      <c r="P32" s="14"/>
    </row>
    <row r="33" spans="1:16" ht="12.75" customHeight="1" x14ac:dyDescent="0.2">
      <c r="A33">
        <f>+MAX($A$1:A32)+1</f>
        <v>15</v>
      </c>
      <c r="B33" t="s">
        <v>700</v>
      </c>
      <c r="C33" s="65" t="s">
        <v>470</v>
      </c>
      <c r="D33" s="65" t="s">
        <v>414</v>
      </c>
      <c r="E33" s="85">
        <v>250</v>
      </c>
      <c r="F33" s="86">
        <v>2484.0349999999999</v>
      </c>
      <c r="G33" s="90">
        <f t="shared" si="3"/>
        <v>5.0299999999999997E-2</v>
      </c>
      <c r="H33" s="15">
        <v>43671</v>
      </c>
      <c r="I33" s="99"/>
    </row>
    <row r="34" spans="1:16" ht="12.75" customHeight="1" x14ac:dyDescent="0.2">
      <c r="A34">
        <f>+MAX($A$1:A33)+1</f>
        <v>16</v>
      </c>
      <c r="B34" s="65" t="s">
        <v>701</v>
      </c>
      <c r="C34" t="s">
        <v>390</v>
      </c>
      <c r="D34" t="s">
        <v>338</v>
      </c>
      <c r="E34" s="28">
        <v>243000</v>
      </c>
      <c r="F34" s="13">
        <v>2436.5002500000001</v>
      </c>
      <c r="G34" s="14">
        <f t="shared" si="3"/>
        <v>4.9299999999999997E-2</v>
      </c>
      <c r="H34" s="15">
        <v>43717</v>
      </c>
      <c r="I34" s="99"/>
      <c r="N34" s="36"/>
      <c r="P34" s="14"/>
    </row>
    <row r="35" spans="1:16" ht="12.75" customHeight="1" x14ac:dyDescent="0.2">
      <c r="A35">
        <f>+MAX($A$1:A34)+1</f>
        <v>17</v>
      </c>
      <c r="B35" s="65" t="s">
        <v>702</v>
      </c>
      <c r="C35" t="s">
        <v>329</v>
      </c>
      <c r="D35" t="s">
        <v>489</v>
      </c>
      <c r="E35" s="28">
        <v>242</v>
      </c>
      <c r="F35" s="13">
        <v>2428.7966999999999</v>
      </c>
      <c r="G35" s="14">
        <f t="shared" si="3"/>
        <v>4.9200000000000001E-2</v>
      </c>
      <c r="H35" s="15">
        <v>43309</v>
      </c>
      <c r="I35" s="99"/>
      <c r="N35" s="36"/>
      <c r="P35" s="14"/>
    </row>
    <row r="36" spans="1:16" ht="12.75" customHeight="1" x14ac:dyDescent="0.2">
      <c r="A36">
        <f>+MAX($A$1:A35)+1</f>
        <v>18</v>
      </c>
      <c r="B36" s="65" t="s">
        <v>703</v>
      </c>
      <c r="C36" t="s">
        <v>330</v>
      </c>
      <c r="D36" t="s">
        <v>170</v>
      </c>
      <c r="E36" s="28">
        <v>235</v>
      </c>
      <c r="F36" s="13">
        <v>2351.2055500000001</v>
      </c>
      <c r="G36" s="14">
        <f t="shared" si="3"/>
        <v>4.7600000000000003E-2</v>
      </c>
      <c r="H36" s="15">
        <v>43299</v>
      </c>
      <c r="I36" s="99"/>
    </row>
    <row r="37" spans="1:16" ht="12.75" customHeight="1" x14ac:dyDescent="0.2">
      <c r="A37">
        <f>+MAX($A$1:A36)+1</f>
        <v>19</v>
      </c>
      <c r="B37" s="65" t="s">
        <v>662</v>
      </c>
      <c r="C37" t="s">
        <v>663</v>
      </c>
      <c r="D37" t="s">
        <v>414</v>
      </c>
      <c r="E37" s="28">
        <v>150000</v>
      </c>
      <c r="F37" s="13">
        <v>1490.2260000000001</v>
      </c>
      <c r="G37" s="14">
        <f t="shared" si="3"/>
        <v>3.0200000000000001E-2</v>
      </c>
      <c r="H37" s="15">
        <v>44366</v>
      </c>
      <c r="I37" s="99"/>
    </row>
    <row r="38" spans="1:16" ht="12.75" customHeight="1" x14ac:dyDescent="0.2">
      <c r="A38">
        <f>+MAX($A$1:A37)+1</f>
        <v>20</v>
      </c>
      <c r="B38" t="s">
        <v>704</v>
      </c>
      <c r="C38" t="s">
        <v>313</v>
      </c>
      <c r="D38" t="s">
        <v>277</v>
      </c>
      <c r="E38" s="28">
        <v>140</v>
      </c>
      <c r="F38" s="13">
        <v>1412.6587999999999</v>
      </c>
      <c r="G38" s="14">
        <f t="shared" si="3"/>
        <v>2.86E-2</v>
      </c>
      <c r="H38" s="15">
        <v>43621</v>
      </c>
      <c r="I38" s="99"/>
    </row>
    <row r="39" spans="1:16" ht="12.75" customHeight="1" x14ac:dyDescent="0.2">
      <c r="A39">
        <f>+MAX($A$1:A38)+1</f>
        <v>21</v>
      </c>
      <c r="B39" s="65" t="s">
        <v>705</v>
      </c>
      <c r="C39" t="s">
        <v>576</v>
      </c>
      <c r="D39" t="s">
        <v>563</v>
      </c>
      <c r="E39" s="28">
        <v>150</v>
      </c>
      <c r="F39" s="13">
        <v>1311.3795</v>
      </c>
      <c r="G39" s="14">
        <f t="shared" si="3"/>
        <v>2.6599999999999999E-2</v>
      </c>
      <c r="H39" s="15">
        <v>43826</v>
      </c>
      <c r="I39" s="99"/>
    </row>
    <row r="40" spans="1:16" ht="12.75" customHeight="1" x14ac:dyDescent="0.2">
      <c r="A40">
        <f>+MAX($A$1:A39)+1</f>
        <v>22</v>
      </c>
      <c r="B40" t="s">
        <v>706</v>
      </c>
      <c r="C40" t="s">
        <v>615</v>
      </c>
      <c r="D40" t="s">
        <v>616</v>
      </c>
      <c r="E40" s="28">
        <v>100</v>
      </c>
      <c r="F40" s="13">
        <v>1001.194</v>
      </c>
      <c r="G40" s="14">
        <f t="shared" si="3"/>
        <v>2.0299999999999999E-2</v>
      </c>
      <c r="H40" s="15">
        <v>43257</v>
      </c>
      <c r="I40" s="99"/>
    </row>
    <row r="41" spans="1:16" ht="12.75" customHeight="1" x14ac:dyDescent="0.2">
      <c r="B41" s="18" t="s">
        <v>83</v>
      </c>
      <c r="C41" s="18"/>
      <c r="D41" s="18"/>
      <c r="E41" s="29"/>
      <c r="F41" s="19">
        <f>SUM(F30:F40)</f>
        <v>27184.284699999997</v>
      </c>
      <c r="G41" s="20">
        <f>SUM(G30:G40)</f>
        <v>0.55049999999999999</v>
      </c>
      <c r="H41" s="21"/>
      <c r="J41" s="52"/>
      <c r="K41"/>
    </row>
    <row r="42" spans="1:16" ht="12.75" customHeight="1" x14ac:dyDescent="0.2">
      <c r="F42" s="13"/>
      <c r="G42" s="14"/>
      <c r="H42" s="15"/>
      <c r="M42" s="90"/>
      <c r="N42" s="36"/>
      <c r="O42" s="14"/>
      <c r="P42" s="14"/>
    </row>
    <row r="43" spans="1:16" ht="12.75" customHeight="1" x14ac:dyDescent="0.2">
      <c r="B43" s="16" t="s">
        <v>696</v>
      </c>
      <c r="C43" s="16"/>
      <c r="F43" s="13"/>
      <c r="G43" s="14"/>
      <c r="H43" s="15"/>
      <c r="I43" s="35"/>
      <c r="J43" s="14"/>
      <c r="M43" s="14"/>
      <c r="N43" s="36"/>
      <c r="O43" s="14"/>
      <c r="P43" s="14"/>
    </row>
    <row r="44" spans="1:16" ht="12.75" customHeight="1" x14ac:dyDescent="0.2">
      <c r="A44">
        <f>+MAX($A$1:A43)+1</f>
        <v>23</v>
      </c>
      <c r="B44" s="65" t="s">
        <v>617</v>
      </c>
      <c r="C44" t="s">
        <v>492</v>
      </c>
      <c r="D44" t="s">
        <v>341</v>
      </c>
      <c r="E44" s="28">
        <v>400</v>
      </c>
      <c r="F44" s="13">
        <v>4250.9719999999998</v>
      </c>
      <c r="G44" s="14">
        <f>+ROUND(F44/VLOOKUP("Grand Total",$B$4:$F$277,5,0),4)</f>
        <v>8.6099999999999996E-2</v>
      </c>
      <c r="H44" s="15">
        <v>43321</v>
      </c>
      <c r="I44" s="99"/>
      <c r="J44" s="14"/>
      <c r="N44" s="36"/>
      <c r="O44" s="14"/>
      <c r="P44" s="14"/>
    </row>
    <row r="45" spans="1:16" ht="12.75" customHeight="1" x14ac:dyDescent="0.2">
      <c r="B45" s="18" t="s">
        <v>83</v>
      </c>
      <c r="C45" s="18"/>
      <c r="D45" s="18"/>
      <c r="E45" s="29"/>
      <c r="F45" s="19">
        <f>SUM(F44:F44)</f>
        <v>4250.9719999999998</v>
      </c>
      <c r="G45" s="20">
        <f>SUM(G44:G44)</f>
        <v>8.6099999999999996E-2</v>
      </c>
      <c r="H45" s="21"/>
      <c r="L45" s="54"/>
      <c r="M45" s="14"/>
      <c r="N45" s="36"/>
      <c r="O45" s="14"/>
      <c r="P45" s="14"/>
    </row>
    <row r="46" spans="1:16" ht="12.75" customHeight="1" x14ac:dyDescent="0.2">
      <c r="F46" s="13"/>
      <c r="G46" s="14"/>
      <c r="H46" s="15"/>
      <c r="M46" s="90"/>
      <c r="N46" s="36"/>
      <c r="O46" s="14"/>
      <c r="P46" s="14"/>
    </row>
    <row r="47" spans="1:16" ht="12.75" customHeight="1" x14ac:dyDescent="0.2">
      <c r="A47" s="95" t="s">
        <v>345</v>
      </c>
      <c r="B47" s="16" t="s">
        <v>91</v>
      </c>
      <c r="C47" s="16"/>
      <c r="F47" s="13">
        <v>522.84769240000003</v>
      </c>
      <c r="G47" s="14">
        <f>+ROUND(F47/VLOOKUP("Grand Total",$B$4:$F$277,5,0),4)</f>
        <v>1.06E-2</v>
      </c>
      <c r="H47" s="15">
        <v>43222</v>
      </c>
      <c r="I47" s="99"/>
      <c r="J47" s="52"/>
      <c r="K47"/>
    </row>
    <row r="48" spans="1:16" ht="12.75" customHeight="1" x14ac:dyDescent="0.2">
      <c r="B48" s="18" t="s">
        <v>83</v>
      </c>
      <c r="C48" s="18"/>
      <c r="D48" s="18"/>
      <c r="E48" s="29"/>
      <c r="F48" s="19">
        <f>SUM(F47)</f>
        <v>522.84769240000003</v>
      </c>
      <c r="G48" s="20">
        <f>SUM(G47)</f>
        <v>1.06E-2</v>
      </c>
      <c r="H48" s="21"/>
      <c r="K48"/>
    </row>
    <row r="49" spans="2:11" ht="12.75" customHeight="1" x14ac:dyDescent="0.2">
      <c r="F49" s="13"/>
      <c r="G49" s="14"/>
      <c r="H49" s="15"/>
      <c r="K49"/>
    </row>
    <row r="50" spans="2:11" ht="12.75" customHeight="1" x14ac:dyDescent="0.2">
      <c r="B50" s="16" t="s">
        <v>92</v>
      </c>
      <c r="C50" s="16"/>
      <c r="F50" s="13"/>
      <c r="G50" s="14"/>
      <c r="H50" s="15"/>
      <c r="I50" s="35"/>
      <c r="K50"/>
    </row>
    <row r="51" spans="2:11" ht="12.75" customHeight="1" x14ac:dyDescent="0.2">
      <c r="B51" s="16" t="s">
        <v>93</v>
      </c>
      <c r="C51" s="16"/>
      <c r="F51" s="13">
        <v>1258.9136069999877</v>
      </c>
      <c r="G51" s="14">
        <f>+ROUND(F51/VLOOKUP("Grand Total",$B$4:$F$277,5,0),4)-0.02%</f>
        <v>2.53E-2</v>
      </c>
      <c r="H51" s="15"/>
      <c r="K51"/>
    </row>
    <row r="52" spans="2:11" ht="12.75" customHeight="1" x14ac:dyDescent="0.2">
      <c r="B52" s="18" t="s">
        <v>83</v>
      </c>
      <c r="C52" s="18"/>
      <c r="D52" s="18"/>
      <c r="E52" s="29"/>
      <c r="F52" s="19">
        <f>SUM(F51)</f>
        <v>1258.9136069999877</v>
      </c>
      <c r="G52" s="20">
        <f>SUM(G51)</f>
        <v>2.53E-2</v>
      </c>
      <c r="H52" s="21"/>
      <c r="K52"/>
    </row>
    <row r="53" spans="2:11" ht="12.75" customHeight="1" x14ac:dyDescent="0.2">
      <c r="B53" s="22" t="s">
        <v>94</v>
      </c>
      <c r="C53" s="22"/>
      <c r="D53" s="22"/>
      <c r="E53" s="30"/>
      <c r="F53" s="23">
        <f>+SUMIF($B$5:B52,"Total",$F$5:F52)</f>
        <v>49383.712760799986</v>
      </c>
      <c r="G53" s="24">
        <f>+SUMIF($B$5:B52,"Total",$G$5:G52)</f>
        <v>1</v>
      </c>
      <c r="H53" s="25"/>
      <c r="K53"/>
    </row>
    <row r="54" spans="2:11" ht="12.75" customHeight="1" x14ac:dyDescent="0.2">
      <c r="I54" s="35"/>
      <c r="K54"/>
    </row>
    <row r="55" spans="2:11" ht="12.75" customHeight="1" x14ac:dyDescent="0.2">
      <c r="B55" s="16" t="s">
        <v>565</v>
      </c>
      <c r="C55" s="16"/>
      <c r="F55" s="42"/>
      <c r="I55" s="35"/>
      <c r="K55"/>
    </row>
    <row r="56" spans="2:11" ht="12.75" customHeight="1" x14ac:dyDescent="0.2">
      <c r="B56" s="16" t="s">
        <v>181</v>
      </c>
      <c r="C56" s="16"/>
      <c r="F56" s="42"/>
      <c r="K56"/>
    </row>
    <row r="57" spans="2:11" ht="12.75" customHeight="1" x14ac:dyDescent="0.2">
      <c r="B57" s="16" t="s">
        <v>737</v>
      </c>
      <c r="C57" s="16"/>
      <c r="K57"/>
    </row>
    <row r="58" spans="2:11" ht="12.75" customHeight="1" x14ac:dyDescent="0.2">
      <c r="K58"/>
    </row>
    <row r="59" spans="2:11" ht="12.75" customHeight="1" x14ac:dyDescent="0.2">
      <c r="K59"/>
    </row>
    <row r="60" spans="2:11" ht="12.75" customHeight="1" x14ac:dyDescent="0.2">
      <c r="K60"/>
    </row>
    <row r="61" spans="2:11" ht="12.75" customHeight="1" x14ac:dyDescent="0.2">
      <c r="K61"/>
    </row>
    <row r="62" spans="2:11" ht="12.75" customHeight="1" x14ac:dyDescent="0.2">
      <c r="E62"/>
      <c r="I62"/>
      <c r="K62"/>
    </row>
    <row r="63" spans="2:11" ht="12.75" customHeight="1" x14ac:dyDescent="0.2">
      <c r="E63"/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x14ac:dyDescent="0.2">
      <c r="E96"/>
      <c r="I96"/>
      <c r="K96"/>
    </row>
    <row r="97" spans="5:11" x14ac:dyDescent="0.2">
      <c r="E97"/>
      <c r="I97"/>
      <c r="K97"/>
    </row>
    <row r="98" spans="5:11" x14ac:dyDescent="0.2">
      <c r="E98"/>
      <c r="I98"/>
      <c r="K98"/>
    </row>
  </sheetData>
  <sheetProtection password="EDB3" sheet="1" objects="1" scenarios="1"/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356</v>
      </c>
      <c r="B1" s="128" t="s">
        <v>311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89</v>
      </c>
      <c r="C7" s="16"/>
      <c r="F7" s="13"/>
      <c r="G7" s="14"/>
      <c r="H7" s="15"/>
    </row>
    <row r="8" spans="1:16" ht="12.75" customHeight="1" x14ac:dyDescent="0.2">
      <c r="B8" s="16" t="s">
        <v>290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s="65" t="s">
        <v>512</v>
      </c>
      <c r="C9" t="s">
        <v>611</v>
      </c>
      <c r="D9" t="s">
        <v>513</v>
      </c>
      <c r="E9" s="28">
        <v>100</v>
      </c>
      <c r="F9" s="13">
        <v>492.55450000000002</v>
      </c>
      <c r="G9" s="14">
        <f>+ROUND(F9/VLOOKUP("Grand Total",$B$4:$F$305,5,0),4)</f>
        <v>5.6800000000000003E-2</v>
      </c>
      <c r="H9" s="15">
        <v>43272</v>
      </c>
      <c r="I9" s="64"/>
      <c r="J9" s="14" t="s">
        <v>106</v>
      </c>
      <c r="K9" s="48">
        <f t="shared" ref="K9:K20" si="0">SUMIFS($G$5:$G$328,$D$5:$D$328,J9)</f>
        <v>0.27420000000000005</v>
      </c>
    </row>
    <row r="10" spans="1:16" ht="12.75" customHeight="1" x14ac:dyDescent="0.2">
      <c r="A10">
        <f>+MAX($A$8:A9)+1</f>
        <v>2</v>
      </c>
      <c r="B10" s="1" t="s">
        <v>275</v>
      </c>
      <c r="C10" t="s">
        <v>510</v>
      </c>
      <c r="D10" t="s">
        <v>520</v>
      </c>
      <c r="E10" s="28">
        <v>80</v>
      </c>
      <c r="F10" s="13">
        <v>387.78559999999999</v>
      </c>
      <c r="G10" s="14">
        <f>+ROUND(F10/VLOOKUP("Grand Total",$B$4:$F$305,5,0),4)</f>
        <v>4.4699999999999997E-2</v>
      </c>
      <c r="H10" s="15">
        <v>43350</v>
      </c>
      <c r="I10" s="64"/>
      <c r="J10" s="14" t="s">
        <v>338</v>
      </c>
      <c r="K10" s="48">
        <f t="shared" si="0"/>
        <v>9.3600000000000003E-2</v>
      </c>
    </row>
    <row r="11" spans="1:16" ht="12.75" customHeight="1" x14ac:dyDescent="0.2">
      <c r="A11">
        <f>+MAX($A$8:A10)+1</f>
        <v>3</v>
      </c>
      <c r="B11" s="1" t="s">
        <v>275</v>
      </c>
      <c r="C11" t="s">
        <v>539</v>
      </c>
      <c r="D11" t="s">
        <v>520</v>
      </c>
      <c r="E11" s="28">
        <v>80</v>
      </c>
      <c r="F11" s="13">
        <v>380.89960000000002</v>
      </c>
      <c r="G11" s="14">
        <f>+ROUND(F11/VLOOKUP("Grand Total",$B$4:$F$305,5,0),4)</f>
        <v>4.3900000000000002E-2</v>
      </c>
      <c r="H11" s="15">
        <v>43426</v>
      </c>
      <c r="I11" s="64"/>
      <c r="J11" s="14" t="s">
        <v>619</v>
      </c>
      <c r="K11" s="48">
        <f t="shared" si="0"/>
        <v>9.3100000000000002E-2</v>
      </c>
    </row>
    <row r="12" spans="1:16" ht="12.75" customHeight="1" x14ac:dyDescent="0.2">
      <c r="A12">
        <f>+MAX($A$8:A11)+1</f>
        <v>4</v>
      </c>
      <c r="B12" s="1" t="s">
        <v>512</v>
      </c>
      <c r="C12" t="s">
        <v>595</v>
      </c>
      <c r="D12" t="s">
        <v>513</v>
      </c>
      <c r="E12" s="28">
        <v>60</v>
      </c>
      <c r="F12" s="13">
        <v>297.68340000000001</v>
      </c>
      <c r="G12" s="14">
        <f>+ROUND(F12/VLOOKUP("Grand Total",$B$4:$F$305,5,0),4)</f>
        <v>3.4299999999999997E-2</v>
      </c>
      <c r="H12" s="15">
        <v>43245</v>
      </c>
      <c r="I12" s="64"/>
      <c r="J12" s="14" t="s">
        <v>513</v>
      </c>
      <c r="K12" s="48">
        <f t="shared" si="0"/>
        <v>9.11E-2</v>
      </c>
    </row>
    <row r="13" spans="1:16" ht="12.75" customHeight="1" x14ac:dyDescent="0.2">
      <c r="B13" s="18" t="s">
        <v>83</v>
      </c>
      <c r="C13" s="18"/>
      <c r="D13" s="18"/>
      <c r="E13" s="29"/>
      <c r="F13" s="19">
        <f>SUM(F9:F12)</f>
        <v>1558.9231</v>
      </c>
      <c r="G13" s="20">
        <f>SUM(G9:G12)</f>
        <v>0.1797</v>
      </c>
      <c r="H13" s="21"/>
      <c r="J13" t="s">
        <v>520</v>
      </c>
      <c r="K13" s="48">
        <f t="shared" si="0"/>
        <v>8.8599999999999998E-2</v>
      </c>
      <c r="M13" s="14"/>
      <c r="N13" s="36"/>
      <c r="P13" s="14"/>
    </row>
    <row r="14" spans="1:16" ht="12.75" customHeight="1" x14ac:dyDescent="0.2">
      <c r="B14" s="16"/>
      <c r="C14" s="16"/>
      <c r="F14" s="13"/>
      <c r="G14" s="14"/>
      <c r="H14" s="15"/>
      <c r="J14" t="s">
        <v>276</v>
      </c>
      <c r="K14" s="48">
        <f t="shared" si="0"/>
        <v>8.5900000000000004E-2</v>
      </c>
    </row>
    <row r="15" spans="1:16" ht="12.75" customHeight="1" x14ac:dyDescent="0.2">
      <c r="B15" s="16" t="s">
        <v>164</v>
      </c>
      <c r="C15" s="16"/>
      <c r="F15" s="13"/>
      <c r="G15" s="14"/>
      <c r="H15" s="15"/>
      <c r="J15" s="81" t="s">
        <v>563</v>
      </c>
      <c r="K15" s="48">
        <f t="shared" si="0"/>
        <v>7.0499999999999993E-2</v>
      </c>
    </row>
    <row r="16" spans="1:16" ht="12.75" customHeight="1" x14ac:dyDescent="0.2">
      <c r="A16">
        <f>+MAX($A$8:A15)+1</f>
        <v>5</v>
      </c>
      <c r="B16" s="65" t="s">
        <v>523</v>
      </c>
      <c r="C16" t="s">
        <v>605</v>
      </c>
      <c r="D16" t="s">
        <v>378</v>
      </c>
      <c r="E16" s="28">
        <v>15000</v>
      </c>
      <c r="F16" s="13">
        <v>14.902335000000001</v>
      </c>
      <c r="G16" s="14">
        <f>+ROUND(F16/VLOOKUP("Grand Total",$B$4:$F$305,5,0),4)</f>
        <v>1.6999999999999999E-3</v>
      </c>
      <c r="H16" s="15">
        <v>43258</v>
      </c>
      <c r="I16" s="64"/>
      <c r="J16" s="14" t="s">
        <v>341</v>
      </c>
      <c r="K16" s="48">
        <f t="shared" si="0"/>
        <v>6.1199999999999997E-2</v>
      </c>
    </row>
    <row r="17" spans="1:16" ht="12.75" customHeight="1" x14ac:dyDescent="0.2">
      <c r="B17" s="18" t="s">
        <v>83</v>
      </c>
      <c r="C17" s="18"/>
      <c r="D17" s="18"/>
      <c r="E17" s="29"/>
      <c r="F17" s="19">
        <f>SUM(F16:F16)</f>
        <v>14.902335000000001</v>
      </c>
      <c r="G17" s="20">
        <f>SUM(G16:G16)</f>
        <v>1.6999999999999999E-3</v>
      </c>
      <c r="H17" s="21"/>
      <c r="J17" t="s">
        <v>623</v>
      </c>
      <c r="K17" s="48">
        <f t="shared" si="0"/>
        <v>4.58E-2</v>
      </c>
      <c r="M17" s="14"/>
      <c r="N17" s="36"/>
      <c r="P17" s="14"/>
    </row>
    <row r="18" spans="1:16" ht="12.75" customHeight="1" x14ac:dyDescent="0.2">
      <c r="B18" s="16"/>
      <c r="C18" s="16"/>
      <c r="F18" s="13"/>
      <c r="G18" s="14"/>
      <c r="H18" s="15"/>
      <c r="J18" s="14" t="s">
        <v>489</v>
      </c>
      <c r="K18" s="48">
        <f t="shared" si="0"/>
        <v>1.1599999999999999E-2</v>
      </c>
    </row>
    <row r="19" spans="1:16" ht="12.75" customHeight="1" x14ac:dyDescent="0.2">
      <c r="B19" s="16" t="s">
        <v>122</v>
      </c>
      <c r="C19" s="16"/>
      <c r="F19" s="13"/>
      <c r="G19" s="14"/>
      <c r="H19" s="15"/>
      <c r="I19" s="35"/>
      <c r="J19" s="14" t="s">
        <v>166</v>
      </c>
      <c r="K19" s="48">
        <f t="shared" si="0"/>
        <v>1.15E-2</v>
      </c>
      <c r="N19" s="36"/>
      <c r="P19" s="14"/>
    </row>
    <row r="20" spans="1:16" ht="12.75" customHeight="1" x14ac:dyDescent="0.2">
      <c r="B20" s="31" t="s">
        <v>381</v>
      </c>
      <c r="C20" s="16"/>
      <c r="F20" s="13"/>
      <c r="G20" s="14"/>
      <c r="H20" s="15"/>
      <c r="J20" s="14" t="s">
        <v>378</v>
      </c>
      <c r="K20" s="48">
        <f t="shared" si="0"/>
        <v>1.6999999999999999E-3</v>
      </c>
      <c r="M20" s="14"/>
      <c r="N20" s="36"/>
      <c r="P20" s="14"/>
    </row>
    <row r="21" spans="1:16" ht="12.75" customHeight="1" x14ac:dyDescent="0.2">
      <c r="A21">
        <f>+MAX($A$8:A20)+1</f>
        <v>6</v>
      </c>
      <c r="B21" s="65" t="s">
        <v>707</v>
      </c>
      <c r="C21" s="1" t="s">
        <v>618</v>
      </c>
      <c r="D21" t="s">
        <v>619</v>
      </c>
      <c r="E21" s="28">
        <v>800</v>
      </c>
      <c r="F21" s="13">
        <v>808.07119999999998</v>
      </c>
      <c r="G21" s="14">
        <f t="shared" ref="G21:G34" si="1">+ROUND(F21/VLOOKUP("Grand Total",$B$4:$F$298,5,0),4)</f>
        <v>9.3100000000000002E-2</v>
      </c>
      <c r="H21" s="15">
        <v>43766</v>
      </c>
      <c r="I21" s="64"/>
      <c r="J21" s="14" t="s">
        <v>62</v>
      </c>
      <c r="K21" s="48">
        <f>+SUMIFS($G$5:$G$998,$B$5:$B$998,"CBLO / Reverse Repo Investments")+SUMIFS($G$5:$G$998,$B$5:$B$998,"Net Receivable/Payable")</f>
        <v>7.1199999999999999E-2</v>
      </c>
      <c r="L21" s="54"/>
      <c r="M21" s="14"/>
    </row>
    <row r="22" spans="1:16" s="1" customFormat="1" ht="12.75" customHeight="1" x14ac:dyDescent="0.2">
      <c r="A22">
        <f>+MAX($A$8:A21)+1</f>
        <v>7</v>
      </c>
      <c r="B22" s="1" t="s">
        <v>705</v>
      </c>
      <c r="C22" s="1" t="s">
        <v>576</v>
      </c>
      <c r="D22" s="1" t="s">
        <v>563</v>
      </c>
      <c r="E22" s="57">
        <v>70</v>
      </c>
      <c r="F22" s="58">
        <v>611.97709999999995</v>
      </c>
      <c r="G22" s="14">
        <f t="shared" si="1"/>
        <v>7.0499999999999993E-2</v>
      </c>
      <c r="H22" s="60">
        <v>43826</v>
      </c>
      <c r="I22" s="64"/>
      <c r="J22" s="14"/>
      <c r="K22" s="36"/>
      <c r="L22" s="54"/>
      <c r="M22" s="14"/>
      <c r="N22" s="61"/>
      <c r="P22" s="59"/>
    </row>
    <row r="23" spans="1:16" s="1" customFormat="1" ht="12.75" customHeight="1" x14ac:dyDescent="0.2">
      <c r="A23">
        <f>+MAX($A$8:A22)+1</f>
        <v>8</v>
      </c>
      <c r="B23" s="1" t="s">
        <v>698</v>
      </c>
      <c r="C23" s="1" t="s">
        <v>446</v>
      </c>
      <c r="D23" s="1" t="s">
        <v>276</v>
      </c>
      <c r="E23" s="57">
        <v>55</v>
      </c>
      <c r="F23" s="58">
        <v>546.80615</v>
      </c>
      <c r="G23" s="14">
        <f t="shared" si="1"/>
        <v>6.3E-2</v>
      </c>
      <c r="H23" s="60">
        <v>43630</v>
      </c>
      <c r="I23" s="64"/>
      <c r="J23"/>
      <c r="K23" s="36"/>
      <c r="M23" s="59"/>
      <c r="N23" s="61"/>
      <c r="P23" s="59"/>
    </row>
    <row r="24" spans="1:16" s="1" customFormat="1" ht="12.75" customHeight="1" x14ac:dyDescent="0.2">
      <c r="A24">
        <f>+MAX($A$8:A23)+1</f>
        <v>9</v>
      </c>
      <c r="B24" s="65" t="s">
        <v>701</v>
      </c>
      <c r="C24" s="1" t="s">
        <v>390</v>
      </c>
      <c r="D24" s="1" t="s">
        <v>338</v>
      </c>
      <c r="E24" s="57">
        <v>51000</v>
      </c>
      <c r="F24" s="58">
        <v>511.36425000000003</v>
      </c>
      <c r="G24" s="14">
        <f t="shared" si="1"/>
        <v>5.8900000000000001E-2</v>
      </c>
      <c r="H24" s="60">
        <v>43717</v>
      </c>
      <c r="I24" s="64"/>
      <c r="N24" s="61"/>
      <c r="P24" s="59"/>
    </row>
    <row r="25" spans="1:16" s="1" customFormat="1" ht="12.75" customHeight="1" x14ac:dyDescent="0.2">
      <c r="A25">
        <f>+MAX($A$8:A24)+1</f>
        <v>10</v>
      </c>
      <c r="B25" s="65" t="s">
        <v>708</v>
      </c>
      <c r="C25" s="1" t="s">
        <v>554</v>
      </c>
      <c r="D25" s="1" t="s">
        <v>106</v>
      </c>
      <c r="E25" s="57">
        <v>50</v>
      </c>
      <c r="F25" s="58">
        <v>500.25049999999999</v>
      </c>
      <c r="G25" s="14">
        <f t="shared" si="1"/>
        <v>5.7700000000000001E-2</v>
      </c>
      <c r="H25" s="60">
        <v>43584</v>
      </c>
      <c r="I25" s="64"/>
      <c r="N25" s="61"/>
      <c r="P25" s="59"/>
    </row>
    <row r="26" spans="1:16" s="1" customFormat="1" ht="12.75" customHeight="1" x14ac:dyDescent="0.2">
      <c r="A26">
        <f>+MAX($A$8:A25)+1</f>
        <v>11</v>
      </c>
      <c r="B26" s="65" t="s">
        <v>620</v>
      </c>
      <c r="C26" s="1" t="s">
        <v>514</v>
      </c>
      <c r="D26" s="1" t="s">
        <v>106</v>
      </c>
      <c r="E26" s="57">
        <v>50</v>
      </c>
      <c r="F26" s="58">
        <v>488.51850000000002</v>
      </c>
      <c r="G26" s="14">
        <f t="shared" si="1"/>
        <v>5.6300000000000003E-2</v>
      </c>
      <c r="H26" s="60">
        <v>44104</v>
      </c>
      <c r="I26" s="64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709</v>
      </c>
      <c r="C27" s="1" t="s">
        <v>596</v>
      </c>
      <c r="D27" s="1" t="s">
        <v>106</v>
      </c>
      <c r="E27" s="57">
        <v>50</v>
      </c>
      <c r="F27" s="58">
        <v>486.2115</v>
      </c>
      <c r="G27" s="14">
        <f t="shared" si="1"/>
        <v>5.6000000000000001E-2</v>
      </c>
      <c r="H27" s="60">
        <v>44090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1" t="s">
        <v>710</v>
      </c>
      <c r="C28" s="1" t="s">
        <v>469</v>
      </c>
      <c r="D28" s="1" t="s">
        <v>106</v>
      </c>
      <c r="E28" s="57">
        <v>32</v>
      </c>
      <c r="F28" s="58">
        <v>404.28039999999999</v>
      </c>
      <c r="G28" s="14">
        <f t="shared" si="1"/>
        <v>4.6600000000000003E-2</v>
      </c>
      <c r="H28" s="60">
        <v>43757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65" t="s">
        <v>665</v>
      </c>
      <c r="C29" s="1" t="s">
        <v>622</v>
      </c>
      <c r="D29" s="1" t="s">
        <v>623</v>
      </c>
      <c r="E29" s="57">
        <v>40</v>
      </c>
      <c r="F29" s="58">
        <v>397.43680000000001</v>
      </c>
      <c r="G29" s="14">
        <f t="shared" si="1"/>
        <v>4.58E-2</v>
      </c>
      <c r="H29" s="60">
        <v>45097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65" t="s">
        <v>711</v>
      </c>
      <c r="C30" s="1" t="s">
        <v>490</v>
      </c>
      <c r="D30" s="1" t="s">
        <v>338</v>
      </c>
      <c r="E30" s="57">
        <v>30000</v>
      </c>
      <c r="F30" s="58">
        <v>300.98700000000002</v>
      </c>
      <c r="G30" s="14">
        <f t="shared" si="1"/>
        <v>3.4700000000000002E-2</v>
      </c>
      <c r="H30" s="60">
        <v>43717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65" t="s">
        <v>712</v>
      </c>
      <c r="C31" s="1" t="s">
        <v>472</v>
      </c>
      <c r="D31" s="1" t="s">
        <v>106</v>
      </c>
      <c r="E31" s="57">
        <v>30</v>
      </c>
      <c r="F31" s="58">
        <v>295.79219999999998</v>
      </c>
      <c r="G31" s="14">
        <f t="shared" si="1"/>
        <v>3.4099999999999998E-2</v>
      </c>
      <c r="H31" s="60">
        <v>44091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713</v>
      </c>
      <c r="C32" s="1" t="s">
        <v>577</v>
      </c>
      <c r="D32" s="1" t="s">
        <v>276</v>
      </c>
      <c r="E32" s="57">
        <v>20</v>
      </c>
      <c r="F32" s="58">
        <v>198.74619999999999</v>
      </c>
      <c r="G32" s="14">
        <f t="shared" si="1"/>
        <v>2.29E-2</v>
      </c>
      <c r="H32" s="60">
        <v>43643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1" t="s">
        <v>714</v>
      </c>
      <c r="C33" s="1" t="s">
        <v>540</v>
      </c>
      <c r="D33" s="1" t="s">
        <v>106</v>
      </c>
      <c r="E33" s="57">
        <v>10</v>
      </c>
      <c r="F33" s="58">
        <v>103.5125</v>
      </c>
      <c r="G33" s="14">
        <f t="shared" si="1"/>
        <v>1.1900000000000001E-2</v>
      </c>
      <c r="H33" s="60">
        <v>44418</v>
      </c>
      <c r="I33" s="64"/>
      <c r="N33" s="61"/>
      <c r="P33" s="59"/>
    </row>
    <row r="34" spans="1:16" s="1" customFormat="1" ht="12.75" customHeight="1" x14ac:dyDescent="0.2">
      <c r="A34">
        <f>+MAX($A$8:A33)+1</f>
        <v>19</v>
      </c>
      <c r="B34" s="1" t="s">
        <v>715</v>
      </c>
      <c r="C34" s="1" t="s">
        <v>555</v>
      </c>
      <c r="D34" s="1" t="s">
        <v>106</v>
      </c>
      <c r="E34" s="57">
        <v>10</v>
      </c>
      <c r="F34" s="58">
        <v>100.6161</v>
      </c>
      <c r="G34" s="14">
        <f t="shared" si="1"/>
        <v>1.1599999999999999E-2</v>
      </c>
      <c r="H34" s="60">
        <v>43480</v>
      </c>
      <c r="I34" s="64"/>
      <c r="N34" s="61"/>
      <c r="P34" s="59"/>
    </row>
    <row r="35" spans="1:16" s="1" customFormat="1" ht="12.75" customHeight="1" x14ac:dyDescent="0.2">
      <c r="A35">
        <f>+MAX($A$8:A34)+1</f>
        <v>20</v>
      </c>
      <c r="B35" s="1" t="s">
        <v>702</v>
      </c>
      <c r="C35" s="1" t="s">
        <v>329</v>
      </c>
      <c r="D35" s="1" t="s">
        <v>489</v>
      </c>
      <c r="E35" s="57">
        <v>10</v>
      </c>
      <c r="F35" s="58">
        <v>100.3635</v>
      </c>
      <c r="G35" s="14">
        <f t="shared" ref="G35:G36" si="2">+ROUND(F35/VLOOKUP("Grand Total",$B$4:$F$298,5,0),4)</f>
        <v>1.1599999999999999E-2</v>
      </c>
      <c r="H35" s="60">
        <v>43309</v>
      </c>
      <c r="I35" s="64"/>
      <c r="N35" s="61"/>
      <c r="P35" s="59"/>
    </row>
    <row r="36" spans="1:16" s="1" customFormat="1" ht="12.75" customHeight="1" x14ac:dyDescent="0.2">
      <c r="A36">
        <f>+MAX($A$8:A35)+1</f>
        <v>21</v>
      </c>
      <c r="B36" s="1" t="s">
        <v>716</v>
      </c>
      <c r="C36" s="1" t="s">
        <v>167</v>
      </c>
      <c r="D36" s="1" t="s">
        <v>166</v>
      </c>
      <c r="E36" s="57">
        <v>10</v>
      </c>
      <c r="F36" s="58">
        <v>100.18770000000001</v>
      </c>
      <c r="G36" s="14">
        <f t="shared" si="2"/>
        <v>1.15E-2</v>
      </c>
      <c r="H36" s="60">
        <v>43259</v>
      </c>
      <c r="I36" s="64"/>
      <c r="N36" s="61"/>
      <c r="P36" s="59"/>
    </row>
    <row r="37" spans="1:16" ht="12.75" customHeight="1" x14ac:dyDescent="0.2">
      <c r="B37" s="18" t="s">
        <v>83</v>
      </c>
      <c r="C37" s="18"/>
      <c r="D37" s="18"/>
      <c r="E37" s="29"/>
      <c r="F37" s="19">
        <f>SUM(F21:F36)</f>
        <v>5955.1216000000004</v>
      </c>
      <c r="G37" s="20">
        <f>SUM(G21:G36)</f>
        <v>0.68620000000000003</v>
      </c>
      <c r="H37" s="21"/>
      <c r="I37" s="35"/>
    </row>
    <row r="38" spans="1:16" s="46" customFormat="1" ht="12.75" customHeight="1" x14ac:dyDescent="0.2">
      <c r="B38" s="67"/>
      <c r="C38" s="67"/>
      <c r="D38" s="67"/>
      <c r="E38" s="68"/>
      <c r="F38" s="69"/>
      <c r="G38" s="70"/>
      <c r="H38" s="71"/>
      <c r="I38" s="71"/>
      <c r="K38" s="48"/>
    </row>
    <row r="39" spans="1:16" ht="12.75" customHeight="1" x14ac:dyDescent="0.2">
      <c r="B39" s="16" t="s">
        <v>696</v>
      </c>
      <c r="C39" s="16"/>
      <c r="F39" s="13"/>
      <c r="G39" s="14"/>
      <c r="H39" s="15"/>
      <c r="J39" s="17"/>
      <c r="K39" s="37"/>
    </row>
    <row r="40" spans="1:16" ht="12.75" customHeight="1" x14ac:dyDescent="0.2">
      <c r="A40">
        <f>+MAX($A$8:A39)+1</f>
        <v>22</v>
      </c>
      <c r="B40" s="65" t="s">
        <v>617</v>
      </c>
      <c r="C40" t="s">
        <v>492</v>
      </c>
      <c r="D40" t="s">
        <v>341</v>
      </c>
      <c r="E40" s="28">
        <v>50</v>
      </c>
      <c r="F40" s="13">
        <v>531.37149999999997</v>
      </c>
      <c r="G40" s="14">
        <f>+ROUND(F40/VLOOKUP("Grand Total",$B$4:$F$305,5,0),4)</f>
        <v>6.1199999999999997E-2</v>
      </c>
      <c r="H40" s="15">
        <v>43321</v>
      </c>
      <c r="I40" s="64"/>
      <c r="J40" s="14"/>
      <c r="K40" s="48"/>
    </row>
    <row r="41" spans="1:16" ht="12.75" customHeight="1" x14ac:dyDescent="0.2">
      <c r="B41" s="18" t="s">
        <v>83</v>
      </c>
      <c r="C41" s="18"/>
      <c r="D41" s="18"/>
      <c r="E41" s="29"/>
      <c r="F41" s="19">
        <f>SUM(F40:F40)</f>
        <v>531.37149999999997</v>
      </c>
      <c r="G41" s="20">
        <f>SUM(G40:G40)</f>
        <v>6.1199999999999997E-2</v>
      </c>
      <c r="H41" s="21"/>
      <c r="K41" s="48"/>
      <c r="M41" s="14"/>
      <c r="N41" s="36"/>
      <c r="P41" s="14"/>
    </row>
    <row r="42" spans="1:16" s="46" customFormat="1" ht="12.75" customHeight="1" x14ac:dyDescent="0.2">
      <c r="B42" s="67"/>
      <c r="C42" s="67"/>
      <c r="D42" s="67"/>
      <c r="E42" s="68"/>
      <c r="F42" s="69"/>
      <c r="G42" s="70"/>
      <c r="H42" s="71"/>
      <c r="I42" s="71"/>
      <c r="K42" s="48"/>
    </row>
    <row r="43" spans="1:16" ht="12.75" customHeight="1" x14ac:dyDescent="0.2">
      <c r="A43" s="95" t="s">
        <v>345</v>
      </c>
      <c r="B43" s="16" t="s">
        <v>91</v>
      </c>
      <c r="C43" s="16"/>
      <c r="F43" s="13">
        <v>361.31102479999998</v>
      </c>
      <c r="G43" s="14">
        <f>+ROUND(F43/VLOOKUP("Grand Total",$B$4:$F$305,5,0),4)</f>
        <v>4.1599999999999998E-2</v>
      </c>
      <c r="H43" s="15">
        <v>43222</v>
      </c>
    </row>
    <row r="44" spans="1:16" ht="12.75" customHeight="1" x14ac:dyDescent="0.2">
      <c r="B44" s="18" t="s">
        <v>83</v>
      </c>
      <c r="C44" s="18"/>
      <c r="D44" s="18"/>
      <c r="E44" s="29"/>
      <c r="F44" s="19">
        <f>SUM(F43)</f>
        <v>361.31102479999998</v>
      </c>
      <c r="G44" s="20">
        <f>SUM(G43)</f>
        <v>4.1599999999999998E-2</v>
      </c>
      <c r="H44" s="21"/>
    </row>
    <row r="45" spans="1:16" ht="12.75" customHeight="1" x14ac:dyDescent="0.2">
      <c r="F45" s="13"/>
      <c r="G45" s="14"/>
      <c r="H45" s="15"/>
      <c r="I45" s="35"/>
    </row>
    <row r="46" spans="1:16" ht="12.75" customHeight="1" x14ac:dyDescent="0.2">
      <c r="B46" s="16" t="s">
        <v>92</v>
      </c>
      <c r="C46" s="16"/>
      <c r="F46" s="13"/>
      <c r="G46" s="14"/>
      <c r="H46" s="15"/>
    </row>
    <row r="47" spans="1:16" ht="12.75" customHeight="1" x14ac:dyDescent="0.2">
      <c r="B47" s="16" t="s">
        <v>93</v>
      </c>
      <c r="C47" s="16"/>
      <c r="F47" s="13">
        <v>255.19525799999974</v>
      </c>
      <c r="G47" s="14">
        <f>+ROUND(F47/VLOOKUP("Grand Total",$B$4:$F$305,5,0),4)+0.02%</f>
        <v>2.9599999999999998E-2</v>
      </c>
      <c r="H47" s="15"/>
    </row>
    <row r="48" spans="1:16" ht="12.75" customHeight="1" x14ac:dyDescent="0.2">
      <c r="B48" s="18" t="s">
        <v>83</v>
      </c>
      <c r="C48" s="18"/>
      <c r="D48" s="18"/>
      <c r="E48" s="29"/>
      <c r="F48" s="19">
        <f>SUM(F47)</f>
        <v>255.19525799999974</v>
      </c>
      <c r="G48" s="20">
        <f>SUM(G47)</f>
        <v>2.9599999999999998E-2</v>
      </c>
      <c r="H48" s="21"/>
      <c r="I48" s="35"/>
    </row>
    <row r="49" spans="2:9" ht="12.75" customHeight="1" x14ac:dyDescent="0.2">
      <c r="B49" s="22" t="s">
        <v>94</v>
      </c>
      <c r="C49" s="22"/>
      <c r="D49" s="22"/>
      <c r="E49" s="30"/>
      <c r="F49" s="23">
        <f>+SUMIF($B$5:B48,"Total",$F$5:F48)</f>
        <v>8676.8248177999994</v>
      </c>
      <c r="G49" s="24">
        <f>+SUMIF($B$5:B48,"Total",$G$5:G48)</f>
        <v>1</v>
      </c>
      <c r="H49" s="25"/>
    </row>
    <row r="50" spans="2:9" ht="12.75" customHeight="1" x14ac:dyDescent="0.2"/>
    <row r="51" spans="2:9" ht="12.75" customHeight="1" x14ac:dyDescent="0.2">
      <c r="B51" s="16" t="s">
        <v>565</v>
      </c>
      <c r="C51" s="16"/>
    </row>
    <row r="52" spans="2:9" ht="12.75" customHeight="1" x14ac:dyDescent="0.2">
      <c r="B52" s="16" t="s">
        <v>181</v>
      </c>
      <c r="C52" s="16"/>
      <c r="I52" s="35"/>
    </row>
    <row r="53" spans="2:9" ht="12.75" customHeight="1" x14ac:dyDescent="0.2">
      <c r="B53" s="16" t="s">
        <v>734</v>
      </c>
      <c r="C53" s="16"/>
      <c r="I53" s="35"/>
    </row>
    <row r="54" spans="2:9" ht="12.75" customHeight="1" x14ac:dyDescent="0.2">
      <c r="B54" s="16"/>
      <c r="C54" s="16"/>
    </row>
    <row r="55" spans="2:9" ht="12.75" customHeight="1" x14ac:dyDescent="0.2">
      <c r="B55" s="16"/>
      <c r="C55" s="16"/>
    </row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sheetProtection password="EDB3" sheet="1" objects="1" scenarios="1"/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6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357</v>
      </c>
      <c r="B1" s="128" t="s">
        <v>185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89</v>
      </c>
      <c r="F7" s="13"/>
      <c r="G7" s="14"/>
      <c r="H7" s="15"/>
      <c r="J7" s="17" t="s">
        <v>586</v>
      </c>
      <c r="K7" s="37" t="s">
        <v>11</v>
      </c>
    </row>
    <row r="8" spans="1:16" ht="12.75" customHeight="1" x14ac:dyDescent="0.2">
      <c r="B8" s="16" t="s">
        <v>290</v>
      </c>
      <c r="C8" s="16"/>
      <c r="F8" s="13"/>
      <c r="G8" s="14"/>
      <c r="H8" s="15"/>
      <c r="I8" s="64"/>
      <c r="J8" t="s">
        <v>106</v>
      </c>
      <c r="K8" s="48">
        <f t="shared" ref="K8:K14" si="0">SUMIFS($G$5:$G$328,$D$5:$D$328,J8)</f>
        <v>0.33220000000000005</v>
      </c>
      <c r="L8" s="54"/>
      <c r="M8" s="14"/>
      <c r="N8" s="36"/>
      <c r="P8" s="14"/>
    </row>
    <row r="9" spans="1:16" ht="12.75" customHeight="1" x14ac:dyDescent="0.2">
      <c r="A9">
        <f>+MAX($A$8:A8)+1</f>
        <v>1</v>
      </c>
      <c r="B9" s="1" t="s">
        <v>275</v>
      </c>
      <c r="C9" t="s">
        <v>510</v>
      </c>
      <c r="D9" t="s">
        <v>520</v>
      </c>
      <c r="E9" s="28">
        <v>100</v>
      </c>
      <c r="F9" s="13">
        <v>484.73200000000003</v>
      </c>
      <c r="G9" s="14">
        <f>+ROUND(F9/VLOOKUP("Grand Total",$B$4:$F$291,5,0),4)</f>
        <v>4.6800000000000001E-2</v>
      </c>
      <c r="H9" s="15">
        <v>43350</v>
      </c>
      <c r="I9" s="64"/>
      <c r="J9" s="81" t="s">
        <v>378</v>
      </c>
      <c r="K9" s="48">
        <f t="shared" si="0"/>
        <v>0.32180000000000003</v>
      </c>
    </row>
    <row r="10" spans="1:16" ht="12.75" customHeight="1" x14ac:dyDescent="0.2">
      <c r="B10" s="18" t="s">
        <v>83</v>
      </c>
      <c r="C10" s="18"/>
      <c r="D10" s="18"/>
      <c r="E10" s="29"/>
      <c r="F10" s="19">
        <f>SUM(F9:F9)</f>
        <v>484.73200000000003</v>
      </c>
      <c r="G10" s="20">
        <f>SUM(G9:G9)</f>
        <v>4.6800000000000001E-2</v>
      </c>
      <c r="H10" s="21"/>
      <c r="I10" s="64"/>
      <c r="J10" s="14" t="s">
        <v>338</v>
      </c>
      <c r="K10" s="48">
        <f t="shared" si="0"/>
        <v>6.7699999999999996E-2</v>
      </c>
    </row>
    <row r="11" spans="1:16" ht="12.75" customHeight="1" x14ac:dyDescent="0.2">
      <c r="F11" s="13"/>
      <c r="G11" s="14"/>
      <c r="H11" s="15"/>
      <c r="J11" s="90" t="s">
        <v>520</v>
      </c>
      <c r="K11" s="48">
        <f t="shared" si="0"/>
        <v>4.6800000000000001E-2</v>
      </c>
    </row>
    <row r="12" spans="1:16" ht="12.75" customHeight="1" x14ac:dyDescent="0.2">
      <c r="B12" s="16" t="s">
        <v>165</v>
      </c>
      <c r="C12" s="16"/>
      <c r="F12" s="13"/>
      <c r="G12" s="14"/>
      <c r="H12" s="15"/>
      <c r="I12" s="64"/>
      <c r="J12" t="s">
        <v>170</v>
      </c>
      <c r="K12" s="48">
        <f t="shared" si="0"/>
        <v>4.6800000000000001E-2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430</v>
      </c>
      <c r="C13" t="s">
        <v>431</v>
      </c>
      <c r="D13" t="s">
        <v>378</v>
      </c>
      <c r="E13" s="28">
        <v>1100000</v>
      </c>
      <c r="F13" s="13">
        <v>1060.2030999999999</v>
      </c>
      <c r="G13" s="14">
        <f>+ROUND(F13/VLOOKUP("Grand Total",$B$4:$F$291,5,0),4)</f>
        <v>0.1023</v>
      </c>
      <c r="H13" s="15">
        <v>44914</v>
      </c>
      <c r="I13" s="64"/>
      <c r="J13" t="s">
        <v>564</v>
      </c>
      <c r="K13" s="48">
        <f t="shared" si="0"/>
        <v>1.9300000000000001E-2</v>
      </c>
    </row>
    <row r="14" spans="1:16" ht="12.75" customHeight="1" x14ac:dyDescent="0.2">
      <c r="A14">
        <f>+MAX($A$8:A13)+1</f>
        <v>3</v>
      </c>
      <c r="B14" s="1" t="s">
        <v>624</v>
      </c>
      <c r="C14" t="s">
        <v>625</v>
      </c>
      <c r="D14" t="s">
        <v>378</v>
      </c>
      <c r="E14" s="28">
        <v>850000</v>
      </c>
      <c r="F14" s="13">
        <v>830.14655000000005</v>
      </c>
      <c r="G14" s="14">
        <f>+ROUND(F14/VLOOKUP("Grand Total",$B$4:$F$291,5,0),4)</f>
        <v>8.0100000000000005E-2</v>
      </c>
      <c r="H14" s="15">
        <v>45465</v>
      </c>
      <c r="I14" s="64"/>
      <c r="J14" s="14" t="s">
        <v>166</v>
      </c>
      <c r="K14" s="48">
        <f t="shared" si="0"/>
        <v>8.6999999999999994E-3</v>
      </c>
    </row>
    <row r="15" spans="1:16" ht="12.75" customHeight="1" x14ac:dyDescent="0.2">
      <c r="A15">
        <f>+MAX($A$8:A14)+1</f>
        <v>4</v>
      </c>
      <c r="B15" s="1" t="s">
        <v>443</v>
      </c>
      <c r="C15" t="s">
        <v>444</v>
      </c>
      <c r="D15" t="s">
        <v>378</v>
      </c>
      <c r="E15" s="28">
        <v>550000</v>
      </c>
      <c r="F15" s="13">
        <v>547.07619999999997</v>
      </c>
      <c r="G15" s="14">
        <f>+ROUND(F15/VLOOKUP("Grand Total",$B$4:$F$291,5,0),4)</f>
        <v>5.28E-2</v>
      </c>
      <c r="H15" s="15">
        <v>45275</v>
      </c>
      <c r="I15" s="64"/>
      <c r="J15" s="14" t="s">
        <v>62</v>
      </c>
      <c r="K15" s="48">
        <f>+SUMIFS($G$5:$G$998,$B$5:$B$998,"CBLO / Reverse Repo Investments")+SUMIFS($G$5:$G$998,$B$5:$B$998,"Net Receivable/Payable")</f>
        <v>0.15670000000000001</v>
      </c>
    </row>
    <row r="16" spans="1:16" ht="12.75" customHeight="1" x14ac:dyDescent="0.2">
      <c r="A16">
        <f>+MAX($A$8:A15)+1</f>
        <v>5</v>
      </c>
      <c r="B16" s="1" t="s">
        <v>668</v>
      </c>
      <c r="C16" t="s">
        <v>669</v>
      </c>
      <c r="D16" t="s">
        <v>378</v>
      </c>
      <c r="E16" s="28">
        <v>550000</v>
      </c>
      <c r="F16" s="13">
        <v>540.91565000000003</v>
      </c>
      <c r="G16" s="14">
        <f>+ROUND(F16/VLOOKUP("Grand Total",$B$4:$F$291,5,0),4)</f>
        <v>5.2200000000000003E-2</v>
      </c>
      <c r="H16" s="15">
        <v>45032</v>
      </c>
      <c r="I16" s="64"/>
      <c r="J16" s="14"/>
      <c r="K16" s="48"/>
    </row>
    <row r="17" spans="1:11" ht="12.75" customHeight="1" x14ac:dyDescent="0.2">
      <c r="A17">
        <f>+MAX($A$8:A16)+1</f>
        <v>6</v>
      </c>
      <c r="B17" s="1" t="s">
        <v>670</v>
      </c>
      <c r="C17" t="s">
        <v>671</v>
      </c>
      <c r="D17" t="s">
        <v>378</v>
      </c>
      <c r="E17" s="28">
        <v>400000</v>
      </c>
      <c r="F17" s="13">
        <v>357.1728</v>
      </c>
      <c r="G17" s="14">
        <f>+ROUND(F17/VLOOKUP("Grand Total",$B$4:$F$291,5,0),4)</f>
        <v>3.44E-2</v>
      </c>
      <c r="H17" s="15">
        <v>48108</v>
      </c>
      <c r="I17" s="64"/>
      <c r="K17" s="48"/>
    </row>
    <row r="18" spans="1:11" ht="12.75" customHeight="1" x14ac:dyDescent="0.2">
      <c r="B18" s="18" t="s">
        <v>83</v>
      </c>
      <c r="C18" s="18"/>
      <c r="D18" s="18"/>
      <c r="E18" s="29"/>
      <c r="F18" s="19">
        <f>SUM(F13:F17)</f>
        <v>3335.5142999999998</v>
      </c>
      <c r="G18" s="20">
        <f>SUM(G13:G17)</f>
        <v>0.32180000000000003</v>
      </c>
      <c r="H18" s="21"/>
      <c r="I18" s="64"/>
      <c r="J18" s="14"/>
      <c r="K18" s="48"/>
    </row>
    <row r="19" spans="1:11" ht="12.75" customHeight="1" x14ac:dyDescent="0.2">
      <c r="F19" s="13"/>
      <c r="G19" s="14"/>
      <c r="H19" s="15"/>
      <c r="I19" s="64"/>
    </row>
    <row r="20" spans="1:11" ht="12.75" customHeight="1" x14ac:dyDescent="0.2">
      <c r="B20" s="16" t="s">
        <v>122</v>
      </c>
      <c r="C20" s="16"/>
      <c r="F20" s="13"/>
      <c r="G20" s="14"/>
      <c r="H20" s="15"/>
      <c r="I20" s="64"/>
      <c r="J20" s="14"/>
      <c r="K20" s="48"/>
    </row>
    <row r="21" spans="1:11" ht="12.75" customHeight="1" x14ac:dyDescent="0.2">
      <c r="B21" s="31" t="s">
        <v>381</v>
      </c>
      <c r="C21" s="16"/>
      <c r="F21" s="13"/>
      <c r="G21" s="14"/>
      <c r="H21" s="15"/>
      <c r="I21" s="64"/>
      <c r="J21" s="14"/>
    </row>
    <row r="22" spans="1:11" ht="12.75" customHeight="1" x14ac:dyDescent="0.2">
      <c r="A22">
        <f>+MAX($A$8:A21)+1</f>
        <v>7</v>
      </c>
      <c r="B22" s="65" t="s">
        <v>717</v>
      </c>
      <c r="C22" t="s">
        <v>672</v>
      </c>
      <c r="D22" t="s">
        <v>106</v>
      </c>
      <c r="E22" s="28">
        <v>100</v>
      </c>
      <c r="F22" s="13">
        <v>984.49599999999998</v>
      </c>
      <c r="G22" s="14">
        <f>+ROUND(F22/VLOOKUP("Grand Total",$B$4:$F$291,5,0),4)</f>
        <v>9.5000000000000001E-2</v>
      </c>
      <c r="H22" s="15">
        <v>46836</v>
      </c>
      <c r="I22" s="64"/>
    </row>
    <row r="23" spans="1:11" ht="12.75" customHeight="1" x14ac:dyDescent="0.2">
      <c r="A23">
        <f>+MAX($A$8:A22)+1</f>
        <v>8</v>
      </c>
      <c r="B23" s="65" t="s">
        <v>718</v>
      </c>
      <c r="C23" t="s">
        <v>407</v>
      </c>
      <c r="D23" t="s">
        <v>106</v>
      </c>
      <c r="E23" s="28">
        <v>50</v>
      </c>
      <c r="F23" s="13">
        <v>509.536</v>
      </c>
      <c r="G23" s="14">
        <f>+ROUND(F23/VLOOKUP("Grand Total",$B$4:$F$291,5,0),4)</f>
        <v>4.9099999999999998E-2</v>
      </c>
      <c r="H23" s="15">
        <v>44852</v>
      </c>
      <c r="I23" s="64"/>
    </row>
    <row r="24" spans="1:11" ht="12.75" customHeight="1" x14ac:dyDescent="0.2">
      <c r="A24">
        <f>+MAX($A$8:A23)+1</f>
        <v>9</v>
      </c>
      <c r="B24" s="65" t="s">
        <v>673</v>
      </c>
      <c r="C24" s="65" t="s">
        <v>541</v>
      </c>
      <c r="D24" t="s">
        <v>106</v>
      </c>
      <c r="E24" s="28">
        <v>50</v>
      </c>
      <c r="F24" s="13">
        <v>505.64049999999997</v>
      </c>
      <c r="G24" s="14">
        <f t="shared" ref="G24:G30" si="1">+ROUND(F24/VLOOKUP("Grand Total",$B$4:$F$294,5,0),4)</f>
        <v>4.8800000000000003E-2</v>
      </c>
      <c r="H24" s="15">
        <v>45042</v>
      </c>
      <c r="I24" s="64"/>
    </row>
    <row r="25" spans="1:11" ht="12.75" customHeight="1" x14ac:dyDescent="0.2">
      <c r="A25">
        <f>+MAX($A$8:A24)+1</f>
        <v>10</v>
      </c>
      <c r="B25" s="65" t="s">
        <v>711</v>
      </c>
      <c r="C25" s="65" t="s">
        <v>405</v>
      </c>
      <c r="D25" t="s">
        <v>338</v>
      </c>
      <c r="E25" s="28">
        <v>50000</v>
      </c>
      <c r="F25" s="13">
        <v>501.58350000000002</v>
      </c>
      <c r="G25" s="14">
        <f t="shared" si="1"/>
        <v>4.8399999999999999E-2</v>
      </c>
      <c r="H25" s="15">
        <v>43693</v>
      </c>
      <c r="I25" s="64"/>
    </row>
    <row r="26" spans="1:11" ht="12.75" customHeight="1" x14ac:dyDescent="0.2">
      <c r="A26">
        <f>+MAX($A$8:A25)+1</f>
        <v>11</v>
      </c>
      <c r="B26" s="65" t="s">
        <v>719</v>
      </c>
      <c r="C26" s="65" t="s">
        <v>524</v>
      </c>
      <c r="D26" t="s">
        <v>106</v>
      </c>
      <c r="E26" s="28">
        <v>5</v>
      </c>
      <c r="F26" s="13">
        <v>494.06099999999998</v>
      </c>
      <c r="G26" s="14">
        <f t="shared" si="1"/>
        <v>4.7699999999999999E-2</v>
      </c>
      <c r="H26" s="15">
        <v>43787</v>
      </c>
      <c r="I26" s="64"/>
    </row>
    <row r="27" spans="1:11" ht="12.75" customHeight="1" x14ac:dyDescent="0.2">
      <c r="A27">
        <f>+MAX($A$8:A26)+1</f>
        <v>12</v>
      </c>
      <c r="B27" s="65" t="s">
        <v>720</v>
      </c>
      <c r="C27" s="65" t="s">
        <v>493</v>
      </c>
      <c r="D27" t="s">
        <v>170</v>
      </c>
      <c r="E27" s="28">
        <v>50</v>
      </c>
      <c r="F27" s="13">
        <v>485.45150000000001</v>
      </c>
      <c r="G27" s="14">
        <f t="shared" si="1"/>
        <v>4.6800000000000001E-2</v>
      </c>
      <c r="H27" s="15">
        <v>44376</v>
      </c>
      <c r="I27" s="64"/>
    </row>
    <row r="28" spans="1:11" ht="12.75" customHeight="1" x14ac:dyDescent="0.2">
      <c r="A28">
        <f>+MAX($A$8:A27)+1</f>
        <v>13</v>
      </c>
      <c r="B28" s="65" t="s">
        <v>721</v>
      </c>
      <c r="C28" s="65" t="s">
        <v>515</v>
      </c>
      <c r="D28" t="s">
        <v>106</v>
      </c>
      <c r="E28" s="28">
        <v>50</v>
      </c>
      <c r="F28" s="13">
        <v>476.20499999999998</v>
      </c>
      <c r="G28" s="14">
        <f t="shared" si="1"/>
        <v>4.5900000000000003E-2</v>
      </c>
      <c r="H28" s="15">
        <v>44804</v>
      </c>
      <c r="I28" s="64"/>
    </row>
    <row r="29" spans="1:11" ht="12.75" customHeight="1" x14ac:dyDescent="0.2">
      <c r="A29">
        <f>+MAX($A$8:A28)+1</f>
        <v>14</v>
      </c>
      <c r="B29" s="65" t="s">
        <v>722</v>
      </c>
      <c r="C29" s="65" t="s">
        <v>626</v>
      </c>
      <c r="D29" t="s">
        <v>106</v>
      </c>
      <c r="E29" s="28">
        <v>50</v>
      </c>
      <c r="F29" s="13">
        <v>473.56099999999998</v>
      </c>
      <c r="G29" s="14">
        <f t="shared" si="1"/>
        <v>4.5699999999999998E-2</v>
      </c>
      <c r="H29" s="15">
        <v>46525</v>
      </c>
      <c r="I29" s="64"/>
    </row>
    <row r="30" spans="1:11" ht="12.75" customHeight="1" x14ac:dyDescent="0.2">
      <c r="A30">
        <f>+MAX($A$8:A29)+1</f>
        <v>15</v>
      </c>
      <c r="B30" s="65" t="s">
        <v>723</v>
      </c>
      <c r="C30" s="65" t="s">
        <v>389</v>
      </c>
      <c r="D30" t="s">
        <v>338</v>
      </c>
      <c r="E30" s="28">
        <v>20</v>
      </c>
      <c r="F30" s="13">
        <v>200.12</v>
      </c>
      <c r="G30" s="14">
        <f t="shared" si="1"/>
        <v>1.9300000000000001E-2</v>
      </c>
      <c r="H30" s="15">
        <v>43322</v>
      </c>
      <c r="I30" s="64"/>
    </row>
    <row r="31" spans="1:11" ht="12.75" customHeight="1" x14ac:dyDescent="0.2">
      <c r="A31">
        <f>+MAX($A$8:A30)+1</f>
        <v>16</v>
      </c>
      <c r="B31" s="65" t="s">
        <v>699</v>
      </c>
      <c r="C31" s="65" t="s">
        <v>429</v>
      </c>
      <c r="D31" t="s">
        <v>564</v>
      </c>
      <c r="E31" s="28">
        <v>20</v>
      </c>
      <c r="F31" s="13">
        <v>199.673</v>
      </c>
      <c r="G31" s="14">
        <f t="shared" ref="G31:G32" si="2">+ROUND(F31/VLOOKUP("Grand Total",$B$4:$F$294,5,0),4)</f>
        <v>1.9300000000000001E-2</v>
      </c>
      <c r="H31" s="15">
        <v>43469</v>
      </c>
      <c r="I31" s="64"/>
    </row>
    <row r="32" spans="1:11" ht="12.75" customHeight="1" x14ac:dyDescent="0.2">
      <c r="A32">
        <f>+MAX($A$8:A31)+1</f>
        <v>17</v>
      </c>
      <c r="B32" s="65" t="s">
        <v>716</v>
      </c>
      <c r="C32" s="65" t="s">
        <v>167</v>
      </c>
      <c r="D32" t="s">
        <v>166</v>
      </c>
      <c r="E32" s="28">
        <v>9</v>
      </c>
      <c r="F32" s="13">
        <v>90.168930000000003</v>
      </c>
      <c r="G32" s="14">
        <f t="shared" si="2"/>
        <v>8.6999999999999994E-3</v>
      </c>
      <c r="H32" s="15">
        <v>43259</v>
      </c>
      <c r="I32" s="64"/>
    </row>
    <row r="33" spans="1:10" ht="12.75" customHeight="1" x14ac:dyDescent="0.2">
      <c r="B33" s="18" t="s">
        <v>83</v>
      </c>
      <c r="C33" s="18"/>
      <c r="D33" s="18"/>
      <c r="E33" s="29"/>
      <c r="F33" s="19">
        <f>SUM(F22:F32)</f>
        <v>4920.4964299999992</v>
      </c>
      <c r="G33" s="20">
        <f>SUM(G22:G32)</f>
        <v>0.47470000000000001</v>
      </c>
      <c r="H33" s="21"/>
      <c r="J33" s="52"/>
    </row>
    <row r="34" spans="1:10" ht="12.75" customHeight="1" x14ac:dyDescent="0.2">
      <c r="F34" s="13"/>
      <c r="G34" s="14"/>
      <c r="H34" s="15"/>
    </row>
    <row r="35" spans="1:10" ht="12.75" customHeight="1" x14ac:dyDescent="0.2">
      <c r="A35" s="95" t="s">
        <v>345</v>
      </c>
      <c r="B35" s="16" t="s">
        <v>91</v>
      </c>
      <c r="C35" s="16"/>
      <c r="F35" s="13">
        <v>1212.2909898</v>
      </c>
      <c r="G35" s="14">
        <f>+ROUND(F35/VLOOKUP("Grand Total",$B$4:$F$291,5,0),4)</f>
        <v>0.1169</v>
      </c>
      <c r="H35" s="15">
        <v>43222</v>
      </c>
    </row>
    <row r="36" spans="1:10" ht="12.75" customHeight="1" x14ac:dyDescent="0.2">
      <c r="B36" s="18" t="s">
        <v>83</v>
      </c>
      <c r="C36" s="18"/>
      <c r="D36" s="18"/>
      <c r="E36" s="29"/>
      <c r="F36" s="19">
        <f>SUM(F35)</f>
        <v>1212.2909898</v>
      </c>
      <c r="G36" s="20">
        <f>SUM(G35)</f>
        <v>0.1169</v>
      </c>
      <c r="H36" s="21"/>
      <c r="I36" s="35"/>
    </row>
    <row r="37" spans="1:10" ht="12.75" customHeight="1" x14ac:dyDescent="0.2">
      <c r="F37" s="13"/>
      <c r="G37" s="14"/>
      <c r="H37" s="15"/>
    </row>
    <row r="38" spans="1:10" ht="12.75" customHeight="1" x14ac:dyDescent="0.2">
      <c r="B38" s="16" t="s">
        <v>92</v>
      </c>
      <c r="C38" s="16"/>
      <c r="F38" s="13"/>
      <c r="G38" s="14"/>
      <c r="H38" s="15"/>
    </row>
    <row r="39" spans="1:10" ht="12.75" customHeight="1" x14ac:dyDescent="0.2">
      <c r="B39" s="16" t="s">
        <v>93</v>
      </c>
      <c r="C39" s="16"/>
      <c r="F39" s="43">
        <v>415.10080590000143</v>
      </c>
      <c r="G39" s="14">
        <f>+ROUND(F39/VLOOKUP("Grand Total",$B$4:$F$291,5,0),4)-0.02%</f>
        <v>3.9800000000000002E-2</v>
      </c>
      <c r="H39" s="15"/>
    </row>
    <row r="40" spans="1:10" ht="12.75" customHeight="1" x14ac:dyDescent="0.2">
      <c r="B40" s="18" t="s">
        <v>83</v>
      </c>
      <c r="C40" s="18"/>
      <c r="D40" s="18"/>
      <c r="E40" s="29"/>
      <c r="F40" s="50">
        <f>SUM(F39)</f>
        <v>415.10080590000143</v>
      </c>
      <c r="G40" s="20">
        <f>SUM(G39)</f>
        <v>3.9800000000000002E-2</v>
      </c>
      <c r="H40" s="21"/>
      <c r="I40" s="35"/>
    </row>
    <row r="41" spans="1:10" ht="12.75" customHeight="1" x14ac:dyDescent="0.2">
      <c r="B41" s="22" t="s">
        <v>94</v>
      </c>
      <c r="C41" s="22"/>
      <c r="D41" s="22"/>
      <c r="E41" s="30"/>
      <c r="F41" s="23">
        <f>+SUMIF($B$5:B40,"Total",$F$5:F40)</f>
        <v>10368.134525699999</v>
      </c>
      <c r="G41" s="24">
        <f>+SUMIF($B$5:B40,"Total",$G$5:G40)</f>
        <v>1</v>
      </c>
      <c r="H41" s="25"/>
      <c r="I41" s="35"/>
    </row>
    <row r="42" spans="1:10" ht="12.75" customHeight="1" x14ac:dyDescent="0.2"/>
    <row r="43" spans="1:10" ht="12.75" customHeight="1" x14ac:dyDescent="0.2">
      <c r="B43" s="16" t="s">
        <v>565</v>
      </c>
      <c r="C43" s="16"/>
    </row>
    <row r="44" spans="1:10" ht="12.75" customHeight="1" x14ac:dyDescent="0.2">
      <c r="B44" s="16" t="s">
        <v>181</v>
      </c>
      <c r="C44" s="16"/>
    </row>
    <row r="45" spans="1:10" ht="12.75" customHeight="1" x14ac:dyDescent="0.2">
      <c r="B45" s="16"/>
      <c r="C45" s="16"/>
    </row>
    <row r="46" spans="1:10" ht="12.75" customHeight="1" x14ac:dyDescent="0.2">
      <c r="B46" s="16"/>
      <c r="C46" s="16"/>
    </row>
    <row r="47" spans="1:10" ht="12.75" customHeight="1" x14ac:dyDescent="0.2">
      <c r="B47" s="16"/>
      <c r="C47" s="16"/>
    </row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sheetProtection password="EDB3" sheet="1" objects="1" scenarios="1"/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358</v>
      </c>
      <c r="B1" s="128" t="s">
        <v>312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89</v>
      </c>
      <c r="F7" s="13"/>
      <c r="G7" s="14"/>
      <c r="H7" s="15"/>
      <c r="J7" s="17" t="s">
        <v>586</v>
      </c>
      <c r="K7" s="37" t="s">
        <v>11</v>
      </c>
    </row>
    <row r="8" spans="1:16" ht="12.75" customHeight="1" x14ac:dyDescent="0.2">
      <c r="B8" s="16" t="s">
        <v>290</v>
      </c>
      <c r="C8" s="16"/>
      <c r="F8" s="13"/>
      <c r="G8" s="14"/>
      <c r="H8" s="15"/>
      <c r="J8" s="14" t="s">
        <v>106</v>
      </c>
      <c r="K8" s="48">
        <f t="shared" ref="K8:K17" si="0">SUMIFS($G$5:$G$323,$D$5:$D$323,J8)</f>
        <v>0.38379999999999997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275</v>
      </c>
      <c r="C9" t="s">
        <v>539</v>
      </c>
      <c r="D9" t="s">
        <v>520</v>
      </c>
      <c r="E9" s="28">
        <v>380</v>
      </c>
      <c r="F9" s="13">
        <v>1809.2731000000001</v>
      </c>
      <c r="G9" s="14">
        <f>+ROUND(F9/VLOOKUP("Grand Total",$B$4:$F$265,5,0),4)</f>
        <v>5.6899999999999999E-2</v>
      </c>
      <c r="H9" s="89">
        <v>43426</v>
      </c>
      <c r="J9" s="14" t="s">
        <v>338</v>
      </c>
      <c r="K9" s="48">
        <f t="shared" si="0"/>
        <v>0.112</v>
      </c>
      <c r="M9" s="14"/>
      <c r="N9" s="36"/>
      <c r="P9" s="14"/>
    </row>
    <row r="10" spans="1:16" ht="12.75" customHeight="1" x14ac:dyDescent="0.2">
      <c r="B10" s="18" t="s">
        <v>83</v>
      </c>
      <c r="C10" s="18"/>
      <c r="D10" s="18"/>
      <c r="E10" s="29"/>
      <c r="F10" s="19">
        <f>SUM(F9:F9)</f>
        <v>1809.2731000000001</v>
      </c>
      <c r="G10" s="20">
        <f>SUM(G9:G9)</f>
        <v>5.6899999999999999E-2</v>
      </c>
      <c r="H10" s="21"/>
      <c r="J10" t="s">
        <v>163</v>
      </c>
      <c r="K10" s="48">
        <f t="shared" si="0"/>
        <v>7.7600000000000002E-2</v>
      </c>
    </row>
    <row r="11" spans="1:16" ht="12.75" customHeight="1" x14ac:dyDescent="0.2">
      <c r="F11" s="13"/>
      <c r="G11" s="14"/>
      <c r="H11" s="15"/>
      <c r="J11" s="14" t="s">
        <v>378</v>
      </c>
      <c r="K11" s="48">
        <f t="shared" si="0"/>
        <v>7.3200000000000001E-2</v>
      </c>
    </row>
    <row r="12" spans="1:16" ht="12.75" customHeight="1" x14ac:dyDescent="0.2">
      <c r="B12" s="16" t="s">
        <v>165</v>
      </c>
      <c r="C12" s="16"/>
      <c r="F12" s="13"/>
      <c r="G12" s="14"/>
      <c r="H12" s="15"/>
      <c r="J12" s="14" t="s">
        <v>414</v>
      </c>
      <c r="K12" s="48">
        <f t="shared" si="0"/>
        <v>6.5699999999999995E-2</v>
      </c>
      <c r="M12" s="14"/>
      <c r="N12" s="36"/>
      <c r="P12" s="14"/>
    </row>
    <row r="13" spans="1:16" ht="12.75" customHeight="1" x14ac:dyDescent="0.2">
      <c r="A13">
        <f>+MAX($A$8:A12)+1</f>
        <v>2</v>
      </c>
      <c r="B13" t="s">
        <v>430</v>
      </c>
      <c r="C13" t="s">
        <v>431</v>
      </c>
      <c r="D13" t="s">
        <v>378</v>
      </c>
      <c r="E13" s="28">
        <v>1545300</v>
      </c>
      <c r="F13" s="13">
        <v>1489.3925913</v>
      </c>
      <c r="G13" s="14">
        <f>+ROUND(F13/VLOOKUP("Grand Total",$B$4:$F$265,5,0),4)</f>
        <v>4.6899999999999997E-2</v>
      </c>
      <c r="H13" s="89">
        <v>44914</v>
      </c>
      <c r="J13" s="14" t="s">
        <v>564</v>
      </c>
      <c r="K13" s="48">
        <f t="shared" si="0"/>
        <v>6.2799999999999995E-2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298</v>
      </c>
      <c r="C14" t="s">
        <v>278</v>
      </c>
      <c r="D14" t="s">
        <v>378</v>
      </c>
      <c r="E14" s="28">
        <v>500000</v>
      </c>
      <c r="F14" s="13">
        <v>507.72550000000001</v>
      </c>
      <c r="G14" s="14">
        <f>+ROUND(F14/VLOOKUP("Grand Total",$B$4:$F$265,5,0),4)</f>
        <v>1.6E-2</v>
      </c>
      <c r="H14" s="89">
        <v>44175</v>
      </c>
      <c r="J14" s="14" t="s">
        <v>520</v>
      </c>
      <c r="K14" s="48">
        <f t="shared" si="0"/>
        <v>5.6899999999999999E-2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536</v>
      </c>
      <c r="C15" t="s">
        <v>537</v>
      </c>
      <c r="D15" t="s">
        <v>378</v>
      </c>
      <c r="E15" s="28">
        <v>350000</v>
      </c>
      <c r="F15" s="13">
        <v>325.82515000000001</v>
      </c>
      <c r="G15" s="14">
        <f>+ROUND(F15/VLOOKUP("Grand Total",$B$4:$F$265,5,0),4)</f>
        <v>1.03E-2</v>
      </c>
      <c r="H15" s="89">
        <v>46522</v>
      </c>
      <c r="J15" s="14" t="s">
        <v>276</v>
      </c>
      <c r="K15" s="48">
        <f t="shared" si="0"/>
        <v>5.6300000000000003E-2</v>
      </c>
      <c r="M15" s="14"/>
      <c r="N15" s="36"/>
      <c r="P15" s="14"/>
    </row>
    <row r="16" spans="1:16" ht="12.75" customHeight="1" x14ac:dyDescent="0.2">
      <c r="B16" s="18" t="s">
        <v>83</v>
      </c>
      <c r="C16" s="18"/>
      <c r="D16" s="18"/>
      <c r="E16" s="29"/>
      <c r="F16" s="19">
        <f>SUM(F13:F15)</f>
        <v>2322.9432413</v>
      </c>
      <c r="G16" s="20">
        <f>SUM(G13:G15)</f>
        <v>7.3200000000000001E-2</v>
      </c>
      <c r="H16" s="21"/>
      <c r="J16" s="14" t="s">
        <v>166</v>
      </c>
      <c r="K16" s="48">
        <f t="shared" si="0"/>
        <v>3.4700000000000002E-2</v>
      </c>
    </row>
    <row r="17" spans="1:11" ht="12.75" customHeight="1" x14ac:dyDescent="0.2">
      <c r="F17" s="13"/>
      <c r="G17" s="14"/>
      <c r="H17" s="15"/>
      <c r="J17" s="14" t="s">
        <v>489</v>
      </c>
      <c r="K17" s="48">
        <f t="shared" si="0"/>
        <v>3.1600000000000003E-2</v>
      </c>
    </row>
    <row r="18" spans="1:11" ht="12.75" customHeight="1" x14ac:dyDescent="0.2">
      <c r="B18" s="16" t="s">
        <v>122</v>
      </c>
      <c r="C18" s="16"/>
      <c r="F18" s="13"/>
      <c r="G18" s="14"/>
      <c r="H18" s="15"/>
      <c r="J18" s="14" t="s">
        <v>62</v>
      </c>
      <c r="K18" s="48">
        <f>+SUMIFS($G$5:$G$998,$B$5:$B$998,"CBLO / Reverse Repo Investments")+SUMIFS($G$5:$G$998,$B$5:$B$998,"Net Receivable/Payable")</f>
        <v>4.5400000000000003E-2</v>
      </c>
    </row>
    <row r="19" spans="1:11" ht="12.75" customHeight="1" x14ac:dyDescent="0.2">
      <c r="B19" s="31" t="s">
        <v>289</v>
      </c>
      <c r="C19" s="16"/>
      <c r="F19" s="13"/>
      <c r="G19" s="14"/>
      <c r="H19" s="15"/>
    </row>
    <row r="20" spans="1:11" ht="12.75" customHeight="1" x14ac:dyDescent="0.2">
      <c r="A20">
        <f>+MAX($A$8:A19)+1</f>
        <v>5</v>
      </c>
      <c r="B20" s="65" t="s">
        <v>415</v>
      </c>
      <c r="C20" t="s">
        <v>390</v>
      </c>
      <c r="D20" t="s">
        <v>338</v>
      </c>
      <c r="E20" s="28">
        <v>255000</v>
      </c>
      <c r="F20" s="13">
        <v>2556.82125</v>
      </c>
      <c r="G20" s="14">
        <f t="shared" ref="G20:G33" si="1">+ROUND(F20/VLOOKUP("Grand Total",$B$4:$F$265,5,0),4)</f>
        <v>8.0500000000000002E-2</v>
      </c>
      <c r="H20" s="15">
        <v>43717</v>
      </c>
    </row>
    <row r="21" spans="1:11" ht="12.75" customHeight="1" x14ac:dyDescent="0.2">
      <c r="A21">
        <f>+MAX($A$8:A20)+1</f>
        <v>6</v>
      </c>
      <c r="B21" s="65" t="s">
        <v>674</v>
      </c>
      <c r="C21" t="s">
        <v>379</v>
      </c>
      <c r="D21" t="s">
        <v>106</v>
      </c>
      <c r="E21" s="28">
        <v>25</v>
      </c>
      <c r="F21" s="13">
        <v>2481.1925000000001</v>
      </c>
      <c r="G21" s="14">
        <f t="shared" si="1"/>
        <v>7.8100000000000003E-2</v>
      </c>
      <c r="H21" s="15">
        <v>43780</v>
      </c>
    </row>
    <row r="22" spans="1:11" ht="12.75" customHeight="1" x14ac:dyDescent="0.2">
      <c r="A22">
        <f>+MAX($A$8:A21)+1</f>
        <v>7</v>
      </c>
      <c r="B22" s="65" t="s">
        <v>675</v>
      </c>
      <c r="C22" t="s">
        <v>404</v>
      </c>
      <c r="D22" t="s">
        <v>163</v>
      </c>
      <c r="E22" s="28">
        <v>250</v>
      </c>
      <c r="F22" s="13">
        <v>2464.9899999999998</v>
      </c>
      <c r="G22" s="14">
        <f t="shared" si="1"/>
        <v>7.7600000000000002E-2</v>
      </c>
      <c r="H22" s="15">
        <v>43951</v>
      </c>
    </row>
    <row r="23" spans="1:11" ht="12.75" customHeight="1" x14ac:dyDescent="0.2">
      <c r="A23">
        <f>+MAX($A$8:A22)+1</f>
        <v>8</v>
      </c>
      <c r="B23" t="s">
        <v>676</v>
      </c>
      <c r="C23" t="s">
        <v>382</v>
      </c>
      <c r="D23" t="s">
        <v>106</v>
      </c>
      <c r="E23" s="28">
        <v>240</v>
      </c>
      <c r="F23" s="13">
        <v>2399.5511999999999</v>
      </c>
      <c r="G23" s="14">
        <f t="shared" si="1"/>
        <v>7.5499999999999998E-2</v>
      </c>
      <c r="H23" s="15">
        <v>44343</v>
      </c>
      <c r="J23" s="46"/>
      <c r="K23" s="48"/>
    </row>
    <row r="24" spans="1:11" ht="12.75" customHeight="1" x14ac:dyDescent="0.2">
      <c r="A24">
        <f>+MAX($A$8:A23)+1</f>
        <v>9</v>
      </c>
      <c r="B24" s="65" t="s">
        <v>677</v>
      </c>
      <c r="C24" t="s">
        <v>627</v>
      </c>
      <c r="D24" t="s">
        <v>106</v>
      </c>
      <c r="E24" s="28">
        <v>230</v>
      </c>
      <c r="F24" s="13">
        <v>2293.7233000000001</v>
      </c>
      <c r="G24" s="14">
        <f t="shared" si="1"/>
        <v>7.22E-2</v>
      </c>
      <c r="H24" s="15">
        <v>43539</v>
      </c>
    </row>
    <row r="25" spans="1:11" ht="12.75" customHeight="1" x14ac:dyDescent="0.2">
      <c r="A25">
        <f>+MAX($A$8:A24)+1</f>
        <v>10</v>
      </c>
      <c r="B25" s="65" t="s">
        <v>678</v>
      </c>
      <c r="C25" t="s">
        <v>679</v>
      </c>
      <c r="D25" t="s">
        <v>106</v>
      </c>
      <c r="E25" s="28">
        <v>230</v>
      </c>
      <c r="F25" s="13">
        <v>2239.3236999999999</v>
      </c>
      <c r="G25" s="14">
        <f t="shared" si="1"/>
        <v>7.0499999999999993E-2</v>
      </c>
      <c r="H25" s="15">
        <v>44196</v>
      </c>
    </row>
    <row r="26" spans="1:11" ht="12.75" customHeight="1" x14ac:dyDescent="0.2">
      <c r="A26">
        <f>+MAX($A$8:A25)+1</f>
        <v>11</v>
      </c>
      <c r="B26" s="65" t="s">
        <v>488</v>
      </c>
      <c r="C26" t="s">
        <v>470</v>
      </c>
      <c r="D26" t="s">
        <v>414</v>
      </c>
      <c r="E26" s="28">
        <v>210</v>
      </c>
      <c r="F26" s="13">
        <v>2086.5893999999998</v>
      </c>
      <c r="G26" s="14">
        <f t="shared" si="1"/>
        <v>6.5699999999999995E-2</v>
      </c>
      <c r="H26" s="15">
        <v>43671</v>
      </c>
    </row>
    <row r="27" spans="1:11" s="46" customFormat="1" ht="12.75" customHeight="1" x14ac:dyDescent="0.2">
      <c r="A27">
        <f>+MAX($A$8:A26)+1</f>
        <v>12</v>
      </c>
      <c r="B27" s="65" t="s">
        <v>613</v>
      </c>
      <c r="C27" t="s">
        <v>429</v>
      </c>
      <c r="D27" t="s">
        <v>564</v>
      </c>
      <c r="E27" s="28">
        <v>200</v>
      </c>
      <c r="F27" s="13">
        <v>1996.73</v>
      </c>
      <c r="G27" s="14">
        <f t="shared" si="1"/>
        <v>6.2799999999999995E-2</v>
      </c>
      <c r="H27" s="15">
        <v>43469</v>
      </c>
      <c r="I27" s="64"/>
      <c r="J27"/>
      <c r="K27" s="36"/>
    </row>
    <row r="28" spans="1:11" ht="12.75" customHeight="1" x14ac:dyDescent="0.2">
      <c r="A28">
        <f>+MAX($A$8:A27)+1</f>
        <v>13</v>
      </c>
      <c r="B28" s="65" t="s">
        <v>621</v>
      </c>
      <c r="C28" t="s">
        <v>596</v>
      </c>
      <c r="D28" t="s">
        <v>106</v>
      </c>
      <c r="E28" s="28">
        <v>200</v>
      </c>
      <c r="F28" s="13">
        <v>1944.846</v>
      </c>
      <c r="G28" s="14">
        <f t="shared" si="1"/>
        <v>6.1199999999999997E-2</v>
      </c>
      <c r="H28" s="15">
        <v>44090</v>
      </c>
      <c r="J28" s="52"/>
    </row>
    <row r="29" spans="1:11" ht="12.75" customHeight="1" x14ac:dyDescent="0.2">
      <c r="A29">
        <f>+MAX($A$8:A28)+1</f>
        <v>14</v>
      </c>
      <c r="B29" s="65" t="s">
        <v>666</v>
      </c>
      <c r="C29" t="s">
        <v>577</v>
      </c>
      <c r="D29" t="s">
        <v>276</v>
      </c>
      <c r="E29" s="28">
        <v>180</v>
      </c>
      <c r="F29" s="13">
        <v>1788.7157999999999</v>
      </c>
      <c r="G29" s="14">
        <f t="shared" si="1"/>
        <v>5.6300000000000003E-2</v>
      </c>
      <c r="H29" s="15">
        <v>43643</v>
      </c>
      <c r="J29" s="52"/>
    </row>
    <row r="30" spans="1:11" ht="12.75" customHeight="1" x14ac:dyDescent="0.2">
      <c r="A30">
        <f>+MAX($A$8:A29)+1</f>
        <v>15</v>
      </c>
      <c r="B30" s="65" t="s">
        <v>667</v>
      </c>
      <c r="C30" t="s">
        <v>167</v>
      </c>
      <c r="D30" t="s">
        <v>166</v>
      </c>
      <c r="E30" s="28">
        <v>110</v>
      </c>
      <c r="F30" s="13">
        <v>1102.0646999999999</v>
      </c>
      <c r="G30" s="14">
        <f t="shared" si="1"/>
        <v>3.4700000000000002E-2</v>
      </c>
      <c r="H30" s="15">
        <v>43259</v>
      </c>
      <c r="J30" s="52"/>
    </row>
    <row r="31" spans="1:11" ht="12.75" customHeight="1" x14ac:dyDescent="0.2">
      <c r="A31">
        <f>+MAX($A$8:A30)+1</f>
        <v>16</v>
      </c>
      <c r="B31" s="65" t="s">
        <v>328</v>
      </c>
      <c r="C31" t="s">
        <v>329</v>
      </c>
      <c r="D31" t="s">
        <v>489</v>
      </c>
      <c r="E31" s="28">
        <v>100</v>
      </c>
      <c r="F31" s="13">
        <v>1003.635</v>
      </c>
      <c r="G31" s="14">
        <f t="shared" si="1"/>
        <v>3.1600000000000003E-2</v>
      </c>
      <c r="H31" s="15">
        <v>43309</v>
      </c>
    </row>
    <row r="32" spans="1:11" ht="12.75" customHeight="1" x14ac:dyDescent="0.2">
      <c r="A32">
        <f>+MAX($A$8:A31)+1</f>
        <v>17</v>
      </c>
      <c r="B32" s="65" t="s">
        <v>612</v>
      </c>
      <c r="C32" t="s">
        <v>370</v>
      </c>
      <c r="D32" t="s">
        <v>338</v>
      </c>
      <c r="E32" s="28">
        <v>100</v>
      </c>
      <c r="F32" s="13">
        <v>1000.05</v>
      </c>
      <c r="G32" s="14">
        <f t="shared" si="1"/>
        <v>3.15E-2</v>
      </c>
      <c r="H32" s="15">
        <v>43892</v>
      </c>
      <c r="J32" s="52"/>
    </row>
    <row r="33" spans="1:11" ht="12.75" customHeight="1" x14ac:dyDescent="0.2">
      <c r="A33">
        <f>+MAX($A$8:A32)+1</f>
        <v>18</v>
      </c>
      <c r="B33" s="65" t="s">
        <v>680</v>
      </c>
      <c r="C33" t="s">
        <v>628</v>
      </c>
      <c r="D33" t="s">
        <v>106</v>
      </c>
      <c r="E33" s="28">
        <v>85</v>
      </c>
      <c r="F33" s="13">
        <v>835.54235000000006</v>
      </c>
      <c r="G33" s="14">
        <f t="shared" si="1"/>
        <v>2.63E-2</v>
      </c>
      <c r="H33" s="15">
        <v>44915</v>
      </c>
      <c r="J33" s="52"/>
    </row>
    <row r="34" spans="1:11" ht="12.75" customHeight="1" x14ac:dyDescent="0.2">
      <c r="B34" s="18" t="s">
        <v>83</v>
      </c>
      <c r="C34" s="18"/>
      <c r="D34" s="18"/>
      <c r="E34" s="29"/>
      <c r="F34" s="19">
        <f>SUM(F20:F33)</f>
        <v>26193.775199999996</v>
      </c>
      <c r="G34" s="20">
        <f>SUM(G20:G33)</f>
        <v>0.8244999999999999</v>
      </c>
      <c r="H34" s="21"/>
      <c r="I34" s="33"/>
      <c r="J34" s="52"/>
    </row>
    <row r="35" spans="1:11" s="46" customFormat="1" ht="12.75" customHeight="1" x14ac:dyDescent="0.2">
      <c r="B35" s="67"/>
      <c r="C35" s="67"/>
      <c r="D35" s="67"/>
      <c r="E35" s="68"/>
      <c r="F35" s="69"/>
      <c r="G35" s="70"/>
      <c r="H35" s="71"/>
      <c r="I35" s="33"/>
      <c r="J35" s="97"/>
      <c r="K35" s="48"/>
    </row>
    <row r="36" spans="1:11" ht="12.75" customHeight="1" x14ac:dyDescent="0.2">
      <c r="A36" s="95" t="s">
        <v>345</v>
      </c>
      <c r="B36" s="16" t="s">
        <v>91</v>
      </c>
      <c r="C36" s="16"/>
      <c r="F36" s="13">
        <v>480.88834880000002</v>
      </c>
      <c r="G36" s="14">
        <f>+ROUND(F36/VLOOKUP("Grand Total",$B$4:$F$265,5,0),4)</f>
        <v>1.5100000000000001E-2</v>
      </c>
      <c r="H36" s="15">
        <v>43222</v>
      </c>
    </row>
    <row r="37" spans="1:11" ht="12.75" customHeight="1" x14ac:dyDescent="0.2">
      <c r="B37" s="18" t="s">
        <v>83</v>
      </c>
      <c r="C37" s="18"/>
      <c r="D37" s="18"/>
      <c r="E37" s="29"/>
      <c r="F37" s="19">
        <f>SUM(F36)</f>
        <v>480.88834880000002</v>
      </c>
      <c r="G37" s="20">
        <f>SUM(G36)</f>
        <v>1.5100000000000001E-2</v>
      </c>
      <c r="H37" s="21"/>
    </row>
    <row r="38" spans="1:11" ht="12.75" customHeight="1" x14ac:dyDescent="0.2">
      <c r="F38" s="13"/>
      <c r="G38" s="14"/>
      <c r="H38" s="15"/>
    </row>
    <row r="39" spans="1:11" ht="12.75" customHeight="1" x14ac:dyDescent="0.2">
      <c r="B39" s="16" t="s">
        <v>92</v>
      </c>
      <c r="C39" s="16"/>
      <c r="F39" s="13"/>
      <c r="G39" s="14"/>
      <c r="H39" s="15"/>
      <c r="I39" s="82"/>
    </row>
    <row r="40" spans="1:11" ht="12.75" customHeight="1" x14ac:dyDescent="0.2">
      <c r="B40" s="16" t="s">
        <v>93</v>
      </c>
      <c r="C40" s="16"/>
      <c r="F40" s="13">
        <v>966.56442079999397</v>
      </c>
      <c r="G40" s="14">
        <f>+ROUND(F40/VLOOKUP("Grand Total",$B$4:$F$265,5,0),4)-0.01%</f>
        <v>3.0300000000000001E-2</v>
      </c>
      <c r="H40" s="15"/>
    </row>
    <row r="41" spans="1:11" ht="12.75" customHeight="1" x14ac:dyDescent="0.2">
      <c r="B41" s="18" t="s">
        <v>83</v>
      </c>
      <c r="C41" s="18"/>
      <c r="D41" s="18"/>
      <c r="E41" s="29"/>
      <c r="F41" s="19">
        <f>SUM(F40)</f>
        <v>966.56442079999397</v>
      </c>
      <c r="G41" s="20">
        <f>SUM(G40)</f>
        <v>3.0300000000000001E-2</v>
      </c>
      <c r="H41" s="21"/>
    </row>
    <row r="42" spans="1:11" ht="12.75" customHeight="1" x14ac:dyDescent="0.2">
      <c r="B42" s="22" t="s">
        <v>94</v>
      </c>
      <c r="C42" s="22"/>
      <c r="D42" s="22"/>
      <c r="E42" s="30"/>
      <c r="F42" s="23">
        <f>+SUMIF($B$5:B41,"Total",$F$5:F41)</f>
        <v>31773.444310899991</v>
      </c>
      <c r="G42" s="24">
        <f>+SUMIF($B$5:B41,"Total",$G$5:G41)</f>
        <v>0.99999999999999989</v>
      </c>
      <c r="H42" s="25"/>
      <c r="I42" s="82"/>
    </row>
    <row r="43" spans="1:11" ht="12.75" customHeight="1" x14ac:dyDescent="0.2"/>
    <row r="44" spans="1:11" ht="12.75" customHeight="1" x14ac:dyDescent="0.2">
      <c r="B44" s="16" t="s">
        <v>565</v>
      </c>
      <c r="C44" s="16"/>
    </row>
    <row r="45" spans="1:11" ht="12.75" customHeight="1" x14ac:dyDescent="0.2">
      <c r="B45" s="16" t="s">
        <v>181</v>
      </c>
      <c r="C45" s="16"/>
      <c r="F45" s="42"/>
    </row>
    <row r="46" spans="1:11" ht="12.75" customHeight="1" x14ac:dyDescent="0.2">
      <c r="B46" s="16" t="s">
        <v>738</v>
      </c>
      <c r="C46" s="16"/>
      <c r="I46" s="82"/>
    </row>
    <row r="47" spans="1:11" ht="12.75" customHeight="1" x14ac:dyDescent="0.2">
      <c r="B47" s="16"/>
      <c r="C47" s="16"/>
    </row>
    <row r="48" spans="1:1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heetProtection password="EDB3" sheet="1" objects="1" scenarios="1"/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7109375" customWidth="1"/>
    <col min="4" max="4" width="21.570312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359</v>
      </c>
      <c r="B1" s="128" t="s">
        <v>320</v>
      </c>
      <c r="C1" s="129"/>
      <c r="D1" s="129"/>
      <c r="E1" s="129"/>
      <c r="F1" s="129"/>
      <c r="G1" s="129"/>
      <c r="H1" s="129"/>
      <c r="I1" s="130"/>
    </row>
    <row r="2" spans="1:17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126" t="s">
        <v>739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381</v>
      </c>
      <c r="C8" s="16"/>
      <c r="F8" s="13"/>
      <c r="G8" s="14"/>
      <c r="H8" s="14"/>
      <c r="I8" s="60"/>
      <c r="K8" s="17" t="s">
        <v>586</v>
      </c>
      <c r="L8" s="37" t="s">
        <v>11</v>
      </c>
    </row>
    <row r="9" spans="1:17" s="65" customFormat="1" ht="12.75" customHeight="1" x14ac:dyDescent="0.2">
      <c r="A9" s="65">
        <f>+MAX($A$7:A8)+1</f>
        <v>1</v>
      </c>
      <c r="B9" s="77" t="s">
        <v>219</v>
      </c>
      <c r="C9" s="77" t="s">
        <v>69</v>
      </c>
      <c r="D9" s="77" t="s">
        <v>26</v>
      </c>
      <c r="E9" s="74">
        <v>10200</v>
      </c>
      <c r="F9" s="75">
        <v>142.89179999999999</v>
      </c>
      <c r="G9" s="76">
        <f t="shared" ref="G9:G36" si="0">+ROUND(F9/VLOOKUP("Grand Total",$B$4:$F$305,5,0),4)</f>
        <v>1.84E-2</v>
      </c>
      <c r="H9" s="76"/>
      <c r="I9" s="91" t="s">
        <v>346</v>
      </c>
      <c r="J9" s="101"/>
      <c r="K9" s="90" t="s">
        <v>22</v>
      </c>
      <c r="L9" s="103">
        <f t="shared" ref="L9:L36" si="1">SUMIFS($G$5:$G$374,$D$5:$D$374,K9)</f>
        <v>0.12369999999999999</v>
      </c>
      <c r="M9" s="84"/>
      <c r="N9" s="90"/>
      <c r="O9" s="90"/>
      <c r="Q9" s="90"/>
    </row>
    <row r="10" spans="1:17" s="65" customFormat="1" ht="12.75" customHeight="1" x14ac:dyDescent="0.2">
      <c r="A10" s="65">
        <f>+MAX($A$7:A9)+1</f>
        <v>2</v>
      </c>
      <c r="B10" s="77" t="s">
        <v>187</v>
      </c>
      <c r="C10" s="77" t="s">
        <v>14</v>
      </c>
      <c r="D10" s="77" t="s">
        <v>13</v>
      </c>
      <c r="E10" s="74">
        <v>10400</v>
      </c>
      <c r="F10" s="75">
        <v>124.748</v>
      </c>
      <c r="G10" s="76">
        <f t="shared" si="0"/>
        <v>1.61E-2</v>
      </c>
      <c r="H10" s="76"/>
      <c r="I10" s="91" t="s">
        <v>346</v>
      </c>
      <c r="J10" s="101"/>
      <c r="K10" s="90" t="s">
        <v>19</v>
      </c>
      <c r="L10" s="103">
        <f t="shared" si="1"/>
        <v>0.10290000000000001</v>
      </c>
      <c r="M10" s="84"/>
      <c r="N10" s="90"/>
      <c r="O10" s="90"/>
      <c r="Q10" s="90"/>
    </row>
    <row r="11" spans="1:17" ht="12.75" customHeight="1" x14ac:dyDescent="0.2">
      <c r="A11" s="65">
        <f>+MAX($A$7:A10)+1</f>
        <v>3</v>
      </c>
      <c r="B11" s="77" t="s">
        <v>192</v>
      </c>
      <c r="C11" s="77" t="s">
        <v>25</v>
      </c>
      <c r="D11" s="77" t="s">
        <v>22</v>
      </c>
      <c r="E11" s="74">
        <v>6600</v>
      </c>
      <c r="F11" s="75">
        <v>124.2945</v>
      </c>
      <c r="G11" s="45">
        <f t="shared" si="0"/>
        <v>1.6E-2</v>
      </c>
      <c r="H11" s="45"/>
      <c r="I11" s="42" t="s">
        <v>346</v>
      </c>
      <c r="J11" s="41"/>
      <c r="K11" s="90" t="s">
        <v>34</v>
      </c>
      <c r="L11" s="103">
        <f t="shared" si="1"/>
        <v>7.5300000000000006E-2</v>
      </c>
      <c r="M11" s="36"/>
      <c r="N11" s="14"/>
      <c r="O11" s="14"/>
      <c r="Q11" s="14"/>
    </row>
    <row r="12" spans="1:17" s="65" customFormat="1" ht="12.75" customHeight="1" x14ac:dyDescent="0.2">
      <c r="A12" s="65">
        <f>+MAX($A$7:A11)+1</f>
        <v>4</v>
      </c>
      <c r="B12" s="77" t="s">
        <v>186</v>
      </c>
      <c r="C12" s="77" t="s">
        <v>12</v>
      </c>
      <c r="D12" s="77" t="s">
        <v>9</v>
      </c>
      <c r="E12" s="74">
        <v>6200</v>
      </c>
      <c r="F12" s="75">
        <v>120.5466</v>
      </c>
      <c r="G12" s="76">
        <f t="shared" si="0"/>
        <v>1.55E-2</v>
      </c>
      <c r="H12" s="76"/>
      <c r="I12" s="91" t="s">
        <v>346</v>
      </c>
      <c r="J12" s="101"/>
      <c r="K12" s="90" t="s">
        <v>24</v>
      </c>
      <c r="L12" s="103">
        <f t="shared" si="1"/>
        <v>6.4500000000000002E-2</v>
      </c>
      <c r="M12" s="84"/>
      <c r="N12" s="90"/>
      <c r="O12" s="90"/>
      <c r="Q12" s="90"/>
    </row>
    <row r="13" spans="1:17" s="65" customFormat="1" ht="12.75" customHeight="1" x14ac:dyDescent="0.2">
      <c r="A13" s="65">
        <f>+MAX($A$7:A12)+1</f>
        <v>5</v>
      </c>
      <c r="B13" s="77" t="s">
        <v>227</v>
      </c>
      <c r="C13" s="77" t="s">
        <v>98</v>
      </c>
      <c r="D13" s="77" t="s">
        <v>19</v>
      </c>
      <c r="E13" s="74">
        <v>12656</v>
      </c>
      <c r="F13" s="75">
        <v>110.52484800000001</v>
      </c>
      <c r="G13" s="76">
        <f t="shared" si="0"/>
        <v>1.4200000000000001E-2</v>
      </c>
      <c r="H13" s="76"/>
      <c r="I13" s="91" t="s">
        <v>346</v>
      </c>
      <c r="J13" s="101"/>
      <c r="K13" s="90" t="s">
        <v>513</v>
      </c>
      <c r="L13" s="103">
        <f t="shared" si="1"/>
        <v>6.3799999999999996E-2</v>
      </c>
      <c r="M13" s="84"/>
      <c r="N13" s="90"/>
      <c r="O13" s="90"/>
      <c r="Q13" s="90"/>
    </row>
    <row r="14" spans="1:17" ht="12.75" customHeight="1" x14ac:dyDescent="0.2">
      <c r="A14" s="65">
        <f>+MAX($A$7:A13)+1</f>
        <v>6</v>
      </c>
      <c r="B14" s="77" t="s">
        <v>527</v>
      </c>
      <c r="C14" s="77" t="s">
        <v>528</v>
      </c>
      <c r="D14" s="77" t="s">
        <v>24</v>
      </c>
      <c r="E14" s="74">
        <v>1809</v>
      </c>
      <c r="F14" s="75">
        <v>110.36437650000001</v>
      </c>
      <c r="G14" s="45">
        <f t="shared" si="0"/>
        <v>1.4200000000000001E-2</v>
      </c>
      <c r="H14" s="45"/>
      <c r="I14" s="42" t="s">
        <v>346</v>
      </c>
      <c r="J14" s="41"/>
      <c r="K14" s="14" t="s">
        <v>9</v>
      </c>
      <c r="L14" s="103">
        <f t="shared" si="1"/>
        <v>6.1400000000000003E-2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222</v>
      </c>
      <c r="C15" s="77" t="s">
        <v>77</v>
      </c>
      <c r="D15" s="77" t="s">
        <v>49</v>
      </c>
      <c r="E15" s="74">
        <v>38030</v>
      </c>
      <c r="F15" s="75">
        <v>108.38549999999999</v>
      </c>
      <c r="G15" s="45">
        <f t="shared" si="0"/>
        <v>1.4E-2</v>
      </c>
      <c r="H15" s="45"/>
      <c r="I15" s="42" t="s">
        <v>346</v>
      </c>
      <c r="J15" s="41"/>
      <c r="K15" s="90" t="s">
        <v>13</v>
      </c>
      <c r="L15" s="103">
        <f t="shared" si="1"/>
        <v>3.6999999999999998E-2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652</v>
      </c>
      <c r="C16" s="77" t="s">
        <v>653</v>
      </c>
      <c r="D16" s="77" t="s">
        <v>22</v>
      </c>
      <c r="E16" s="74">
        <v>23150</v>
      </c>
      <c r="F16" s="75">
        <v>98.688450000000003</v>
      </c>
      <c r="G16" s="45">
        <f t="shared" si="0"/>
        <v>1.2699999999999999E-2</v>
      </c>
      <c r="H16" s="45"/>
      <c r="I16" s="42" t="s">
        <v>346</v>
      </c>
      <c r="J16" s="41"/>
      <c r="K16" s="90" t="s">
        <v>21</v>
      </c>
      <c r="L16" s="103">
        <f t="shared" si="1"/>
        <v>3.6900000000000002E-2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210</v>
      </c>
      <c r="C17" s="77" t="s">
        <v>18</v>
      </c>
      <c r="D17" s="77" t="s">
        <v>13</v>
      </c>
      <c r="E17" s="74">
        <v>2350</v>
      </c>
      <c r="F17" s="75">
        <v>83.004350000000002</v>
      </c>
      <c r="G17" s="45">
        <f t="shared" si="0"/>
        <v>1.0699999999999999E-2</v>
      </c>
      <c r="H17" s="45"/>
      <c r="I17" s="42" t="s">
        <v>346</v>
      </c>
      <c r="J17" s="41"/>
      <c r="K17" s="90" t="s">
        <v>17</v>
      </c>
      <c r="L17" s="103">
        <f t="shared" si="1"/>
        <v>3.5799999999999998E-2</v>
      </c>
      <c r="M17" s="36"/>
      <c r="N17" s="14"/>
      <c r="O17" s="14"/>
      <c r="Q17" s="14"/>
    </row>
    <row r="18" spans="1:17" s="65" customFormat="1" ht="12.75" customHeight="1" x14ac:dyDescent="0.2">
      <c r="A18" s="65">
        <f>+MAX($A$7:A17)+1</f>
        <v>10</v>
      </c>
      <c r="B18" s="77" t="s">
        <v>369</v>
      </c>
      <c r="C18" s="77" t="s">
        <v>368</v>
      </c>
      <c r="D18" s="77" t="s">
        <v>24</v>
      </c>
      <c r="E18" s="74">
        <v>22000</v>
      </c>
      <c r="F18" s="75">
        <v>81.268000000000001</v>
      </c>
      <c r="G18" s="76">
        <f t="shared" si="0"/>
        <v>1.0500000000000001E-2</v>
      </c>
      <c r="H18" s="76"/>
      <c r="I18" s="91" t="s">
        <v>346</v>
      </c>
      <c r="J18" s="101"/>
      <c r="K18" s="90" t="s">
        <v>32</v>
      </c>
      <c r="L18" s="103">
        <f t="shared" si="1"/>
        <v>2.9600000000000001E-2</v>
      </c>
      <c r="M18" s="84"/>
      <c r="N18" s="90"/>
      <c r="O18" s="90"/>
      <c r="Q18" s="90"/>
    </row>
    <row r="19" spans="1:17" ht="12.75" customHeight="1" x14ac:dyDescent="0.2">
      <c r="A19" s="65">
        <f>+MAX($A$7:A18)+1</f>
        <v>11</v>
      </c>
      <c r="B19" s="77" t="s">
        <v>191</v>
      </c>
      <c r="C19" s="77" t="s">
        <v>23</v>
      </c>
      <c r="D19" s="77" t="s">
        <v>13</v>
      </c>
      <c r="E19" s="74">
        <v>7550</v>
      </c>
      <c r="F19" s="75">
        <v>79.482624999999999</v>
      </c>
      <c r="G19" s="45">
        <f t="shared" si="0"/>
        <v>1.0200000000000001E-2</v>
      </c>
      <c r="H19" s="45"/>
      <c r="I19" s="42" t="s">
        <v>346</v>
      </c>
      <c r="J19" s="41"/>
      <c r="K19" s="90" t="s">
        <v>619</v>
      </c>
      <c r="L19" s="103">
        <f t="shared" si="1"/>
        <v>2.5999999999999999E-2</v>
      </c>
      <c r="M19" s="36"/>
      <c r="N19" s="14"/>
      <c r="O19" s="14"/>
      <c r="Q19" s="14"/>
    </row>
    <row r="20" spans="1:17" s="65" customFormat="1" ht="12.75" customHeight="1" x14ac:dyDescent="0.2">
      <c r="A20" s="65">
        <f>+MAX($A$7:A19)+1</f>
        <v>12</v>
      </c>
      <c r="B20" s="77" t="s">
        <v>525</v>
      </c>
      <c r="C20" s="77" t="s">
        <v>526</v>
      </c>
      <c r="D20" s="77" t="s">
        <v>34</v>
      </c>
      <c r="E20" s="74">
        <v>90000</v>
      </c>
      <c r="F20" s="75">
        <v>79.47</v>
      </c>
      <c r="G20" s="76">
        <f t="shared" si="0"/>
        <v>1.0200000000000001E-2</v>
      </c>
      <c r="H20" s="76"/>
      <c r="I20" s="91" t="s">
        <v>346</v>
      </c>
      <c r="J20" s="101"/>
      <c r="K20" s="90" t="s">
        <v>520</v>
      </c>
      <c r="L20" s="103">
        <f t="shared" si="1"/>
        <v>2.46E-2</v>
      </c>
      <c r="M20" s="84"/>
      <c r="N20" s="90"/>
      <c r="O20" s="90"/>
      <c r="Q20" s="90"/>
    </row>
    <row r="21" spans="1:17" ht="12.75" customHeight="1" x14ac:dyDescent="0.2">
      <c r="A21" s="65">
        <f>+MAX($A$7:A20)+1</f>
        <v>13</v>
      </c>
      <c r="B21" s="77" t="s">
        <v>15</v>
      </c>
      <c r="C21" s="77" t="s">
        <v>16</v>
      </c>
      <c r="D21" s="77" t="s">
        <v>9</v>
      </c>
      <c r="E21" s="74">
        <v>30908</v>
      </c>
      <c r="F21" s="75">
        <v>76.157312000000005</v>
      </c>
      <c r="G21" s="45">
        <f t="shared" si="0"/>
        <v>9.7999999999999997E-3</v>
      </c>
      <c r="H21" s="45"/>
      <c r="I21" s="42" t="s">
        <v>346</v>
      </c>
      <c r="J21" s="41"/>
      <c r="K21" s="90" t="s">
        <v>276</v>
      </c>
      <c r="L21" s="103">
        <f t="shared" si="1"/>
        <v>2.18E-2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195</v>
      </c>
      <c r="C22" s="77" t="s">
        <v>44</v>
      </c>
      <c r="D22" s="77" t="s">
        <v>24</v>
      </c>
      <c r="E22" s="74">
        <v>25834</v>
      </c>
      <c r="F22" s="75">
        <v>72.709793000000005</v>
      </c>
      <c r="G22" s="45">
        <f t="shared" si="0"/>
        <v>9.4000000000000004E-3</v>
      </c>
      <c r="H22" s="45"/>
      <c r="I22" s="42" t="s">
        <v>346</v>
      </c>
      <c r="J22" s="41"/>
      <c r="K22" s="90" t="s">
        <v>100</v>
      </c>
      <c r="L22" s="103">
        <f t="shared" si="1"/>
        <v>2.1500000000000002E-2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225</v>
      </c>
      <c r="C23" s="77" t="s">
        <v>76</v>
      </c>
      <c r="D23" s="77" t="s">
        <v>24</v>
      </c>
      <c r="E23" s="74">
        <v>1970</v>
      </c>
      <c r="F23" s="75">
        <v>71.357339999999994</v>
      </c>
      <c r="G23" s="45">
        <f t="shared" si="0"/>
        <v>9.1999999999999998E-3</v>
      </c>
      <c r="H23" s="45"/>
      <c r="I23" s="42" t="s">
        <v>346</v>
      </c>
      <c r="J23" s="41"/>
      <c r="K23" s="90" t="s">
        <v>302</v>
      </c>
      <c r="L23" s="103">
        <f t="shared" si="1"/>
        <v>2.1499999999999998E-2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465</v>
      </c>
      <c r="C24" s="77" t="s">
        <v>466</v>
      </c>
      <c r="D24" s="77" t="s">
        <v>22</v>
      </c>
      <c r="E24" s="74">
        <v>13400</v>
      </c>
      <c r="F24" s="75">
        <v>70.772099999999995</v>
      </c>
      <c r="G24" s="45">
        <f t="shared" si="0"/>
        <v>9.1000000000000004E-3</v>
      </c>
      <c r="H24" s="45"/>
      <c r="I24" s="42" t="s">
        <v>346</v>
      </c>
      <c r="J24" s="41"/>
      <c r="K24" s="90" t="s">
        <v>106</v>
      </c>
      <c r="L24" s="103">
        <f t="shared" si="1"/>
        <v>1.9299999999999998E-2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587</v>
      </c>
      <c r="C25" s="77" t="s">
        <v>588</v>
      </c>
      <c r="D25" s="77" t="s">
        <v>35</v>
      </c>
      <c r="E25" s="74">
        <v>5032</v>
      </c>
      <c r="F25" s="75">
        <v>70.588895999999991</v>
      </c>
      <c r="G25" s="45">
        <f t="shared" si="0"/>
        <v>9.1000000000000004E-3</v>
      </c>
      <c r="H25" s="45"/>
      <c r="I25" s="42" t="s">
        <v>346</v>
      </c>
      <c r="J25" s="41"/>
      <c r="K25" s="90" t="s">
        <v>30</v>
      </c>
      <c r="L25" s="103">
        <f t="shared" si="1"/>
        <v>1.8599999999999998E-2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237</v>
      </c>
      <c r="C26" s="77" t="s">
        <v>113</v>
      </c>
      <c r="D26" s="77" t="s">
        <v>34</v>
      </c>
      <c r="E26" s="74">
        <v>40514</v>
      </c>
      <c r="F26" s="75">
        <v>69.744850999999997</v>
      </c>
      <c r="G26" s="45">
        <f t="shared" si="0"/>
        <v>8.9999999999999993E-3</v>
      </c>
      <c r="H26" s="45"/>
      <c r="I26" s="42" t="s">
        <v>346</v>
      </c>
      <c r="J26" s="41"/>
      <c r="K26" s="90" t="s">
        <v>26</v>
      </c>
      <c r="L26" s="103">
        <f t="shared" si="1"/>
        <v>1.84E-2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234</v>
      </c>
      <c r="C27" s="77" t="s">
        <v>112</v>
      </c>
      <c r="D27" s="77" t="s">
        <v>34</v>
      </c>
      <c r="E27" s="74">
        <v>30000</v>
      </c>
      <c r="F27" s="75">
        <v>62.354999999999997</v>
      </c>
      <c r="G27" s="45">
        <f t="shared" si="0"/>
        <v>8.0000000000000002E-3</v>
      </c>
      <c r="H27" s="45"/>
      <c r="I27" s="42" t="s">
        <v>346</v>
      </c>
      <c r="J27" s="41"/>
      <c r="K27" s="90" t="s">
        <v>338</v>
      </c>
      <c r="L27" s="103">
        <f t="shared" si="1"/>
        <v>1.6799999999999999E-2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240</v>
      </c>
      <c r="C28" s="77" t="s">
        <v>116</v>
      </c>
      <c r="D28" s="77" t="s">
        <v>100</v>
      </c>
      <c r="E28" s="74">
        <v>10400</v>
      </c>
      <c r="F28" s="75">
        <v>61.157200000000003</v>
      </c>
      <c r="G28" s="45">
        <f t="shared" si="0"/>
        <v>7.9000000000000008E-3</v>
      </c>
      <c r="H28" s="45"/>
      <c r="I28" s="42" t="s">
        <v>346</v>
      </c>
      <c r="J28" s="41"/>
      <c r="K28" s="90" t="s">
        <v>39</v>
      </c>
      <c r="L28" s="103">
        <f t="shared" si="1"/>
        <v>1.49E-2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193</v>
      </c>
      <c r="C29" s="77" t="s">
        <v>37</v>
      </c>
      <c r="D29" s="77" t="s">
        <v>19</v>
      </c>
      <c r="E29" s="74">
        <v>1930</v>
      </c>
      <c r="F29" s="75">
        <v>56.98518</v>
      </c>
      <c r="G29" s="45">
        <f t="shared" si="0"/>
        <v>7.3000000000000001E-3</v>
      </c>
      <c r="H29" s="45"/>
      <c r="I29" s="42" t="s">
        <v>346</v>
      </c>
      <c r="J29" s="41"/>
      <c r="K29" s="14" t="s">
        <v>49</v>
      </c>
      <c r="L29" s="103">
        <f t="shared" si="1"/>
        <v>1.4E-2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197</v>
      </c>
      <c r="C30" s="77" t="s">
        <v>46</v>
      </c>
      <c r="D30" s="77" t="s">
        <v>24</v>
      </c>
      <c r="E30" s="74">
        <v>1027</v>
      </c>
      <c r="F30" s="75">
        <v>56.620563999999995</v>
      </c>
      <c r="G30" s="45">
        <f t="shared" si="0"/>
        <v>7.3000000000000001E-3</v>
      </c>
      <c r="H30" s="45"/>
      <c r="I30" s="42" t="s">
        <v>346</v>
      </c>
      <c r="J30" s="41"/>
      <c r="K30" s="90" t="s">
        <v>43</v>
      </c>
      <c r="L30" s="103">
        <f t="shared" si="1"/>
        <v>1.2800000000000001E-2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235</v>
      </c>
      <c r="C31" s="77" t="s">
        <v>110</v>
      </c>
      <c r="D31" s="77" t="s">
        <v>19</v>
      </c>
      <c r="E31" s="74">
        <v>1506</v>
      </c>
      <c r="F31" s="75">
        <v>56.207684999999998</v>
      </c>
      <c r="G31" s="45">
        <f t="shared" si="0"/>
        <v>7.1999999999999998E-3</v>
      </c>
      <c r="H31" s="45"/>
      <c r="I31" s="42" t="s">
        <v>346</v>
      </c>
      <c r="J31" s="41"/>
      <c r="K31" s="90" t="s">
        <v>563</v>
      </c>
      <c r="L31" s="103">
        <f t="shared" si="1"/>
        <v>1.0699999999999999E-2</v>
      </c>
      <c r="M31" s="36"/>
      <c r="N31" s="14"/>
      <c r="O31" s="14"/>
      <c r="Q31" s="14"/>
    </row>
    <row r="32" spans="1:17" ht="12.75" customHeight="1" x14ac:dyDescent="0.2">
      <c r="A32" s="65">
        <f>+MAX($A$7:A31)+1</f>
        <v>24</v>
      </c>
      <c r="B32" s="77" t="s">
        <v>529</v>
      </c>
      <c r="C32" s="77" t="s">
        <v>530</v>
      </c>
      <c r="D32" s="77" t="s">
        <v>104</v>
      </c>
      <c r="E32" s="74">
        <v>66000</v>
      </c>
      <c r="F32" s="75">
        <v>51.249000000000002</v>
      </c>
      <c r="G32" s="45">
        <f t="shared" si="0"/>
        <v>6.6E-3</v>
      </c>
      <c r="H32" s="45"/>
      <c r="I32" s="42" t="s">
        <v>346</v>
      </c>
      <c r="J32" s="41"/>
      <c r="K32" s="90" t="s">
        <v>140</v>
      </c>
      <c r="L32" s="103">
        <f t="shared" si="1"/>
        <v>1.0200000000000001E-2</v>
      </c>
      <c r="M32" s="36"/>
      <c r="N32" s="14"/>
      <c r="O32" s="14"/>
      <c r="Q32" s="14"/>
    </row>
    <row r="33" spans="1:17" ht="12.75" customHeight="1" x14ac:dyDescent="0.2">
      <c r="A33" s="65">
        <f>+MAX($A$7:A32)+1</f>
        <v>25</v>
      </c>
      <c r="B33" s="77" t="s">
        <v>189</v>
      </c>
      <c r="C33" s="77" t="s">
        <v>10</v>
      </c>
      <c r="D33" s="77" t="s">
        <v>9</v>
      </c>
      <c r="E33" s="74">
        <v>17966</v>
      </c>
      <c r="F33" s="75">
        <v>51.059372000000003</v>
      </c>
      <c r="G33" s="45">
        <f t="shared" si="0"/>
        <v>6.6E-3</v>
      </c>
      <c r="H33" s="45"/>
      <c r="I33" s="42" t="s">
        <v>346</v>
      </c>
      <c r="J33" s="41"/>
      <c r="K33" s="90" t="s">
        <v>36</v>
      </c>
      <c r="L33" s="103">
        <f t="shared" si="1"/>
        <v>1.0200000000000001E-2</v>
      </c>
      <c r="M33" s="36"/>
      <c r="N33" s="14"/>
      <c r="O33" s="14"/>
      <c r="Q33" s="14"/>
    </row>
    <row r="34" spans="1:17" ht="12.75" customHeight="1" x14ac:dyDescent="0.2">
      <c r="A34" s="65">
        <f>+MAX($A$7:A33)+1</f>
        <v>26</v>
      </c>
      <c r="B34" s="77" t="s">
        <v>209</v>
      </c>
      <c r="C34" s="77" t="s">
        <v>59</v>
      </c>
      <c r="D34" s="77" t="s">
        <v>21</v>
      </c>
      <c r="E34" s="74">
        <v>5766</v>
      </c>
      <c r="F34" s="75">
        <v>37.017719999999997</v>
      </c>
      <c r="G34" s="45">
        <f t="shared" si="0"/>
        <v>4.7999999999999996E-3</v>
      </c>
      <c r="H34" s="45"/>
      <c r="I34" s="42" t="s">
        <v>346</v>
      </c>
      <c r="J34" s="41"/>
      <c r="K34" s="90" t="s">
        <v>35</v>
      </c>
      <c r="L34" s="103">
        <f t="shared" si="1"/>
        <v>9.1000000000000004E-3</v>
      </c>
      <c r="M34" s="36"/>
      <c r="N34" s="14"/>
      <c r="O34" s="14"/>
      <c r="Q34" s="14"/>
    </row>
    <row r="35" spans="1:17" ht="12.75" customHeight="1" x14ac:dyDescent="0.2">
      <c r="A35" s="65">
        <f>+MAX($A$7:A34)+1</f>
        <v>27</v>
      </c>
      <c r="B35" s="77" t="s">
        <v>211</v>
      </c>
      <c r="C35" s="77" t="s">
        <v>27</v>
      </c>
      <c r="D35" s="77" t="s">
        <v>9</v>
      </c>
      <c r="E35" s="74">
        <v>6645</v>
      </c>
      <c r="F35" s="75">
        <v>34.374585000000003</v>
      </c>
      <c r="G35" s="45">
        <f t="shared" si="0"/>
        <v>4.4000000000000003E-3</v>
      </c>
      <c r="H35" s="45"/>
      <c r="I35" s="42" t="s">
        <v>346</v>
      </c>
      <c r="J35" s="41"/>
      <c r="K35" s="90" t="s">
        <v>104</v>
      </c>
      <c r="L35" s="103">
        <f t="shared" si="1"/>
        <v>6.6E-3</v>
      </c>
      <c r="M35" s="36"/>
      <c r="N35" s="14"/>
      <c r="O35" s="14"/>
      <c r="Q35" s="14"/>
    </row>
    <row r="36" spans="1:17" ht="12.75" customHeight="1" x14ac:dyDescent="0.2">
      <c r="A36" s="65">
        <f>+MAX($A$7:A35)+1</f>
        <v>28</v>
      </c>
      <c r="B36" s="77" t="s">
        <v>203</v>
      </c>
      <c r="C36" s="77" t="s">
        <v>47</v>
      </c>
      <c r="D36" s="77" t="s">
        <v>19</v>
      </c>
      <c r="E36" s="74">
        <v>378</v>
      </c>
      <c r="F36" s="75">
        <v>33.320511000000003</v>
      </c>
      <c r="G36" s="45">
        <f t="shared" si="0"/>
        <v>4.3E-3</v>
      </c>
      <c r="H36" s="45"/>
      <c r="I36" s="42" t="s">
        <v>346</v>
      </c>
      <c r="J36" s="41"/>
      <c r="K36" s="90" t="s">
        <v>166</v>
      </c>
      <c r="L36" s="103">
        <f t="shared" si="1"/>
        <v>1.2999999999999999E-3</v>
      </c>
      <c r="M36" s="36"/>
      <c r="N36" s="14"/>
      <c r="O36" s="14"/>
      <c r="Q36" s="14"/>
    </row>
    <row r="37" spans="1:17" ht="12.75" customHeight="1" x14ac:dyDescent="0.2">
      <c r="B37" s="18" t="s">
        <v>83</v>
      </c>
      <c r="C37" s="18"/>
      <c r="D37" s="18"/>
      <c r="E37" s="19"/>
      <c r="F37" s="19">
        <f>SUM(F9:F36)</f>
        <v>2195.3461585</v>
      </c>
      <c r="G37" s="20">
        <f>SUM(G9:G36)</f>
        <v>0.28270000000000006</v>
      </c>
      <c r="H37" s="20"/>
      <c r="I37" s="21"/>
      <c r="J37" s="49"/>
      <c r="K37" s="14" t="s">
        <v>62</v>
      </c>
      <c r="L37" s="48">
        <f>+SUMIFS($G$5:$G$998,$B$5:$B$998,"CBLO / Reverse Repo Investments")+SUMIFS($G$5:$G$998,$B$5:$B$998,"Net Receivable/Payable")</f>
        <v>9.0799999999999992E-2</v>
      </c>
    </row>
    <row r="38" spans="1:17" ht="12.75" customHeight="1" x14ac:dyDescent="0.2">
      <c r="F38" s="44"/>
      <c r="G38" s="14"/>
      <c r="H38" s="14"/>
      <c r="I38" s="15"/>
      <c r="K38" s="14"/>
      <c r="L38" s="48"/>
    </row>
    <row r="39" spans="1:17" ht="12.75" customHeight="1" x14ac:dyDescent="0.2">
      <c r="A39" s="46"/>
      <c r="B39" s="16" t="s">
        <v>600</v>
      </c>
      <c r="C39" s="16"/>
      <c r="E39" s="38"/>
      <c r="F39" s="44"/>
      <c r="G39" s="45"/>
      <c r="H39" s="45"/>
      <c r="I39" s="47"/>
      <c r="K39" s="90"/>
      <c r="L39" s="103"/>
      <c r="O39" s="14"/>
    </row>
    <row r="40" spans="1:17" s="65" customFormat="1" ht="12.75" customHeight="1" x14ac:dyDescent="0.2">
      <c r="A40" s="65">
        <f>+MAX($A$7:A39)+1</f>
        <v>29</v>
      </c>
      <c r="B40" s="77" t="s">
        <v>196</v>
      </c>
      <c r="C40" s="77" t="s">
        <v>42</v>
      </c>
      <c r="D40" s="77" t="s">
        <v>22</v>
      </c>
      <c r="E40" s="74">
        <v>102000</v>
      </c>
      <c r="F40" s="80">
        <v>653.82000000000005</v>
      </c>
      <c r="G40" s="76">
        <f>+ROUND(F40/VLOOKUP("Grand Total",$B$4:$F$305,5,0),4)</f>
        <v>8.4199999999999997E-2</v>
      </c>
      <c r="H40" s="76"/>
      <c r="I40" s="91" t="s">
        <v>346</v>
      </c>
      <c r="J40" s="101"/>
      <c r="K40" s="90"/>
      <c r="L40" s="103"/>
      <c r="M40" s="84"/>
      <c r="N40" s="90"/>
      <c r="O40" s="90"/>
      <c r="Q40" s="90"/>
    </row>
    <row r="41" spans="1:17" s="65" customFormat="1" ht="12.75" customHeight="1" x14ac:dyDescent="0.2">
      <c r="A41" s="65">
        <f>+A40+1</f>
        <v>30</v>
      </c>
      <c r="B41" s="77" t="s">
        <v>196</v>
      </c>
      <c r="C41" s="121" t="s">
        <v>695</v>
      </c>
      <c r="D41" s="77" t="s">
        <v>305</v>
      </c>
      <c r="E41" s="74">
        <v>-102000</v>
      </c>
      <c r="F41" s="80">
        <v>-657.9</v>
      </c>
      <c r="G41" s="76"/>
      <c r="H41" s="76">
        <f>+ROUND(F41/VLOOKUP("Grand Total",$B$4:$F$305,5,0),4)</f>
        <v>-8.48E-2</v>
      </c>
      <c r="I41" s="104">
        <v>43251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65">
        <f t="shared" ref="A42:A93" si="2">+A41+1</f>
        <v>31</v>
      </c>
      <c r="B42" s="77" t="s">
        <v>578</v>
      </c>
      <c r="C42" s="77" t="s">
        <v>579</v>
      </c>
      <c r="D42" s="77" t="s">
        <v>34</v>
      </c>
      <c r="E42" s="74">
        <v>28050</v>
      </c>
      <c r="F42" s="80">
        <v>297.400125</v>
      </c>
      <c r="G42" s="76">
        <f>+ROUND(F42/VLOOKUP("Grand Total",$B$4:$F$305,5,0),4)</f>
        <v>3.8300000000000001E-2</v>
      </c>
      <c r="H42" s="76"/>
      <c r="I42" s="91" t="s">
        <v>346</v>
      </c>
      <c r="J42" s="101"/>
      <c r="K42" s="90"/>
      <c r="L42" s="103"/>
      <c r="M42" s="84"/>
      <c r="N42" s="90"/>
      <c r="O42" s="90"/>
      <c r="Q42" s="90"/>
    </row>
    <row r="43" spans="1:17" s="65" customFormat="1" ht="12.75" customHeight="1" x14ac:dyDescent="0.2">
      <c r="A43" s="65">
        <f t="shared" si="2"/>
        <v>32</v>
      </c>
      <c r="B43" s="77" t="s">
        <v>578</v>
      </c>
      <c r="C43" s="121" t="s">
        <v>695</v>
      </c>
      <c r="D43" s="77" t="s">
        <v>305</v>
      </c>
      <c r="E43" s="74">
        <v>-28050</v>
      </c>
      <c r="F43" s="80">
        <v>-298.91482500000001</v>
      </c>
      <c r="G43" s="76"/>
      <c r="H43" s="76">
        <f>+ROUND(F43/VLOOKUP("Grand Total",$B$4:$F$305,5,0),4)</f>
        <v>-3.85E-2</v>
      </c>
      <c r="I43" s="104">
        <v>43251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65">
        <f t="shared" si="2"/>
        <v>33</v>
      </c>
      <c r="B44" s="77" t="s">
        <v>194</v>
      </c>
      <c r="C44" s="77" t="s">
        <v>33</v>
      </c>
      <c r="D44" s="77" t="s">
        <v>17</v>
      </c>
      <c r="E44" s="74">
        <v>22000</v>
      </c>
      <c r="F44" s="80">
        <v>277.76100000000002</v>
      </c>
      <c r="G44" s="76">
        <f>+ROUND(F44/VLOOKUP("Grand Total",$B$4:$F$305,5,0),4)</f>
        <v>3.5799999999999998E-2</v>
      </c>
      <c r="H44" s="76"/>
      <c r="I44" s="91" t="s">
        <v>346</v>
      </c>
      <c r="J44" s="101"/>
      <c r="K44" s="90"/>
      <c r="L44" s="103"/>
      <c r="M44" s="84"/>
      <c r="N44" s="90"/>
      <c r="O44" s="90"/>
      <c r="Q44" s="90"/>
    </row>
    <row r="45" spans="1:17" s="65" customFormat="1" ht="12.75" customHeight="1" x14ac:dyDescent="0.2">
      <c r="A45" s="65">
        <f t="shared" si="2"/>
        <v>34</v>
      </c>
      <c r="B45" s="77" t="s">
        <v>194</v>
      </c>
      <c r="C45" s="121" t="s">
        <v>695</v>
      </c>
      <c r="D45" s="77" t="s">
        <v>305</v>
      </c>
      <c r="E45" s="74">
        <v>-22000</v>
      </c>
      <c r="F45" s="80">
        <v>-279.15800000000002</v>
      </c>
      <c r="G45" s="76"/>
      <c r="H45" s="76">
        <f>+ROUND(F45/VLOOKUP("Grand Total",$B$4:$F$305,5,0),4)</f>
        <v>-3.5999999999999997E-2</v>
      </c>
      <c r="I45" s="104">
        <v>43251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65">
        <f t="shared" si="2"/>
        <v>35</v>
      </c>
      <c r="B46" s="77" t="s">
        <v>208</v>
      </c>
      <c r="C46" s="77" t="s">
        <v>63</v>
      </c>
      <c r="D46" s="77" t="s">
        <v>32</v>
      </c>
      <c r="E46" s="74">
        <v>56100</v>
      </c>
      <c r="F46" s="80">
        <v>229.75755000000001</v>
      </c>
      <c r="G46" s="76">
        <f>+ROUND(F46/VLOOKUP("Grand Total",$B$4:$F$305,5,0),4)</f>
        <v>2.9600000000000001E-2</v>
      </c>
      <c r="H46" s="76"/>
      <c r="I46" s="91" t="s">
        <v>346</v>
      </c>
      <c r="J46" s="101"/>
      <c r="K46" s="90"/>
      <c r="L46" s="103"/>
      <c r="M46" s="84"/>
      <c r="N46" s="90"/>
      <c r="O46" s="90"/>
      <c r="Q46" s="90"/>
    </row>
    <row r="47" spans="1:17" s="65" customFormat="1" ht="12.75" customHeight="1" x14ac:dyDescent="0.2">
      <c r="A47" s="65">
        <f t="shared" si="2"/>
        <v>36</v>
      </c>
      <c r="B47" s="77" t="s">
        <v>208</v>
      </c>
      <c r="C47" s="121" t="s">
        <v>695</v>
      </c>
      <c r="D47" s="77" t="s">
        <v>305</v>
      </c>
      <c r="E47" s="74">
        <v>-56100</v>
      </c>
      <c r="F47" s="80">
        <v>-230.76734999999999</v>
      </c>
      <c r="G47" s="76"/>
      <c r="H47" s="76">
        <f>+ROUND(F47/VLOOKUP("Grand Total",$B$4:$F$305,5,0),4)</f>
        <v>-2.9700000000000001E-2</v>
      </c>
      <c r="I47" s="104">
        <v>43251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65">
        <f t="shared" si="2"/>
        <v>37</v>
      </c>
      <c r="B48" s="77" t="s">
        <v>321</v>
      </c>
      <c r="C48" s="77" t="s">
        <v>322</v>
      </c>
      <c r="D48" s="77" t="s">
        <v>19</v>
      </c>
      <c r="E48" s="74">
        <v>133000</v>
      </c>
      <c r="F48" s="80">
        <v>218.71850000000001</v>
      </c>
      <c r="G48" s="76">
        <f>+ROUND(F48/VLOOKUP("Grand Total",$B$4:$F$305,5,0),4)</f>
        <v>2.8199999999999999E-2</v>
      </c>
      <c r="H48" s="76"/>
      <c r="I48" s="91" t="s">
        <v>346</v>
      </c>
      <c r="J48" s="101"/>
      <c r="K48" s="90"/>
      <c r="L48" s="103"/>
      <c r="M48" s="84"/>
      <c r="N48" s="90"/>
      <c r="O48" s="90"/>
      <c r="Q48" s="90"/>
    </row>
    <row r="49" spans="1:17" s="65" customFormat="1" ht="12.75" customHeight="1" x14ac:dyDescent="0.2">
      <c r="A49" s="65">
        <f t="shared" si="2"/>
        <v>38</v>
      </c>
      <c r="B49" s="77" t="s">
        <v>321</v>
      </c>
      <c r="C49" s="121" t="s">
        <v>695</v>
      </c>
      <c r="D49" s="77" t="s">
        <v>305</v>
      </c>
      <c r="E49" s="74">
        <v>-133000</v>
      </c>
      <c r="F49" s="80">
        <v>-219.84899999999999</v>
      </c>
      <c r="G49" s="76"/>
      <c r="H49" s="76">
        <f>+ROUND(F49/VLOOKUP("Grand Total",$B$4:$F$305,5,0),4)</f>
        <v>-2.8299999999999999E-2</v>
      </c>
      <c r="I49" s="104">
        <v>43251</v>
      </c>
      <c r="J49" s="101"/>
      <c r="K49" s="90"/>
      <c r="L49" s="103"/>
      <c r="M49" s="84"/>
      <c r="N49" s="90"/>
      <c r="O49" s="90"/>
      <c r="Q49" s="90"/>
    </row>
    <row r="50" spans="1:17" s="65" customFormat="1" ht="12.75" customHeight="1" x14ac:dyDescent="0.2">
      <c r="A50" s="65">
        <f t="shared" si="2"/>
        <v>39</v>
      </c>
      <c r="B50" s="77" t="s">
        <v>203</v>
      </c>
      <c r="C50" s="77" t="s">
        <v>47</v>
      </c>
      <c r="D50" s="77" t="s">
        <v>19</v>
      </c>
      <c r="E50" s="74">
        <v>1875</v>
      </c>
      <c r="F50" s="80">
        <v>165.28031250000001</v>
      </c>
      <c r="G50" s="76">
        <f>+ROUND(F50/VLOOKUP("Grand Total",$B$4:$F$305,5,0),4)</f>
        <v>2.1299999999999999E-2</v>
      </c>
      <c r="H50" s="76"/>
      <c r="I50" s="91" t="s">
        <v>346</v>
      </c>
      <c r="J50" s="101"/>
      <c r="K50" s="90"/>
      <c r="L50" s="103"/>
      <c r="M50" s="84"/>
      <c r="N50" s="90"/>
      <c r="O50" s="90"/>
      <c r="Q50" s="90"/>
    </row>
    <row r="51" spans="1:17" s="65" customFormat="1" ht="12.75" customHeight="1" x14ac:dyDescent="0.2">
      <c r="A51" s="65">
        <f t="shared" si="2"/>
        <v>40</v>
      </c>
      <c r="B51" s="77" t="s">
        <v>203</v>
      </c>
      <c r="C51" s="121" t="s">
        <v>695</v>
      </c>
      <c r="D51" s="77" t="s">
        <v>305</v>
      </c>
      <c r="E51" s="74">
        <v>-1875</v>
      </c>
      <c r="F51" s="80">
        <v>-166.47375</v>
      </c>
      <c r="G51" s="76"/>
      <c r="H51" s="76">
        <f>+ROUND(F51/VLOOKUP("Grand Total",$B$4:$F$305,5,0),4)</f>
        <v>-2.1399999999999999E-2</v>
      </c>
      <c r="I51" s="104">
        <v>43251</v>
      </c>
      <c r="J51" s="101"/>
      <c r="K51" s="90"/>
      <c r="L51" s="103"/>
      <c r="M51" s="84"/>
      <c r="N51" s="90"/>
      <c r="O51" s="90"/>
      <c r="Q51" s="90"/>
    </row>
    <row r="52" spans="1:17" s="65" customFormat="1" ht="12.75" customHeight="1" x14ac:dyDescent="0.2">
      <c r="A52" s="65">
        <f t="shared" si="2"/>
        <v>41</v>
      </c>
      <c r="B52" s="77" t="s">
        <v>371</v>
      </c>
      <c r="C52" s="77" t="s">
        <v>126</v>
      </c>
      <c r="D52" s="77" t="s">
        <v>19</v>
      </c>
      <c r="E52" s="74">
        <v>82500</v>
      </c>
      <c r="F52" s="80">
        <v>157.98750000000001</v>
      </c>
      <c r="G52" s="76">
        <f>+ROUND(F52/VLOOKUP("Grand Total",$B$4:$F$305,5,0),4)</f>
        <v>2.0400000000000001E-2</v>
      </c>
      <c r="H52" s="76"/>
      <c r="I52" s="91" t="s">
        <v>346</v>
      </c>
      <c r="J52" s="101"/>
      <c r="K52" s="90"/>
      <c r="L52" s="103"/>
      <c r="M52" s="84"/>
      <c r="N52" s="90"/>
      <c r="O52" s="90"/>
      <c r="Q52" s="90"/>
    </row>
    <row r="53" spans="1:17" s="65" customFormat="1" ht="12.75" customHeight="1" x14ac:dyDescent="0.2">
      <c r="A53" s="65">
        <f t="shared" si="2"/>
        <v>42</v>
      </c>
      <c r="B53" s="77" t="s">
        <v>371</v>
      </c>
      <c r="C53" s="121" t="s">
        <v>695</v>
      </c>
      <c r="D53" s="77" t="s">
        <v>305</v>
      </c>
      <c r="E53" s="74">
        <v>-82500</v>
      </c>
      <c r="F53" s="80">
        <v>-158.52375000000001</v>
      </c>
      <c r="G53" s="76"/>
      <c r="H53" s="76">
        <f>+ROUND(F53/VLOOKUP("Grand Total",$B$4:$F$305,5,0),4)</f>
        <v>-2.0400000000000001E-2</v>
      </c>
      <c r="I53" s="104">
        <v>43251</v>
      </c>
      <c r="J53" s="101"/>
      <c r="K53" s="90"/>
      <c r="L53" s="103"/>
      <c r="M53" s="84"/>
      <c r="N53" s="90"/>
      <c r="O53" s="90"/>
      <c r="Q53" s="90"/>
    </row>
    <row r="54" spans="1:17" s="65" customFormat="1" ht="12.75" customHeight="1" x14ac:dyDescent="0.2">
      <c r="A54" s="65">
        <f t="shared" si="2"/>
        <v>43</v>
      </c>
      <c r="B54" s="77" t="s">
        <v>200</v>
      </c>
      <c r="C54" s="77" t="s">
        <v>50</v>
      </c>
      <c r="D54" s="77" t="s">
        <v>39</v>
      </c>
      <c r="E54" s="74">
        <v>99000</v>
      </c>
      <c r="F54" s="80">
        <v>115.5825</v>
      </c>
      <c r="G54" s="76">
        <f>+ROUND(F54/VLOOKUP("Grand Total",$B$4:$F$305,5,0),4)</f>
        <v>1.49E-2</v>
      </c>
      <c r="H54" s="76"/>
      <c r="I54" s="91" t="s">
        <v>346</v>
      </c>
      <c r="J54" s="101"/>
      <c r="K54" s="90"/>
      <c r="L54" s="103"/>
      <c r="M54" s="84"/>
      <c r="N54" s="90"/>
      <c r="O54" s="90"/>
      <c r="Q54" s="90"/>
    </row>
    <row r="55" spans="1:17" s="65" customFormat="1" ht="12.75" customHeight="1" x14ac:dyDescent="0.2">
      <c r="A55" s="65">
        <f t="shared" si="2"/>
        <v>44</v>
      </c>
      <c r="B55" s="77" t="s">
        <v>200</v>
      </c>
      <c r="C55" s="121" t="s">
        <v>695</v>
      </c>
      <c r="D55" s="77" t="s">
        <v>305</v>
      </c>
      <c r="E55" s="74">
        <v>-99000</v>
      </c>
      <c r="F55" s="80">
        <v>-116.0775</v>
      </c>
      <c r="G55" s="76"/>
      <c r="H55" s="76">
        <f>+ROUND(F55/VLOOKUP("Grand Total",$B$4:$F$305,5,0),4)</f>
        <v>-1.4999999999999999E-2</v>
      </c>
      <c r="I55" s="104">
        <v>43251</v>
      </c>
      <c r="J55" s="101"/>
      <c r="K55" s="90"/>
      <c r="L55" s="103"/>
      <c r="M55" s="84"/>
      <c r="N55" s="90"/>
      <c r="O55" s="90"/>
      <c r="Q55" s="90"/>
    </row>
    <row r="56" spans="1:17" s="65" customFormat="1" ht="12.75" customHeight="1" x14ac:dyDescent="0.2">
      <c r="A56" s="65">
        <f t="shared" si="2"/>
        <v>45</v>
      </c>
      <c r="B56" s="77" t="s">
        <v>229</v>
      </c>
      <c r="C56" s="77" t="s">
        <v>102</v>
      </c>
      <c r="D56" s="77" t="s">
        <v>21</v>
      </c>
      <c r="E56" s="74">
        <v>13200</v>
      </c>
      <c r="F56" s="80">
        <v>107.1246</v>
      </c>
      <c r="G56" s="76">
        <f>+ROUND(F56/VLOOKUP("Grand Total",$B$4:$F$305,5,0),4)</f>
        <v>1.38E-2</v>
      </c>
      <c r="H56" s="76"/>
      <c r="I56" s="91" t="s">
        <v>346</v>
      </c>
      <c r="J56" s="101"/>
      <c r="K56" s="90"/>
      <c r="L56" s="103"/>
      <c r="M56" s="84"/>
      <c r="N56" s="90"/>
      <c r="O56" s="90"/>
      <c r="Q56" s="90"/>
    </row>
    <row r="57" spans="1:17" s="65" customFormat="1" ht="12.75" customHeight="1" x14ac:dyDescent="0.2">
      <c r="A57" s="65">
        <f t="shared" si="2"/>
        <v>46</v>
      </c>
      <c r="B57" s="77" t="s">
        <v>229</v>
      </c>
      <c r="C57" s="121" t="s">
        <v>695</v>
      </c>
      <c r="D57" s="77" t="s">
        <v>305</v>
      </c>
      <c r="E57" s="74">
        <v>-13200</v>
      </c>
      <c r="F57" s="80">
        <v>-107.8968</v>
      </c>
      <c r="G57" s="76"/>
      <c r="H57" s="76">
        <f>+ROUND(F57/VLOOKUP("Grand Total",$B$4:$F$305,5,0),4)</f>
        <v>-1.3899999999999999E-2</v>
      </c>
      <c r="I57" s="104">
        <v>43251</v>
      </c>
      <c r="J57" s="101"/>
      <c r="K57" s="90"/>
      <c r="L57" s="103"/>
      <c r="M57" s="84"/>
      <c r="N57" s="90"/>
      <c r="O57" s="90"/>
      <c r="Q57" s="90"/>
    </row>
    <row r="58" spans="1:17" s="65" customFormat="1" ht="12.75" customHeight="1" x14ac:dyDescent="0.2">
      <c r="A58" s="65">
        <f t="shared" si="2"/>
        <v>47</v>
      </c>
      <c r="B58" s="77" t="s">
        <v>246</v>
      </c>
      <c r="C58" s="77" t="s">
        <v>121</v>
      </c>
      <c r="D58" s="77" t="s">
        <v>43</v>
      </c>
      <c r="E58" s="74">
        <v>42000</v>
      </c>
      <c r="F58" s="80">
        <v>98.972999999999999</v>
      </c>
      <c r="G58" s="76">
        <f>+ROUND(F58/VLOOKUP("Grand Total",$B$4:$F$305,5,0),4)</f>
        <v>1.2800000000000001E-2</v>
      </c>
      <c r="H58" s="76"/>
      <c r="I58" s="91" t="s">
        <v>346</v>
      </c>
      <c r="J58" s="101"/>
      <c r="K58" s="90"/>
      <c r="L58" s="103"/>
      <c r="M58" s="84"/>
      <c r="N58" s="90"/>
      <c r="O58" s="90"/>
      <c r="Q58" s="90"/>
    </row>
    <row r="59" spans="1:17" s="65" customFormat="1" ht="12.75" customHeight="1" x14ac:dyDescent="0.2">
      <c r="A59" s="65">
        <f t="shared" si="2"/>
        <v>48</v>
      </c>
      <c r="B59" s="77" t="s">
        <v>246</v>
      </c>
      <c r="C59" s="121" t="s">
        <v>695</v>
      </c>
      <c r="D59" s="77" t="s">
        <v>305</v>
      </c>
      <c r="E59" s="74">
        <v>-42000</v>
      </c>
      <c r="F59" s="80">
        <v>-99.665999999999997</v>
      </c>
      <c r="G59" s="76"/>
      <c r="H59" s="76">
        <f>+ROUND(F59/VLOOKUP("Grand Total",$B$4:$F$305,5,0),4)</f>
        <v>-1.2800000000000001E-2</v>
      </c>
      <c r="I59" s="104">
        <v>43251</v>
      </c>
      <c r="J59" s="101"/>
      <c r="K59" s="90"/>
      <c r="L59" s="103"/>
      <c r="M59" s="84"/>
      <c r="N59" s="90"/>
      <c r="O59" s="90"/>
      <c r="Q59" s="90"/>
    </row>
    <row r="60" spans="1:17" s="65" customFormat="1" ht="12.75" customHeight="1" x14ac:dyDescent="0.2">
      <c r="A60" s="65">
        <f t="shared" si="2"/>
        <v>49</v>
      </c>
      <c r="B60" s="77" t="s">
        <v>38</v>
      </c>
      <c r="C60" s="77" t="s">
        <v>40</v>
      </c>
      <c r="D60" s="77" t="s">
        <v>9</v>
      </c>
      <c r="E60" s="74">
        <v>56000</v>
      </c>
      <c r="F60" s="80">
        <v>83.412000000000006</v>
      </c>
      <c r="G60" s="76">
        <f>+ROUND(F60/VLOOKUP("Grand Total",$B$4:$F$305,5,0),4)</f>
        <v>1.0699999999999999E-2</v>
      </c>
      <c r="H60" s="76"/>
      <c r="I60" s="91" t="s">
        <v>346</v>
      </c>
      <c r="J60" s="101"/>
      <c r="K60" s="90"/>
      <c r="L60" s="103"/>
      <c r="M60" s="84"/>
      <c r="N60" s="90"/>
      <c r="O60" s="90"/>
      <c r="Q60" s="90"/>
    </row>
    <row r="61" spans="1:17" s="65" customFormat="1" ht="12.75" customHeight="1" x14ac:dyDescent="0.2">
      <c r="A61" s="65">
        <f t="shared" si="2"/>
        <v>50</v>
      </c>
      <c r="B61" s="77" t="s">
        <v>38</v>
      </c>
      <c r="C61" s="121" t="s">
        <v>695</v>
      </c>
      <c r="D61" s="77" t="s">
        <v>305</v>
      </c>
      <c r="E61" s="74">
        <v>-56000</v>
      </c>
      <c r="F61" s="80">
        <v>-83.664000000000001</v>
      </c>
      <c r="G61" s="76"/>
      <c r="H61" s="76">
        <f>+ROUND(F61/VLOOKUP("Grand Total",$B$4:$F$305,5,0),4)</f>
        <v>-1.0800000000000001E-2</v>
      </c>
      <c r="I61" s="104">
        <v>43251</v>
      </c>
      <c r="J61" s="101"/>
      <c r="K61" s="90"/>
      <c r="L61" s="103"/>
      <c r="M61" s="84"/>
      <c r="N61" s="90"/>
      <c r="O61" s="90"/>
      <c r="Q61" s="90"/>
    </row>
    <row r="62" spans="1:17" s="65" customFormat="1" ht="12.75" customHeight="1" x14ac:dyDescent="0.2">
      <c r="A62" s="65">
        <f t="shared" si="2"/>
        <v>51</v>
      </c>
      <c r="B62" s="77" t="s">
        <v>263</v>
      </c>
      <c r="C62" s="77" t="s">
        <v>150</v>
      </c>
      <c r="D62" s="77" t="s">
        <v>140</v>
      </c>
      <c r="E62" s="74">
        <v>9900</v>
      </c>
      <c r="F62" s="80">
        <v>79.457400000000007</v>
      </c>
      <c r="G62" s="76">
        <f>+ROUND(F62/VLOOKUP("Grand Total",$B$4:$F$305,5,0),4)</f>
        <v>1.0200000000000001E-2</v>
      </c>
      <c r="H62" s="76"/>
      <c r="I62" s="127"/>
      <c r="J62" s="101"/>
      <c r="K62" s="90"/>
      <c r="L62" s="103"/>
      <c r="M62" s="84"/>
      <c r="N62" s="90"/>
      <c r="O62" s="90"/>
      <c r="Q62" s="90"/>
    </row>
    <row r="63" spans="1:17" s="65" customFormat="1" ht="12.75" customHeight="1" x14ac:dyDescent="0.2">
      <c r="A63" s="65">
        <f t="shared" si="2"/>
        <v>52</v>
      </c>
      <c r="B63" s="77" t="s">
        <v>263</v>
      </c>
      <c r="C63" s="121" t="s">
        <v>695</v>
      </c>
      <c r="D63" s="77" t="s">
        <v>305</v>
      </c>
      <c r="E63" s="74">
        <v>-9900</v>
      </c>
      <c r="F63" s="80">
        <v>-79.952399999999997</v>
      </c>
      <c r="G63" s="76"/>
      <c r="H63" s="76">
        <f>+ROUND(F63/VLOOKUP("Grand Total",$B$4:$F$305,5,0),4)</f>
        <v>-1.03E-2</v>
      </c>
      <c r="I63" s="104">
        <v>43251</v>
      </c>
      <c r="J63" s="101"/>
      <c r="K63" s="90"/>
      <c r="L63" s="103"/>
      <c r="M63" s="84"/>
      <c r="N63" s="90"/>
      <c r="O63" s="90"/>
      <c r="Q63" s="90"/>
    </row>
    <row r="64" spans="1:17" s="65" customFormat="1" ht="12.75" customHeight="1" x14ac:dyDescent="0.2">
      <c r="A64" s="65">
        <f t="shared" si="2"/>
        <v>53</v>
      </c>
      <c r="B64" s="77" t="s">
        <v>280</v>
      </c>
      <c r="C64" s="77" t="s">
        <v>173</v>
      </c>
      <c r="D64" s="77" t="s">
        <v>36</v>
      </c>
      <c r="E64" s="74">
        <v>32000</v>
      </c>
      <c r="F64" s="80">
        <v>79.456000000000003</v>
      </c>
      <c r="G64" s="76">
        <f>+ROUND(F64/VLOOKUP("Grand Total",$B$4:$F$305,5,0),4)</f>
        <v>1.0200000000000001E-2</v>
      </c>
      <c r="H64" s="76"/>
      <c r="I64" s="91" t="s">
        <v>346</v>
      </c>
      <c r="J64" s="101"/>
      <c r="K64" s="90"/>
      <c r="L64" s="103"/>
      <c r="M64" s="84"/>
      <c r="N64" s="90"/>
      <c r="O64" s="90"/>
      <c r="Q64" s="90"/>
    </row>
    <row r="65" spans="1:17" s="65" customFormat="1" ht="12.75" customHeight="1" x14ac:dyDescent="0.2">
      <c r="A65" s="65">
        <f t="shared" si="2"/>
        <v>54</v>
      </c>
      <c r="B65" s="77" t="s">
        <v>280</v>
      </c>
      <c r="C65" s="121" t="s">
        <v>695</v>
      </c>
      <c r="D65" s="77" t="s">
        <v>305</v>
      </c>
      <c r="E65" s="74">
        <v>-32000</v>
      </c>
      <c r="F65" s="80">
        <v>-79.823999999999998</v>
      </c>
      <c r="G65" s="76"/>
      <c r="H65" s="76">
        <f>+ROUND(F65/VLOOKUP("Grand Total",$B$4:$F$305,5,0),4)</f>
        <v>-1.03E-2</v>
      </c>
      <c r="I65" s="104">
        <v>43251</v>
      </c>
      <c r="J65" s="101"/>
      <c r="K65" s="90"/>
      <c r="L65" s="103"/>
      <c r="M65" s="84"/>
      <c r="N65" s="90"/>
      <c r="O65" s="90"/>
      <c r="Q65" s="90"/>
    </row>
    <row r="66" spans="1:17" s="65" customFormat="1" ht="12.75" customHeight="1" x14ac:dyDescent="0.2">
      <c r="A66" s="65">
        <f t="shared" si="2"/>
        <v>55</v>
      </c>
      <c r="B66" s="77" t="s">
        <v>279</v>
      </c>
      <c r="C66" s="77" t="s">
        <v>174</v>
      </c>
      <c r="D66" s="77" t="s">
        <v>34</v>
      </c>
      <c r="E66" s="74">
        <v>16900</v>
      </c>
      <c r="F66" s="80">
        <v>76.252799999999993</v>
      </c>
      <c r="G66" s="76">
        <f>+ROUND(F66/VLOOKUP("Grand Total",$B$4:$F$305,5,0),4)</f>
        <v>9.7999999999999997E-3</v>
      </c>
      <c r="H66" s="76"/>
      <c r="I66" s="91" t="s">
        <v>346</v>
      </c>
      <c r="J66" s="101"/>
      <c r="K66" s="90"/>
      <c r="L66" s="103"/>
      <c r="M66" s="84"/>
      <c r="N66" s="90"/>
      <c r="O66" s="90"/>
      <c r="Q66" s="90"/>
    </row>
    <row r="67" spans="1:17" s="65" customFormat="1" ht="12.75" customHeight="1" x14ac:dyDescent="0.2">
      <c r="A67" s="65">
        <f t="shared" si="2"/>
        <v>56</v>
      </c>
      <c r="B67" s="77" t="s">
        <v>279</v>
      </c>
      <c r="C67" s="121" t="s">
        <v>695</v>
      </c>
      <c r="D67" s="77" t="s">
        <v>305</v>
      </c>
      <c r="E67" s="74">
        <v>-16900</v>
      </c>
      <c r="F67" s="80">
        <v>-76.742900000000006</v>
      </c>
      <c r="G67" s="76"/>
      <c r="H67" s="76">
        <f>+ROUND(F67/VLOOKUP("Grand Total",$B$4:$F$305,5,0),4)</f>
        <v>-9.9000000000000008E-3</v>
      </c>
      <c r="I67" s="104">
        <v>43251</v>
      </c>
      <c r="J67" s="101"/>
      <c r="K67" s="90"/>
      <c r="L67" s="103"/>
      <c r="M67" s="84"/>
      <c r="N67" s="90"/>
      <c r="O67" s="90"/>
      <c r="Q67" s="90"/>
    </row>
    <row r="68" spans="1:17" s="65" customFormat="1" ht="12.75" customHeight="1" x14ac:dyDescent="0.2">
      <c r="A68" s="65">
        <f t="shared" si="2"/>
        <v>57</v>
      </c>
      <c r="B68" s="77" t="s">
        <v>15</v>
      </c>
      <c r="C68" s="77" t="s">
        <v>16</v>
      </c>
      <c r="D68" s="77" t="s">
        <v>9</v>
      </c>
      <c r="E68" s="74">
        <v>30000</v>
      </c>
      <c r="F68" s="80">
        <v>73.92</v>
      </c>
      <c r="G68" s="76">
        <f>+ROUND(F68/VLOOKUP("Grand Total",$B$4:$F$305,5,0),4)</f>
        <v>9.4999999999999998E-3</v>
      </c>
      <c r="H68" s="76"/>
      <c r="I68" s="91" t="s">
        <v>346</v>
      </c>
      <c r="J68" s="101"/>
      <c r="K68" s="90"/>
      <c r="L68" s="103"/>
      <c r="M68" s="84"/>
      <c r="N68" s="90"/>
      <c r="O68" s="90"/>
      <c r="Q68" s="90"/>
    </row>
    <row r="69" spans="1:17" s="65" customFormat="1" ht="12.75" customHeight="1" x14ac:dyDescent="0.2">
      <c r="A69" s="65">
        <f t="shared" si="2"/>
        <v>58</v>
      </c>
      <c r="B69" s="77" t="s">
        <v>15</v>
      </c>
      <c r="C69" s="121" t="s">
        <v>695</v>
      </c>
      <c r="D69" s="77" t="s">
        <v>305</v>
      </c>
      <c r="E69" s="74">
        <v>-30000</v>
      </c>
      <c r="F69" s="80">
        <v>-74.114999999999995</v>
      </c>
      <c r="G69" s="76"/>
      <c r="H69" s="76">
        <f>+ROUND(F69/VLOOKUP("Grand Total",$B$4:$F$305,5,0),4)</f>
        <v>-9.4999999999999998E-3</v>
      </c>
      <c r="I69" s="104">
        <v>43251</v>
      </c>
      <c r="J69" s="101"/>
      <c r="K69" s="90"/>
      <c r="L69" s="103"/>
      <c r="M69" s="84"/>
      <c r="N69" s="90"/>
      <c r="O69" s="90"/>
      <c r="Q69" s="90"/>
    </row>
    <row r="70" spans="1:17" s="65" customFormat="1" ht="12.75" customHeight="1" x14ac:dyDescent="0.2">
      <c r="A70" s="65">
        <f t="shared" si="2"/>
        <v>59</v>
      </c>
      <c r="B70" s="77" t="s">
        <v>231</v>
      </c>
      <c r="C70" s="77" t="s">
        <v>107</v>
      </c>
      <c r="D70" s="77" t="s">
        <v>21</v>
      </c>
      <c r="E70" s="74">
        <v>3500</v>
      </c>
      <c r="F70" s="80">
        <v>73.844750000000005</v>
      </c>
      <c r="G70" s="76">
        <f>+ROUND(F70/VLOOKUP("Grand Total",$B$4:$F$305,5,0),4)</f>
        <v>9.4999999999999998E-3</v>
      </c>
      <c r="H70" s="76"/>
      <c r="I70" s="91" t="s">
        <v>346</v>
      </c>
      <c r="J70" s="101"/>
      <c r="K70" s="90"/>
      <c r="L70" s="103"/>
      <c r="M70" s="84"/>
      <c r="N70" s="90"/>
      <c r="O70" s="90"/>
      <c r="Q70" s="90"/>
    </row>
    <row r="71" spans="1:17" s="65" customFormat="1" ht="12.75" customHeight="1" x14ac:dyDescent="0.2">
      <c r="A71" s="65">
        <f t="shared" si="2"/>
        <v>60</v>
      </c>
      <c r="B71" s="77" t="s">
        <v>231</v>
      </c>
      <c r="C71" s="121" t="s">
        <v>695</v>
      </c>
      <c r="D71" s="77" t="s">
        <v>305</v>
      </c>
      <c r="E71" s="74">
        <v>-3500</v>
      </c>
      <c r="F71" s="80">
        <v>-74.361000000000004</v>
      </c>
      <c r="G71" s="76"/>
      <c r="H71" s="76">
        <f>+ROUND(F71/VLOOKUP("Grand Total",$B$4:$F$305,5,0),4)</f>
        <v>-9.5999999999999992E-3</v>
      </c>
      <c r="I71" s="104">
        <v>43251</v>
      </c>
      <c r="J71" s="101"/>
      <c r="K71" s="90"/>
      <c r="L71" s="103"/>
      <c r="M71" s="84"/>
      <c r="N71" s="90"/>
      <c r="O71" s="90"/>
      <c r="Q71" s="90"/>
    </row>
    <row r="72" spans="1:17" s="65" customFormat="1" ht="12.75" customHeight="1" x14ac:dyDescent="0.2">
      <c r="A72" s="65">
        <f t="shared" si="2"/>
        <v>61</v>
      </c>
      <c r="B72" s="77" t="s">
        <v>486</v>
      </c>
      <c r="C72" s="77" t="s">
        <v>487</v>
      </c>
      <c r="D72" s="77" t="s">
        <v>24</v>
      </c>
      <c r="E72" s="74">
        <v>91000</v>
      </c>
      <c r="F72" s="80">
        <v>63.7</v>
      </c>
      <c r="G72" s="76">
        <f>+ROUND(F72/VLOOKUP("Grand Total",$B$4:$F$305,5,0),4)</f>
        <v>8.2000000000000007E-3</v>
      </c>
      <c r="H72" s="76"/>
      <c r="I72" s="91" t="s">
        <v>346</v>
      </c>
      <c r="J72" s="101"/>
      <c r="K72" s="90"/>
      <c r="L72" s="103"/>
      <c r="M72" s="84"/>
      <c r="N72" s="90"/>
      <c r="O72" s="90"/>
      <c r="Q72" s="90"/>
    </row>
    <row r="73" spans="1:17" s="65" customFormat="1" ht="12.75" customHeight="1" x14ac:dyDescent="0.2">
      <c r="A73" s="65">
        <f t="shared" si="2"/>
        <v>62</v>
      </c>
      <c r="B73" s="77" t="s">
        <v>486</v>
      </c>
      <c r="C73" s="121" t="s">
        <v>695</v>
      </c>
      <c r="D73" s="77" t="s">
        <v>305</v>
      </c>
      <c r="E73" s="74">
        <v>-91000</v>
      </c>
      <c r="F73" s="80">
        <v>-64.291499999999999</v>
      </c>
      <c r="G73" s="76"/>
      <c r="H73" s="76">
        <f>+ROUND(F73/VLOOKUP("Grand Total",$B$4:$F$305,5,0),4)</f>
        <v>-8.3000000000000001E-3</v>
      </c>
      <c r="I73" s="104">
        <v>43251</v>
      </c>
      <c r="J73" s="101"/>
      <c r="K73" s="90"/>
      <c r="L73" s="103"/>
      <c r="M73" s="84"/>
      <c r="N73" s="90"/>
      <c r="O73" s="90"/>
      <c r="Q73" s="90"/>
    </row>
    <row r="74" spans="1:17" s="65" customFormat="1" ht="12.75" customHeight="1" x14ac:dyDescent="0.2">
      <c r="A74" s="65">
        <f t="shared" si="2"/>
        <v>63</v>
      </c>
      <c r="B74" s="77" t="s">
        <v>209</v>
      </c>
      <c r="C74" s="77" t="s">
        <v>59</v>
      </c>
      <c r="D74" s="77" t="s">
        <v>21</v>
      </c>
      <c r="E74" s="74">
        <v>8800</v>
      </c>
      <c r="F74" s="80">
        <v>56.496000000000002</v>
      </c>
      <c r="G74" s="76">
        <f>+ROUND(F74/VLOOKUP("Grand Total",$B$4:$F$305,5,0),4)</f>
        <v>7.3000000000000001E-3</v>
      </c>
      <c r="H74" s="76"/>
      <c r="I74" s="91" t="s">
        <v>346</v>
      </c>
      <c r="J74" s="101"/>
      <c r="K74" s="90"/>
      <c r="L74" s="103"/>
      <c r="M74" s="84"/>
      <c r="N74" s="90"/>
      <c r="O74" s="90"/>
      <c r="Q74" s="90"/>
    </row>
    <row r="75" spans="1:17" s="65" customFormat="1" ht="12.75" customHeight="1" x14ac:dyDescent="0.2">
      <c r="A75" s="65">
        <f t="shared" si="2"/>
        <v>64</v>
      </c>
      <c r="B75" s="77" t="s">
        <v>209</v>
      </c>
      <c r="C75" s="121" t="s">
        <v>695</v>
      </c>
      <c r="D75" s="77" t="s">
        <v>305</v>
      </c>
      <c r="E75" s="74">
        <v>-8800</v>
      </c>
      <c r="F75" s="80">
        <v>-56.764400000000002</v>
      </c>
      <c r="G75" s="76"/>
      <c r="H75" s="76">
        <f>+ROUND(F75/VLOOKUP("Grand Total",$B$4:$F$305,5,0),4)</f>
        <v>-7.3000000000000001E-3</v>
      </c>
      <c r="I75" s="104">
        <v>43251</v>
      </c>
      <c r="J75" s="101"/>
      <c r="K75" s="90"/>
      <c r="L75" s="103"/>
      <c r="M75" s="84"/>
      <c r="N75" s="90"/>
      <c r="O75" s="90"/>
      <c r="Q75" s="90"/>
    </row>
    <row r="76" spans="1:17" s="65" customFormat="1" ht="12.75" customHeight="1" x14ac:dyDescent="0.2">
      <c r="A76" s="65">
        <f t="shared" si="2"/>
        <v>65</v>
      </c>
      <c r="B76" s="77" t="s">
        <v>212</v>
      </c>
      <c r="C76" s="77" t="s">
        <v>71</v>
      </c>
      <c r="D76" s="77" t="s">
        <v>30</v>
      </c>
      <c r="E76" s="74">
        <v>20000</v>
      </c>
      <c r="F76" s="80">
        <v>56.33</v>
      </c>
      <c r="G76" s="76">
        <f>+ROUND(F76/VLOOKUP("Grand Total",$B$4:$F$305,5,0),4)</f>
        <v>7.3000000000000001E-3</v>
      </c>
      <c r="H76" s="76"/>
      <c r="I76" s="91" t="s">
        <v>346</v>
      </c>
      <c r="J76" s="101"/>
      <c r="K76" s="90"/>
      <c r="L76" s="103"/>
      <c r="M76" s="84"/>
      <c r="N76" s="90"/>
      <c r="O76" s="90"/>
      <c r="Q76" s="90"/>
    </row>
    <row r="77" spans="1:17" s="65" customFormat="1" ht="12.75" customHeight="1" x14ac:dyDescent="0.2">
      <c r="A77" s="65">
        <f t="shared" si="2"/>
        <v>66</v>
      </c>
      <c r="B77" s="77" t="s">
        <v>212</v>
      </c>
      <c r="C77" s="121" t="s">
        <v>695</v>
      </c>
      <c r="D77" s="77" t="s">
        <v>305</v>
      </c>
      <c r="E77" s="74">
        <v>-20000</v>
      </c>
      <c r="F77" s="80">
        <v>-56.74</v>
      </c>
      <c r="G77" s="76"/>
      <c r="H77" s="76">
        <f>+ROUND(F77/VLOOKUP("Grand Total",$B$4:$F$305,5,0),4)</f>
        <v>-7.3000000000000001E-3</v>
      </c>
      <c r="I77" s="104">
        <v>43251</v>
      </c>
      <c r="J77" s="101"/>
      <c r="K77" s="90"/>
      <c r="L77" s="103"/>
      <c r="M77" s="84"/>
      <c r="N77" s="90"/>
      <c r="O77" s="90"/>
      <c r="Q77" s="90"/>
    </row>
    <row r="78" spans="1:17" s="65" customFormat="1" ht="12.75" customHeight="1" x14ac:dyDescent="0.2">
      <c r="A78" s="65">
        <f t="shared" si="2"/>
        <v>67</v>
      </c>
      <c r="B78" s="77" t="s">
        <v>556</v>
      </c>
      <c r="C78" s="77" t="s">
        <v>557</v>
      </c>
      <c r="D78" s="77" t="s">
        <v>30</v>
      </c>
      <c r="E78" s="74">
        <v>25000</v>
      </c>
      <c r="F78" s="80">
        <v>55.774999999999999</v>
      </c>
      <c r="G78" s="76">
        <f>+ROUND(F78/VLOOKUP("Grand Total",$B$4:$F$305,5,0),4)</f>
        <v>7.1999999999999998E-3</v>
      </c>
      <c r="H78" s="76"/>
      <c r="I78" s="91" t="s">
        <v>346</v>
      </c>
      <c r="J78" s="101"/>
      <c r="K78" s="90"/>
      <c r="L78" s="103"/>
      <c r="M78" s="84"/>
      <c r="N78" s="90"/>
      <c r="O78" s="90"/>
      <c r="Q78" s="90"/>
    </row>
    <row r="79" spans="1:17" s="65" customFormat="1" ht="12.75" customHeight="1" x14ac:dyDescent="0.2">
      <c r="A79" s="65">
        <f t="shared" si="2"/>
        <v>68</v>
      </c>
      <c r="B79" s="77" t="s">
        <v>556</v>
      </c>
      <c r="C79" s="121" t="s">
        <v>695</v>
      </c>
      <c r="D79" s="77" t="s">
        <v>305</v>
      </c>
      <c r="E79" s="74">
        <v>-25000</v>
      </c>
      <c r="F79" s="80">
        <v>-56.037500000000001</v>
      </c>
      <c r="G79" s="76"/>
      <c r="H79" s="76">
        <f>+ROUND(F79/VLOOKUP("Grand Total",$B$4:$F$305,5,0),4)</f>
        <v>-7.1999999999999998E-3</v>
      </c>
      <c r="I79" s="104">
        <v>43251</v>
      </c>
      <c r="J79" s="101"/>
      <c r="K79" s="90"/>
      <c r="L79" s="103"/>
      <c r="M79" s="84"/>
      <c r="N79" s="90"/>
      <c r="O79" s="90"/>
      <c r="Q79" s="90"/>
    </row>
    <row r="80" spans="1:17" s="65" customFormat="1" ht="12.75" customHeight="1" x14ac:dyDescent="0.2">
      <c r="A80" s="65">
        <f t="shared" si="2"/>
        <v>69</v>
      </c>
      <c r="B80" s="77" t="s">
        <v>281</v>
      </c>
      <c r="C80" s="77" t="s">
        <v>175</v>
      </c>
      <c r="D80" s="77" t="s">
        <v>100</v>
      </c>
      <c r="E80" s="74">
        <v>6000</v>
      </c>
      <c r="F80" s="80">
        <v>52.787999999999997</v>
      </c>
      <c r="G80" s="76">
        <f>+ROUND(F80/VLOOKUP("Grand Total",$B$4:$F$305,5,0),4)</f>
        <v>6.7999999999999996E-3</v>
      </c>
      <c r="H80" s="76"/>
      <c r="I80" s="91" t="s">
        <v>346</v>
      </c>
      <c r="J80" s="101"/>
      <c r="K80" s="90"/>
      <c r="L80" s="103"/>
      <c r="M80" s="84"/>
      <c r="N80" s="90"/>
      <c r="O80" s="90"/>
      <c r="Q80" s="90"/>
    </row>
    <row r="81" spans="1:17" s="65" customFormat="1" ht="12.75" customHeight="1" x14ac:dyDescent="0.2">
      <c r="A81" s="65">
        <f t="shared" si="2"/>
        <v>70</v>
      </c>
      <c r="B81" s="77" t="s">
        <v>281</v>
      </c>
      <c r="C81" s="121" t="s">
        <v>695</v>
      </c>
      <c r="D81" s="77" t="s">
        <v>305</v>
      </c>
      <c r="E81" s="74">
        <v>-6000</v>
      </c>
      <c r="F81" s="80">
        <v>-53.180999999999997</v>
      </c>
      <c r="G81" s="76"/>
      <c r="H81" s="76">
        <f>+ROUND(F81/VLOOKUP("Grand Total",$B$4:$F$305,5,0),4)</f>
        <v>-6.8999999999999999E-3</v>
      </c>
      <c r="I81" s="104">
        <v>43251</v>
      </c>
      <c r="J81" s="101"/>
      <c r="K81" s="90"/>
      <c r="L81" s="103"/>
      <c r="M81" s="84"/>
      <c r="N81" s="90"/>
      <c r="O81" s="90"/>
      <c r="Q81" s="90"/>
    </row>
    <row r="82" spans="1:17" s="65" customFormat="1" ht="12.75" customHeight="1" x14ac:dyDescent="0.2">
      <c r="A82" s="65">
        <f t="shared" si="2"/>
        <v>71</v>
      </c>
      <c r="B82" s="77" t="s">
        <v>580</v>
      </c>
      <c r="C82" s="77" t="s">
        <v>581</v>
      </c>
      <c r="D82" s="77" t="s">
        <v>100</v>
      </c>
      <c r="E82" s="74">
        <v>70000</v>
      </c>
      <c r="F82" s="80">
        <v>52.78</v>
      </c>
      <c r="G82" s="76">
        <f>+ROUND(F82/VLOOKUP("Grand Total",$B$4:$F$305,5,0),4)</f>
        <v>6.7999999999999996E-3</v>
      </c>
      <c r="H82" s="76"/>
      <c r="I82" s="91" t="s">
        <v>346</v>
      </c>
      <c r="J82" s="101"/>
      <c r="K82" s="90"/>
      <c r="L82" s="103"/>
      <c r="M82" s="84"/>
      <c r="N82" s="90"/>
      <c r="O82" s="90"/>
      <c r="Q82" s="90"/>
    </row>
    <row r="83" spans="1:17" s="65" customFormat="1" ht="12.75" customHeight="1" x14ac:dyDescent="0.2">
      <c r="A83" s="65">
        <f t="shared" si="2"/>
        <v>72</v>
      </c>
      <c r="B83" s="77" t="s">
        <v>580</v>
      </c>
      <c r="C83" s="121" t="s">
        <v>695</v>
      </c>
      <c r="D83" s="77" t="s">
        <v>305</v>
      </c>
      <c r="E83" s="74">
        <v>-70000</v>
      </c>
      <c r="F83" s="80">
        <v>-52.99</v>
      </c>
      <c r="G83" s="76"/>
      <c r="H83" s="76">
        <f>+ROUND(F83/VLOOKUP("Grand Total",$B$4:$F$305,5,0),4)</f>
        <v>-6.7999999999999996E-3</v>
      </c>
      <c r="I83" s="104">
        <v>43251</v>
      </c>
      <c r="J83" s="101"/>
      <c r="K83" s="90"/>
      <c r="L83" s="103"/>
      <c r="M83" s="84"/>
      <c r="N83" s="90"/>
      <c r="O83" s="90"/>
      <c r="Q83" s="90"/>
    </row>
    <row r="84" spans="1:17" s="65" customFormat="1" ht="12.75" customHeight="1" x14ac:dyDescent="0.2">
      <c r="A84" s="65">
        <f t="shared" si="2"/>
        <v>73</v>
      </c>
      <c r="B84" s="77" t="s">
        <v>197</v>
      </c>
      <c r="C84" s="77" t="s">
        <v>46</v>
      </c>
      <c r="D84" s="77" t="s">
        <v>24</v>
      </c>
      <c r="E84" s="74">
        <v>800</v>
      </c>
      <c r="F84" s="80">
        <v>44.105600000000003</v>
      </c>
      <c r="G84" s="76">
        <f>+ROUND(F84/VLOOKUP("Grand Total",$B$4:$F$305,5,0),4)</f>
        <v>5.7000000000000002E-3</v>
      </c>
      <c r="H84" s="76"/>
      <c r="I84" s="91" t="s">
        <v>346</v>
      </c>
      <c r="J84" s="101"/>
      <c r="K84" s="90"/>
      <c r="L84" s="103"/>
      <c r="M84" s="84"/>
      <c r="N84" s="90"/>
      <c r="O84" s="90"/>
      <c r="Q84" s="90"/>
    </row>
    <row r="85" spans="1:17" s="65" customFormat="1" ht="12.75" customHeight="1" x14ac:dyDescent="0.2">
      <c r="A85" s="65">
        <f t="shared" si="2"/>
        <v>74</v>
      </c>
      <c r="B85" s="77" t="s">
        <v>197</v>
      </c>
      <c r="C85" s="121" t="s">
        <v>695</v>
      </c>
      <c r="D85" s="77" t="s">
        <v>305</v>
      </c>
      <c r="E85" s="74">
        <v>-800</v>
      </c>
      <c r="F85" s="80">
        <v>-44.352400000000003</v>
      </c>
      <c r="G85" s="76"/>
      <c r="H85" s="76">
        <f>+ROUND(F85/VLOOKUP("Grand Total",$B$4:$F$305,5,0),4)</f>
        <v>-5.7000000000000002E-3</v>
      </c>
      <c r="I85" s="104">
        <v>43251</v>
      </c>
      <c r="J85" s="101"/>
      <c r="K85" s="90"/>
      <c r="L85" s="103"/>
      <c r="M85" s="84"/>
      <c r="N85" s="90"/>
      <c r="O85" s="90"/>
      <c r="Q85" s="90"/>
    </row>
    <row r="86" spans="1:17" s="65" customFormat="1" ht="12.75" customHeight="1" x14ac:dyDescent="0.2">
      <c r="A86" s="65">
        <f t="shared" si="2"/>
        <v>75</v>
      </c>
      <c r="B86" s="77" t="s">
        <v>238</v>
      </c>
      <c r="C86" s="77" t="s">
        <v>495</v>
      </c>
      <c r="D86" s="77" t="s">
        <v>9</v>
      </c>
      <c r="E86" s="74">
        <v>10500</v>
      </c>
      <c r="F86" s="80">
        <v>38.01</v>
      </c>
      <c r="G86" s="76">
        <f>+ROUND(F86/VLOOKUP("Grand Total",$B$4:$F$305,5,0),4)</f>
        <v>4.8999999999999998E-3</v>
      </c>
      <c r="H86" s="76"/>
      <c r="I86" s="91" t="s">
        <v>346</v>
      </c>
      <c r="J86" s="101"/>
      <c r="K86" s="90"/>
      <c r="L86" s="103"/>
      <c r="M86" s="84"/>
      <c r="N86" s="90"/>
      <c r="O86" s="90"/>
      <c r="Q86" s="90"/>
    </row>
    <row r="87" spans="1:17" s="65" customFormat="1" ht="12.75" customHeight="1" x14ac:dyDescent="0.2">
      <c r="A87" s="65">
        <f t="shared" si="2"/>
        <v>76</v>
      </c>
      <c r="B87" s="77" t="s">
        <v>238</v>
      </c>
      <c r="C87" s="121" t="s">
        <v>695</v>
      </c>
      <c r="D87" s="77" t="s">
        <v>305</v>
      </c>
      <c r="E87" s="74">
        <v>-10500</v>
      </c>
      <c r="F87" s="80">
        <v>-38.183250000000001</v>
      </c>
      <c r="G87" s="76"/>
      <c r="H87" s="76">
        <f>+ROUND(F87/VLOOKUP("Grand Total",$B$4:$F$305,5,0),4)</f>
        <v>-4.8999999999999998E-3</v>
      </c>
      <c r="I87" s="104">
        <v>43279</v>
      </c>
      <c r="J87" s="101"/>
      <c r="K87" s="90"/>
      <c r="L87" s="103"/>
      <c r="M87" s="84"/>
      <c r="N87" s="90"/>
      <c r="O87" s="90"/>
      <c r="Q87" s="90"/>
    </row>
    <row r="88" spans="1:17" s="65" customFormat="1" ht="12.75" customHeight="1" x14ac:dyDescent="0.2">
      <c r="A88" s="65">
        <f t="shared" si="2"/>
        <v>77</v>
      </c>
      <c r="B88" s="77" t="s">
        <v>319</v>
      </c>
      <c r="C88" s="77" t="s">
        <v>660</v>
      </c>
      <c r="D88" s="77" t="s">
        <v>30</v>
      </c>
      <c r="E88" s="74">
        <v>30000</v>
      </c>
      <c r="F88" s="80">
        <v>31.47</v>
      </c>
      <c r="G88" s="76">
        <f>+ROUND(F88/VLOOKUP("Grand Total",$B$4:$F$305,5,0),4)</f>
        <v>4.1000000000000003E-3</v>
      </c>
      <c r="H88" s="76"/>
      <c r="I88" s="91" t="s">
        <v>346</v>
      </c>
      <c r="J88" s="101"/>
      <c r="K88" s="90"/>
      <c r="L88" s="103"/>
      <c r="M88" s="84"/>
      <c r="N88" s="90"/>
      <c r="O88" s="90"/>
      <c r="Q88" s="90"/>
    </row>
    <row r="89" spans="1:17" s="65" customFormat="1" ht="12.75" customHeight="1" x14ac:dyDescent="0.2">
      <c r="A89" s="65">
        <f t="shared" si="2"/>
        <v>78</v>
      </c>
      <c r="B89" s="77" t="s">
        <v>319</v>
      </c>
      <c r="C89" s="121" t="s">
        <v>695</v>
      </c>
      <c r="D89" s="77" t="s">
        <v>305</v>
      </c>
      <c r="E89" s="74">
        <v>-30000</v>
      </c>
      <c r="F89" s="80">
        <v>-31.65</v>
      </c>
      <c r="G89" s="76"/>
      <c r="H89" s="76">
        <f>+ROUND(F89/VLOOKUP("Grand Total",$B$4:$F$305,5,0),4)</f>
        <v>-4.1000000000000003E-3</v>
      </c>
      <c r="I89" s="104">
        <v>43251</v>
      </c>
      <c r="J89" s="101"/>
      <c r="K89" s="90"/>
      <c r="L89" s="103"/>
      <c r="M89" s="84"/>
      <c r="N89" s="90"/>
      <c r="O89" s="90"/>
      <c r="Q89" s="90"/>
    </row>
    <row r="90" spans="1:17" s="65" customFormat="1" ht="12.75" customHeight="1" x14ac:dyDescent="0.2">
      <c r="A90" s="65">
        <f t="shared" si="2"/>
        <v>79</v>
      </c>
      <c r="B90" s="77" t="s">
        <v>558</v>
      </c>
      <c r="C90" s="77" t="s">
        <v>559</v>
      </c>
      <c r="D90" s="77" t="s">
        <v>22</v>
      </c>
      <c r="E90" s="74">
        <v>3000</v>
      </c>
      <c r="F90" s="80">
        <v>13.060499999999999</v>
      </c>
      <c r="G90" s="76">
        <f>+ROUND(F90/VLOOKUP("Grand Total",$B$4:$F$305,5,0),4)</f>
        <v>1.6999999999999999E-3</v>
      </c>
      <c r="H90" s="76"/>
      <c r="I90" s="91" t="s">
        <v>346</v>
      </c>
      <c r="J90" s="101"/>
      <c r="K90" s="90"/>
      <c r="L90" s="103"/>
      <c r="M90" s="84"/>
      <c r="N90" s="90"/>
      <c r="O90" s="90"/>
      <c r="Q90" s="90"/>
    </row>
    <row r="91" spans="1:17" s="65" customFormat="1" ht="12.75" customHeight="1" x14ac:dyDescent="0.2">
      <c r="A91" s="65">
        <f t="shared" si="2"/>
        <v>80</v>
      </c>
      <c r="B91" s="77" t="s">
        <v>558</v>
      </c>
      <c r="C91" s="121" t="s">
        <v>695</v>
      </c>
      <c r="D91" s="77" t="s">
        <v>305</v>
      </c>
      <c r="E91" s="74">
        <v>-3000</v>
      </c>
      <c r="F91" s="80">
        <v>-13.144500000000001</v>
      </c>
      <c r="G91" s="76"/>
      <c r="H91" s="76">
        <f>+ROUND(F91/VLOOKUP("Grand Total",$B$4:$F$305,5,0),4)</f>
        <v>-1.6999999999999999E-3</v>
      </c>
      <c r="I91" s="104">
        <v>43251</v>
      </c>
      <c r="J91" s="101"/>
      <c r="K91" s="90"/>
      <c r="L91" s="103"/>
      <c r="M91" s="84"/>
      <c r="N91" s="90"/>
      <c r="O91" s="90"/>
      <c r="Q91" s="90"/>
    </row>
    <row r="92" spans="1:17" s="65" customFormat="1" ht="12.75" customHeight="1" x14ac:dyDescent="0.2">
      <c r="A92" s="65">
        <f t="shared" si="2"/>
        <v>81</v>
      </c>
      <c r="B92" s="77" t="s">
        <v>398</v>
      </c>
      <c r="C92" s="77" t="s">
        <v>66</v>
      </c>
      <c r="D92" s="77" t="s">
        <v>21</v>
      </c>
      <c r="E92" s="74">
        <v>2200</v>
      </c>
      <c r="F92" s="80">
        <v>11.6248</v>
      </c>
      <c r="G92" s="76">
        <f>+ROUND(F92/VLOOKUP("Grand Total",$B$4:$F$305,5,0),4)</f>
        <v>1.5E-3</v>
      </c>
      <c r="H92" s="76"/>
      <c r="I92" s="91" t="s">
        <v>346</v>
      </c>
      <c r="J92" s="101"/>
      <c r="K92" s="90"/>
      <c r="L92" s="103"/>
      <c r="M92" s="84"/>
      <c r="N92" s="90"/>
      <c r="O92" s="90"/>
      <c r="Q92" s="90"/>
    </row>
    <row r="93" spans="1:17" s="65" customFormat="1" ht="12.75" customHeight="1" x14ac:dyDescent="0.2">
      <c r="A93" s="65">
        <f t="shared" si="2"/>
        <v>82</v>
      </c>
      <c r="B93" s="77" t="s">
        <v>398</v>
      </c>
      <c r="C93" s="121" t="s">
        <v>695</v>
      </c>
      <c r="D93" s="77" t="s">
        <v>305</v>
      </c>
      <c r="E93" s="74">
        <v>-2200</v>
      </c>
      <c r="F93" s="80">
        <v>-11.6974</v>
      </c>
      <c r="G93" s="76"/>
      <c r="H93" s="76">
        <f>+ROUND(F93/VLOOKUP("Grand Total",$B$4:$F$305,5,0),4)</f>
        <v>-1.5E-3</v>
      </c>
      <c r="I93" s="104">
        <v>43251</v>
      </c>
      <c r="J93" s="101"/>
      <c r="K93" s="90"/>
      <c r="L93" s="103"/>
      <c r="M93" s="84"/>
      <c r="N93" s="90"/>
      <c r="O93" s="90"/>
      <c r="Q93" s="90"/>
    </row>
    <row r="94" spans="1:17" s="46" customFormat="1" x14ac:dyDescent="0.2">
      <c r="A94"/>
      <c r="B94" s="18" t="s">
        <v>83</v>
      </c>
      <c r="C94" s="18"/>
      <c r="D94" s="18"/>
      <c r="E94" s="19"/>
      <c r="F94" s="19">
        <f>+F40+F42+F44+F46+F48+F50+F52+F54+F56+F58+F60+F62+F64+F66+F68+F70+F72+F74+F76+F78+F80+F82+F84+F86+F88+F90+F92</f>
        <v>3264.8879375000006</v>
      </c>
      <c r="G94" s="20">
        <f>+G40+G42+G44+G46+G48+G50+G52+G54+G56+G58+G60+G62+G64+G66+G68+G70+G72+G74+G76+G78+G80+G82+G84+G86+G88+G90+G92</f>
        <v>0.4206999999999998</v>
      </c>
      <c r="H94" s="20">
        <f>SUM(H40:H93)</f>
        <v>-0.42289999999999983</v>
      </c>
      <c r="I94" s="21"/>
      <c r="J94" s="55"/>
      <c r="K94"/>
      <c r="L94" s="36"/>
      <c r="M94"/>
    </row>
    <row r="95" spans="1:17" s="46" customFormat="1" x14ac:dyDescent="0.2">
      <c r="A95"/>
      <c r="B95"/>
      <c r="C95"/>
      <c r="D95"/>
      <c r="E95" s="28"/>
      <c r="F95" s="28"/>
      <c r="G95" s="28"/>
      <c r="H95" s="28"/>
      <c r="I95" s="15"/>
      <c r="J95" s="56"/>
      <c r="L95" s="48"/>
    </row>
    <row r="96" spans="1:17" s="46" customFormat="1" x14ac:dyDescent="0.2">
      <c r="A96"/>
      <c r="B96" s="16" t="s">
        <v>89</v>
      </c>
      <c r="C96"/>
      <c r="D96"/>
      <c r="E96" s="28"/>
      <c r="F96" s="28"/>
      <c r="G96" s="28"/>
      <c r="H96" s="28"/>
      <c r="I96" s="15"/>
      <c r="J96" s="56"/>
      <c r="L96" s="48"/>
    </row>
    <row r="97" spans="1:13" ht="12.75" customHeight="1" x14ac:dyDescent="0.2">
      <c r="B97" s="16" t="s">
        <v>290</v>
      </c>
      <c r="F97" s="13"/>
      <c r="G97" s="14"/>
      <c r="H97" s="14"/>
      <c r="I97" s="33"/>
      <c r="J97"/>
      <c r="K97" s="36"/>
      <c r="L97"/>
    </row>
    <row r="98" spans="1:13" ht="12.75" customHeight="1" x14ac:dyDescent="0.2">
      <c r="A98" s="65">
        <f>+MAX($A$7:A97)+1</f>
        <v>83</v>
      </c>
      <c r="B98" t="s">
        <v>512</v>
      </c>
      <c r="C98" t="s">
        <v>595</v>
      </c>
      <c r="D98" t="s">
        <v>513</v>
      </c>
      <c r="E98" s="28">
        <v>60</v>
      </c>
      <c r="F98" s="13">
        <v>297.94080000000002</v>
      </c>
      <c r="G98" s="14">
        <f>+ROUND(F98/VLOOKUP("Grand Total",$B$4:$F$334,5,0),4)</f>
        <v>3.8399999999999997E-2</v>
      </c>
      <c r="H98" s="14"/>
      <c r="I98" s="15">
        <v>43245</v>
      </c>
      <c r="J98"/>
      <c r="K98" s="36"/>
      <c r="L98"/>
    </row>
    <row r="99" spans="1:13" ht="12.75" customHeight="1" x14ac:dyDescent="0.2">
      <c r="A99" s="65">
        <f>+MAX($A$7:A98)+1</f>
        <v>84</v>
      </c>
      <c r="B99" t="s">
        <v>512</v>
      </c>
      <c r="C99" t="s">
        <v>611</v>
      </c>
      <c r="D99" t="s">
        <v>513</v>
      </c>
      <c r="E99" s="28">
        <v>40</v>
      </c>
      <c r="F99" s="13">
        <v>197.18719999999999</v>
      </c>
      <c r="G99" s="14">
        <f>+ROUND(F99/VLOOKUP("Grand Total",$B$4:$F$334,5,0),4)</f>
        <v>2.5399999999999999E-2</v>
      </c>
      <c r="H99" s="14"/>
      <c r="I99" s="15">
        <v>43272</v>
      </c>
      <c r="J99"/>
      <c r="K99" s="36"/>
      <c r="L99"/>
    </row>
    <row r="100" spans="1:13" ht="12.75" customHeight="1" x14ac:dyDescent="0.2">
      <c r="A100" s="65">
        <f>+MAX($A$7:A99)+1</f>
        <v>85</v>
      </c>
      <c r="B100" t="s">
        <v>275</v>
      </c>
      <c r="C100" t="s">
        <v>539</v>
      </c>
      <c r="D100" t="s">
        <v>520</v>
      </c>
      <c r="E100" s="28">
        <v>40</v>
      </c>
      <c r="F100" s="13">
        <v>190.58099999999999</v>
      </c>
      <c r="G100" s="14">
        <f>+ROUND(F100/VLOOKUP("Grand Total",$B$4:$F$334,5,0),4)</f>
        <v>2.46E-2</v>
      </c>
      <c r="H100" s="14"/>
      <c r="I100" s="15">
        <v>43426</v>
      </c>
      <c r="J100"/>
      <c r="K100" s="36"/>
      <c r="L100"/>
    </row>
    <row r="101" spans="1:13" ht="12.75" customHeight="1" x14ac:dyDescent="0.2">
      <c r="B101" s="18" t="s">
        <v>83</v>
      </c>
      <c r="C101" s="18"/>
      <c r="D101" s="18"/>
      <c r="E101" s="29"/>
      <c r="F101" s="19">
        <f>SUM(F98:F100)</f>
        <v>685.70900000000006</v>
      </c>
      <c r="G101" s="20">
        <f>SUM(G98:G100)</f>
        <v>8.8399999999999992E-2</v>
      </c>
      <c r="H101" s="20"/>
      <c r="I101" s="21"/>
      <c r="J101"/>
      <c r="K101" s="36"/>
      <c r="L101"/>
    </row>
    <row r="102" spans="1:13" x14ac:dyDescent="0.2">
      <c r="F102" s="44"/>
      <c r="G102" s="14"/>
      <c r="H102" s="14"/>
      <c r="I102" s="15"/>
      <c r="J102" s="56"/>
      <c r="K102" s="48"/>
      <c r="L102" s="46"/>
      <c r="M102" s="46"/>
    </row>
    <row r="103" spans="1:13" x14ac:dyDescent="0.2">
      <c r="B103" s="16" t="s">
        <v>122</v>
      </c>
      <c r="F103" s="44"/>
      <c r="G103" s="14"/>
      <c r="H103" s="14"/>
      <c r="I103" s="15"/>
      <c r="J103" s="56"/>
      <c r="K103" s="48"/>
      <c r="L103" s="46"/>
      <c r="M103" s="46"/>
    </row>
    <row r="104" spans="1:13" ht="12.75" customHeight="1" x14ac:dyDescent="0.2">
      <c r="B104" s="31" t="s">
        <v>289</v>
      </c>
      <c r="F104" s="13"/>
      <c r="G104" s="14"/>
      <c r="H104" s="14"/>
      <c r="I104" s="33"/>
      <c r="J104"/>
      <c r="K104" s="36"/>
      <c r="L104"/>
    </row>
    <row r="105" spans="1:13" ht="12.75" customHeight="1" x14ac:dyDescent="0.2">
      <c r="A105">
        <f>+MAX($A$7:A104)+1</f>
        <v>86</v>
      </c>
      <c r="B105" s="65" t="s">
        <v>664</v>
      </c>
      <c r="C105" t="s">
        <v>618</v>
      </c>
      <c r="D105" t="s">
        <v>619</v>
      </c>
      <c r="E105" s="28">
        <v>200</v>
      </c>
      <c r="F105" s="13">
        <v>202.006</v>
      </c>
      <c r="G105" s="14">
        <f t="shared" ref="G105:G111" si="3">+ROUND(F105/VLOOKUP("Grand Total",$B$4:$F$334,5,0),4)</f>
        <v>2.5999999999999999E-2</v>
      </c>
      <c r="H105" s="14"/>
      <c r="I105" s="15">
        <v>43766</v>
      </c>
      <c r="J105"/>
      <c r="K105" s="36"/>
      <c r="L105"/>
    </row>
    <row r="106" spans="1:13" ht="12.75" customHeight="1" x14ac:dyDescent="0.2">
      <c r="A106">
        <f>+MAX($A$7:A105)+1</f>
        <v>87</v>
      </c>
      <c r="B106" s="65" t="s">
        <v>445</v>
      </c>
      <c r="C106" t="s">
        <v>446</v>
      </c>
      <c r="D106" t="s">
        <v>276</v>
      </c>
      <c r="E106" s="28">
        <v>17</v>
      </c>
      <c r="F106" s="13">
        <v>169.02284</v>
      </c>
      <c r="G106" s="14">
        <f t="shared" si="3"/>
        <v>2.18E-2</v>
      </c>
      <c r="H106" s="14"/>
      <c r="I106" s="15">
        <v>43630</v>
      </c>
      <c r="J106"/>
      <c r="K106" s="36"/>
      <c r="L106"/>
    </row>
    <row r="107" spans="1:13" ht="12.75" customHeight="1" x14ac:dyDescent="0.2">
      <c r="A107">
        <f>+MAX($A$7:A106)+1</f>
        <v>88</v>
      </c>
      <c r="B107" s="65" t="s">
        <v>388</v>
      </c>
      <c r="C107" t="s">
        <v>389</v>
      </c>
      <c r="D107" t="s">
        <v>338</v>
      </c>
      <c r="E107" s="28">
        <v>13</v>
      </c>
      <c r="F107" s="13">
        <v>130.07371000000001</v>
      </c>
      <c r="G107" s="14">
        <f t="shared" si="3"/>
        <v>1.6799999999999999E-2</v>
      </c>
      <c r="H107" s="14"/>
      <c r="I107" s="15">
        <v>43322</v>
      </c>
      <c r="J107"/>
      <c r="K107" s="36"/>
      <c r="L107"/>
    </row>
    <row r="108" spans="1:13" ht="12.75" customHeight="1" x14ac:dyDescent="0.2">
      <c r="A108">
        <f>+MAX($A$7:A107)+1</f>
        <v>89</v>
      </c>
      <c r="B108" s="65" t="s">
        <v>471</v>
      </c>
      <c r="C108" t="s">
        <v>472</v>
      </c>
      <c r="D108" t="s">
        <v>106</v>
      </c>
      <c r="E108" s="28">
        <v>10</v>
      </c>
      <c r="F108" s="13">
        <v>98.600099999999998</v>
      </c>
      <c r="G108" s="14">
        <f t="shared" si="3"/>
        <v>1.2699999999999999E-2</v>
      </c>
      <c r="H108" s="14"/>
      <c r="I108" s="15">
        <v>44091</v>
      </c>
      <c r="J108"/>
      <c r="K108" s="36"/>
      <c r="L108"/>
    </row>
    <row r="109" spans="1:13" ht="12.75" customHeight="1" x14ac:dyDescent="0.2">
      <c r="A109">
        <f>+MAX($A$7:A108)+1</f>
        <v>90</v>
      </c>
      <c r="B109" s="65" t="s">
        <v>614</v>
      </c>
      <c r="C109" t="s">
        <v>576</v>
      </c>
      <c r="D109" t="s">
        <v>563</v>
      </c>
      <c r="E109" s="28">
        <v>9.9999999999999982</v>
      </c>
      <c r="F109" s="13">
        <v>83.259399999999999</v>
      </c>
      <c r="G109" s="14">
        <f t="shared" si="3"/>
        <v>1.0699999999999999E-2</v>
      </c>
      <c r="H109" s="14"/>
      <c r="I109" s="15">
        <v>43826</v>
      </c>
      <c r="J109"/>
      <c r="K109" s="36"/>
      <c r="L109"/>
    </row>
    <row r="110" spans="1:13" ht="12.75" customHeight="1" x14ac:dyDescent="0.2">
      <c r="A110">
        <f>+MAX($A$7:A109)+1</f>
        <v>91</v>
      </c>
      <c r="B110" s="65" t="s">
        <v>681</v>
      </c>
      <c r="C110" t="s">
        <v>542</v>
      </c>
      <c r="D110" t="s">
        <v>106</v>
      </c>
      <c r="E110" s="28">
        <v>4</v>
      </c>
      <c r="F110" s="13">
        <v>51.479199999999999</v>
      </c>
      <c r="G110" s="14">
        <f t="shared" si="3"/>
        <v>6.6E-3</v>
      </c>
      <c r="H110" s="14"/>
      <c r="I110" s="15">
        <v>44401</v>
      </c>
      <c r="J110"/>
      <c r="K110" s="36"/>
      <c r="L110"/>
    </row>
    <row r="111" spans="1:13" ht="12.75" customHeight="1" x14ac:dyDescent="0.2">
      <c r="A111">
        <f>+MAX($A$7:A110)+1</f>
        <v>92</v>
      </c>
      <c r="B111" s="65" t="s">
        <v>667</v>
      </c>
      <c r="C111" t="s">
        <v>167</v>
      </c>
      <c r="D111" t="s">
        <v>166</v>
      </c>
      <c r="E111" s="28">
        <v>1</v>
      </c>
      <c r="F111" s="13">
        <v>10.0174</v>
      </c>
      <c r="G111" s="14">
        <f t="shared" si="3"/>
        <v>1.2999999999999999E-3</v>
      </c>
      <c r="H111" s="14"/>
      <c r="I111" s="15">
        <v>43259</v>
      </c>
      <c r="J111"/>
      <c r="K111" s="36"/>
      <c r="L111"/>
    </row>
    <row r="112" spans="1:13" ht="12.75" customHeight="1" x14ac:dyDescent="0.2">
      <c r="B112" s="18" t="s">
        <v>83</v>
      </c>
      <c r="C112" s="18"/>
      <c r="D112" s="18"/>
      <c r="E112" s="29"/>
      <c r="F112" s="19">
        <f>SUM(F105:F111)</f>
        <v>744.45864999999992</v>
      </c>
      <c r="G112" s="20">
        <f>SUM(G105:G111)</f>
        <v>9.5899999999999985E-2</v>
      </c>
      <c r="H112" s="20"/>
      <c r="I112" s="21"/>
      <c r="J112"/>
      <c r="K112" s="36"/>
      <c r="L112"/>
    </row>
    <row r="113" spans="1:13" x14ac:dyDescent="0.2">
      <c r="F113" s="44"/>
      <c r="G113" s="14"/>
      <c r="H113" s="14"/>
      <c r="I113" s="15"/>
      <c r="J113" s="56"/>
      <c r="K113" s="48"/>
      <c r="L113" s="46"/>
      <c r="M113" s="46"/>
    </row>
    <row r="114" spans="1:13" ht="12.75" customHeight="1" x14ac:dyDescent="0.2">
      <c r="B114" s="16" t="s">
        <v>90</v>
      </c>
      <c r="F114" s="13"/>
      <c r="G114" s="14"/>
      <c r="H114" s="14"/>
      <c r="I114" s="33"/>
      <c r="J114"/>
      <c r="K114" s="36"/>
      <c r="L114"/>
    </row>
    <row r="115" spans="1:13" ht="12.75" customHeight="1" x14ac:dyDescent="0.2">
      <c r="A115">
        <f>+MAX($A$7:A114)+1</f>
        <v>93</v>
      </c>
      <c r="B115" t="s">
        <v>413</v>
      </c>
      <c r="C115" t="s">
        <v>331</v>
      </c>
      <c r="D115" t="s">
        <v>302</v>
      </c>
      <c r="E115" s="28">
        <v>9842.8194000000003</v>
      </c>
      <c r="F115" s="13">
        <v>166.84686199999999</v>
      </c>
      <c r="G115" s="14">
        <f>+ROUND(F115/VLOOKUP("Grand Total",$B$4:$F$334,5,0),4)</f>
        <v>2.1499999999999998E-2</v>
      </c>
      <c r="H115" s="14"/>
      <c r="I115" s="33" t="s">
        <v>346</v>
      </c>
      <c r="J115"/>
      <c r="K115" s="36"/>
      <c r="L115"/>
    </row>
    <row r="116" spans="1:13" ht="12.75" customHeight="1" x14ac:dyDescent="0.2">
      <c r="B116" s="18" t="s">
        <v>83</v>
      </c>
      <c r="C116" s="18"/>
      <c r="D116" s="18"/>
      <c r="E116" s="29"/>
      <c r="F116" s="19">
        <f>SUM(F115)</f>
        <v>166.84686199999999</v>
      </c>
      <c r="G116" s="20">
        <f>SUM(G115)</f>
        <v>2.1499999999999998E-2</v>
      </c>
      <c r="H116" s="20"/>
      <c r="I116" s="21"/>
      <c r="J116"/>
      <c r="K116" s="36"/>
      <c r="L116"/>
    </row>
    <row r="117" spans="1:13" x14ac:dyDescent="0.2">
      <c r="F117" s="44"/>
      <c r="G117" s="14"/>
      <c r="H117" s="14"/>
      <c r="I117" s="15"/>
      <c r="J117" s="56"/>
      <c r="K117" s="48"/>
      <c r="L117" s="46"/>
      <c r="M117" s="46"/>
    </row>
    <row r="118" spans="1:13" x14ac:dyDescent="0.2">
      <c r="A118" s="95" t="s">
        <v>345</v>
      </c>
      <c r="B118" s="16" t="s">
        <v>91</v>
      </c>
      <c r="C118" s="16"/>
      <c r="F118" s="13">
        <v>273.21054720000001</v>
      </c>
      <c r="G118" s="14">
        <f>+ROUND(F118/VLOOKUP("Grand Total",$B$4:$F$310,5,0),4)</f>
        <v>3.5200000000000002E-2</v>
      </c>
      <c r="H118" s="14"/>
      <c r="I118" s="15">
        <v>43222</v>
      </c>
      <c r="J118" s="56"/>
      <c r="K118" s="36"/>
      <c r="L118"/>
    </row>
    <row r="119" spans="1:13" x14ac:dyDescent="0.2">
      <c r="B119" s="18" t="s">
        <v>83</v>
      </c>
      <c r="C119" s="18"/>
      <c r="D119" s="18"/>
      <c r="E119" s="29"/>
      <c r="F119" s="19">
        <f>SUM(F118)</f>
        <v>273.21054720000001</v>
      </c>
      <c r="G119" s="20">
        <f>SUM(G118)</f>
        <v>3.5200000000000002E-2</v>
      </c>
      <c r="H119" s="20"/>
      <c r="I119" s="21"/>
      <c r="J119" s="55"/>
    </row>
    <row r="120" spans="1:13" x14ac:dyDescent="0.2">
      <c r="F120" s="13"/>
      <c r="G120" s="14"/>
      <c r="H120" s="14"/>
      <c r="I120" s="15"/>
      <c r="J120" s="56"/>
    </row>
    <row r="121" spans="1:13" x14ac:dyDescent="0.2">
      <c r="B121" s="16" t="s">
        <v>92</v>
      </c>
      <c r="C121" s="16"/>
      <c r="F121" s="13"/>
      <c r="G121" s="14"/>
      <c r="H121" s="14"/>
      <c r="I121" s="15"/>
      <c r="J121" s="56"/>
    </row>
    <row r="122" spans="1:13" x14ac:dyDescent="0.2">
      <c r="B122" s="16" t="s">
        <v>93</v>
      </c>
      <c r="C122" s="16"/>
      <c r="F122" s="44">
        <f>+F124-SUMIF($B$5:B121,"Total",$F$5:F121)</f>
        <v>432.04869679999774</v>
      </c>
      <c r="G122" s="45">
        <f>+ROUND(F122/VLOOKUP("Grand Total",$B$4:$F$310,5,0),4)-0.01%</f>
        <v>5.5599999999999997E-2</v>
      </c>
      <c r="H122" s="45"/>
      <c r="I122" s="15"/>
      <c r="J122" s="56"/>
    </row>
    <row r="123" spans="1:13" x14ac:dyDescent="0.2">
      <c r="B123" s="18" t="s">
        <v>83</v>
      </c>
      <c r="C123" s="18"/>
      <c r="D123" s="18"/>
      <c r="E123" s="29"/>
      <c r="F123" s="19">
        <f>SUM(F122)</f>
        <v>432.04869679999774</v>
      </c>
      <c r="G123" s="20">
        <f>SUM(G122)</f>
        <v>5.5599999999999997E-2</v>
      </c>
      <c r="H123" s="20"/>
      <c r="I123" s="21"/>
      <c r="J123" s="55"/>
    </row>
    <row r="124" spans="1:13" x14ac:dyDescent="0.2">
      <c r="B124" s="22" t="s">
        <v>94</v>
      </c>
      <c r="C124" s="22"/>
      <c r="D124" s="22"/>
      <c r="E124" s="30"/>
      <c r="F124" s="23">
        <v>7762.5078519999979</v>
      </c>
      <c r="G124" s="24">
        <f>+SUMIF($B$5:B123,"Total",$G$5:G123)</f>
        <v>0.99999999999999978</v>
      </c>
      <c r="H124" s="24"/>
      <c r="I124" s="25"/>
      <c r="J124" s="39"/>
    </row>
    <row r="125" spans="1:13" x14ac:dyDescent="0.2">
      <c r="F125" s="40"/>
      <c r="L125"/>
    </row>
    <row r="126" spans="1:13" x14ac:dyDescent="0.2">
      <c r="B126" s="16" t="s">
        <v>565</v>
      </c>
      <c r="C126" s="16"/>
      <c r="L126"/>
    </row>
    <row r="127" spans="1:13" x14ac:dyDescent="0.2">
      <c r="B127" s="16" t="s">
        <v>181</v>
      </c>
      <c r="C127" s="16"/>
      <c r="L127"/>
    </row>
    <row r="128" spans="1:13" x14ac:dyDescent="0.2">
      <c r="B128" s="53"/>
      <c r="L128"/>
    </row>
    <row r="129" spans="5:12" x14ac:dyDescent="0.2">
      <c r="L129"/>
    </row>
    <row r="130" spans="5:12" x14ac:dyDescent="0.2">
      <c r="L130"/>
    </row>
    <row r="131" spans="5:12" x14ac:dyDescent="0.2">
      <c r="L131"/>
    </row>
    <row r="132" spans="5:12" x14ac:dyDescent="0.2">
      <c r="L132"/>
    </row>
    <row r="133" spans="5:12" x14ac:dyDescent="0.2">
      <c r="L133"/>
    </row>
    <row r="134" spans="5:12" x14ac:dyDescent="0.2">
      <c r="L134"/>
    </row>
    <row r="135" spans="5:12" x14ac:dyDescent="0.2">
      <c r="L135"/>
    </row>
    <row r="136" spans="5:12" x14ac:dyDescent="0.2"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  <c r="J171"/>
      <c r="L171"/>
    </row>
    <row r="172" spans="5:12" x14ac:dyDescent="0.2">
      <c r="E172"/>
      <c r="J172"/>
      <c r="L172"/>
    </row>
    <row r="173" spans="5:12" x14ac:dyDescent="0.2">
      <c r="E173"/>
      <c r="J173"/>
      <c r="L173"/>
    </row>
    <row r="174" spans="5:12" x14ac:dyDescent="0.2">
      <c r="E174"/>
      <c r="J174"/>
      <c r="L174"/>
    </row>
    <row r="175" spans="5:12" x14ac:dyDescent="0.2">
      <c r="E175"/>
      <c r="J175"/>
      <c r="L175"/>
    </row>
  </sheetData>
  <sheetProtection password="EDB3" sheet="1" objects="1" scenarios="1"/>
  <sortState ref="K9:L37">
    <sortCondition descending="1" ref="L9:L37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7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360</v>
      </c>
      <c r="B1" s="128" t="s">
        <v>424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89</v>
      </c>
      <c r="C7" s="16"/>
      <c r="F7" s="13"/>
      <c r="G7" s="14"/>
      <c r="H7" s="15"/>
    </row>
    <row r="8" spans="1:16" ht="12.75" customHeight="1" x14ac:dyDescent="0.2">
      <c r="B8" s="16" t="s">
        <v>164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+MAX($A$7:A8)+1</f>
        <v>1</v>
      </c>
      <c r="B9" t="s">
        <v>523</v>
      </c>
      <c r="C9" t="s">
        <v>605</v>
      </c>
      <c r="D9" t="s">
        <v>378</v>
      </c>
      <c r="E9" s="28">
        <v>20000</v>
      </c>
      <c r="F9" s="13">
        <v>19.869779999999999</v>
      </c>
      <c r="G9" s="14">
        <f>+ROUND(F9/VLOOKUP("Grand Total",$B$4:$F$290,5,0),4)</f>
        <v>9.4999999999999998E-3</v>
      </c>
      <c r="H9" s="15">
        <v>43258</v>
      </c>
      <c r="J9" s="14" t="s">
        <v>106</v>
      </c>
      <c r="K9" s="48">
        <f t="shared" ref="K9:K16" si="0">SUMIFS($G$5:$G$320,$D$5:$D$320,J9)</f>
        <v>0.374</v>
      </c>
    </row>
    <row r="10" spans="1:16" ht="12.75" customHeight="1" x14ac:dyDescent="0.2">
      <c r="B10" s="18" t="s">
        <v>83</v>
      </c>
      <c r="C10" s="18"/>
      <c r="D10" s="18"/>
      <c r="E10" s="29"/>
      <c r="F10" s="19">
        <f>SUM(F9:F9)</f>
        <v>19.869779999999999</v>
      </c>
      <c r="G10" s="20">
        <f>SUM(G9:G9)</f>
        <v>9.4999999999999998E-3</v>
      </c>
      <c r="H10" s="21"/>
      <c r="J10" t="s">
        <v>166</v>
      </c>
      <c r="K10" s="48">
        <f t="shared" si="0"/>
        <v>9.5500000000000002E-2</v>
      </c>
    </row>
    <row r="11" spans="1:16" ht="12.75" customHeight="1" x14ac:dyDescent="0.2">
      <c r="B11" s="16"/>
      <c r="C11" s="16"/>
      <c r="F11" s="13"/>
      <c r="G11" s="14"/>
      <c r="H11" s="15"/>
      <c r="J11" t="s">
        <v>276</v>
      </c>
      <c r="K11" s="48">
        <f t="shared" si="0"/>
        <v>8.5300000000000001E-2</v>
      </c>
    </row>
    <row r="12" spans="1:16" ht="12.75" customHeight="1" x14ac:dyDescent="0.2">
      <c r="B12" s="16" t="s">
        <v>165</v>
      </c>
      <c r="C12" s="16"/>
      <c r="F12" s="13"/>
      <c r="G12" s="14"/>
      <c r="H12" s="15"/>
      <c r="J12" s="46" t="s">
        <v>378</v>
      </c>
      <c r="K12" s="48">
        <f t="shared" si="0"/>
        <v>7.6100000000000001E-2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536</v>
      </c>
      <c r="C13" t="s">
        <v>537</v>
      </c>
      <c r="D13" t="s">
        <v>378</v>
      </c>
      <c r="E13" s="28">
        <v>150000</v>
      </c>
      <c r="F13" s="13">
        <v>139.63935000000001</v>
      </c>
      <c r="G13" s="14">
        <f>+ROUND(F13/VLOOKUP("Grand Total",$B$4:$F$288,5,0),4)</f>
        <v>6.6600000000000006E-2</v>
      </c>
      <c r="H13" s="15">
        <v>46522</v>
      </c>
      <c r="J13" s="14" t="s">
        <v>489</v>
      </c>
      <c r="K13" s="48">
        <f t="shared" si="0"/>
        <v>7.1800000000000003E-2</v>
      </c>
      <c r="M13" s="14"/>
      <c r="N13" s="36"/>
      <c r="P13" s="14"/>
    </row>
    <row r="14" spans="1:16" ht="12.75" customHeight="1" x14ac:dyDescent="0.2">
      <c r="B14" s="18" t="s">
        <v>83</v>
      </c>
      <c r="C14" s="18"/>
      <c r="D14" s="18"/>
      <c r="E14" s="29"/>
      <c r="F14" s="19">
        <f>SUM(F13:F13)</f>
        <v>139.63935000000001</v>
      </c>
      <c r="G14" s="20">
        <f>SUM(G13:G13)</f>
        <v>6.6600000000000006E-2</v>
      </c>
      <c r="H14" s="21"/>
      <c r="I14" s="35"/>
      <c r="J14" t="s">
        <v>170</v>
      </c>
      <c r="K14" s="48">
        <f t="shared" si="0"/>
        <v>7.1499999999999994E-2</v>
      </c>
      <c r="L14" s="54"/>
      <c r="M14" s="14"/>
      <c r="N14" s="36"/>
      <c r="P14" s="14"/>
    </row>
    <row r="15" spans="1:16" ht="12.75" customHeight="1" x14ac:dyDescent="0.2">
      <c r="F15" s="13"/>
      <c r="G15" s="14"/>
      <c r="H15" s="15"/>
      <c r="J15" t="s">
        <v>338</v>
      </c>
      <c r="K15" s="48">
        <f t="shared" si="0"/>
        <v>5.2600000000000001E-2</v>
      </c>
      <c r="L15" s="54"/>
      <c r="M15" s="14"/>
      <c r="N15" s="36"/>
      <c r="P15" s="14"/>
    </row>
    <row r="16" spans="1:16" ht="12.75" customHeight="1" x14ac:dyDescent="0.2">
      <c r="B16" s="16" t="s">
        <v>122</v>
      </c>
      <c r="C16" s="16"/>
      <c r="F16" s="13"/>
      <c r="G16" s="14"/>
      <c r="H16" s="15"/>
      <c r="J16" s="14" t="s">
        <v>623</v>
      </c>
      <c r="K16" s="48">
        <f t="shared" si="0"/>
        <v>4.7399999999999998E-2</v>
      </c>
      <c r="L16" s="54">
        <f>+SUM($K$12:K16)</f>
        <v>0.31939999999999996</v>
      </c>
      <c r="M16" s="14"/>
      <c r="N16" s="36"/>
      <c r="P16" s="14"/>
    </row>
    <row r="17" spans="1:11" ht="12.75" customHeight="1" x14ac:dyDescent="0.2">
      <c r="B17" s="31" t="s">
        <v>381</v>
      </c>
      <c r="C17" s="16"/>
      <c r="F17" s="13"/>
      <c r="G17" s="14"/>
      <c r="H17" s="15"/>
      <c r="J17" s="14" t="s">
        <v>62</v>
      </c>
      <c r="K17" s="48">
        <f>+SUMIFS($G$5:$G$998,$B$5:$B$998,"CBLO / Reverse Repo Investments")+SUMIFS($G$5:$G$998,$B$5:$B$998,"Net Receivable/Payable")</f>
        <v>0.1258</v>
      </c>
    </row>
    <row r="18" spans="1:11" ht="12.75" customHeight="1" x14ac:dyDescent="0.2">
      <c r="A18">
        <f>+MAX($A$7:A17)+1</f>
        <v>3</v>
      </c>
      <c r="B18" s="65" t="s">
        <v>716</v>
      </c>
      <c r="C18" t="s">
        <v>167</v>
      </c>
      <c r="D18" t="s">
        <v>166</v>
      </c>
      <c r="E18" s="28">
        <v>20</v>
      </c>
      <c r="F18" s="13">
        <v>200.37540000000001</v>
      </c>
      <c r="G18" s="14">
        <f t="shared" ref="G18:G29" si="1">+ROUND(F18/VLOOKUP("Grand Total",$B$4:$F$288,5,0),4)</f>
        <v>9.5500000000000002E-2</v>
      </c>
      <c r="H18" s="15">
        <v>43259</v>
      </c>
      <c r="J18" s="52"/>
    </row>
    <row r="19" spans="1:11" ht="12.75" customHeight="1" x14ac:dyDescent="0.2">
      <c r="A19">
        <f>+MAX($A$7:A18)+1</f>
        <v>4</v>
      </c>
      <c r="B19" t="s">
        <v>724</v>
      </c>
      <c r="C19" t="s">
        <v>627</v>
      </c>
      <c r="D19" t="s">
        <v>106</v>
      </c>
      <c r="E19" s="28">
        <v>20</v>
      </c>
      <c r="F19" s="13">
        <v>199.45419999999999</v>
      </c>
      <c r="G19" s="14">
        <f t="shared" si="1"/>
        <v>9.5100000000000004E-2</v>
      </c>
      <c r="H19" s="15">
        <v>43539</v>
      </c>
    </row>
    <row r="20" spans="1:11" ht="12.75" customHeight="1" x14ac:dyDescent="0.2">
      <c r="A20">
        <f>+MAX($A$7:A19)+1</f>
        <v>5</v>
      </c>
      <c r="B20" t="s">
        <v>725</v>
      </c>
      <c r="C20" t="s">
        <v>679</v>
      </c>
      <c r="D20" t="s">
        <v>106</v>
      </c>
      <c r="E20" s="28">
        <v>20</v>
      </c>
      <c r="F20" s="13">
        <v>194.72380000000001</v>
      </c>
      <c r="G20" s="14">
        <f t="shared" si="1"/>
        <v>9.2799999999999994E-2</v>
      </c>
      <c r="H20" s="15">
        <v>44196</v>
      </c>
      <c r="J20" s="52"/>
    </row>
    <row r="21" spans="1:11" ht="12.75" customHeight="1" x14ac:dyDescent="0.2">
      <c r="A21">
        <f>+MAX($A$7:A20)+1</f>
        <v>6</v>
      </c>
      <c r="B21" s="65" t="s">
        <v>698</v>
      </c>
      <c r="C21" t="s">
        <v>446</v>
      </c>
      <c r="D21" t="s">
        <v>276</v>
      </c>
      <c r="E21" s="28">
        <v>18</v>
      </c>
      <c r="F21" s="13">
        <v>178.95473999999999</v>
      </c>
      <c r="G21" s="14">
        <f t="shared" si="1"/>
        <v>8.5300000000000001E-2</v>
      </c>
      <c r="H21" s="15">
        <v>43630</v>
      </c>
      <c r="J21" s="52"/>
    </row>
    <row r="22" spans="1:11" ht="12.75" customHeight="1" x14ac:dyDescent="0.2">
      <c r="A22">
        <f>+MAX($A$7:A21)+1</f>
        <v>7</v>
      </c>
      <c r="B22" t="s">
        <v>702</v>
      </c>
      <c r="C22" t="s">
        <v>329</v>
      </c>
      <c r="D22" t="s">
        <v>489</v>
      </c>
      <c r="E22" s="28">
        <v>15</v>
      </c>
      <c r="F22" s="13">
        <v>150.54525000000001</v>
      </c>
      <c r="G22" s="14">
        <f t="shared" si="1"/>
        <v>7.1800000000000003E-2</v>
      </c>
      <c r="H22" s="15">
        <v>43309</v>
      </c>
      <c r="J22" s="52"/>
    </row>
    <row r="23" spans="1:11" ht="12.75" customHeight="1" x14ac:dyDescent="0.2">
      <c r="A23">
        <f>+MAX($A$7:A22)+1</f>
        <v>8</v>
      </c>
      <c r="B23" t="s">
        <v>703</v>
      </c>
      <c r="C23" t="s">
        <v>330</v>
      </c>
      <c r="D23" t="s">
        <v>170</v>
      </c>
      <c r="E23" s="28">
        <v>15</v>
      </c>
      <c r="F23" s="13">
        <v>150.07695000000001</v>
      </c>
      <c r="G23" s="14">
        <f t="shared" si="1"/>
        <v>7.1499999999999994E-2</v>
      </c>
      <c r="H23" s="15">
        <v>43299</v>
      </c>
      <c r="J23" s="52"/>
    </row>
    <row r="24" spans="1:11" ht="12.75" customHeight="1" x14ac:dyDescent="0.2">
      <c r="A24">
        <f>+MAX($A$7:A23)+1</f>
        <v>9</v>
      </c>
      <c r="B24" t="s">
        <v>726</v>
      </c>
      <c r="C24" t="s">
        <v>628</v>
      </c>
      <c r="D24" t="s">
        <v>106</v>
      </c>
      <c r="E24" s="28">
        <v>15</v>
      </c>
      <c r="F24" s="13">
        <v>147.44864999999999</v>
      </c>
      <c r="G24" s="14">
        <f t="shared" si="1"/>
        <v>7.0300000000000001E-2</v>
      </c>
      <c r="H24" s="15">
        <v>44915</v>
      </c>
      <c r="J24" s="52"/>
    </row>
    <row r="25" spans="1:11" ht="12.75" customHeight="1" x14ac:dyDescent="0.2">
      <c r="A25">
        <f>+MAX($A$7:A24)+1</f>
        <v>10</v>
      </c>
      <c r="B25" t="s">
        <v>721</v>
      </c>
      <c r="C25" t="s">
        <v>515</v>
      </c>
      <c r="D25" t="s">
        <v>106</v>
      </c>
      <c r="E25" s="28">
        <v>15</v>
      </c>
      <c r="F25" s="13">
        <v>142.86150000000001</v>
      </c>
      <c r="G25" s="14">
        <f t="shared" si="1"/>
        <v>6.8099999999999994E-2</v>
      </c>
      <c r="H25" s="15">
        <v>44804</v>
      </c>
      <c r="J25" s="52"/>
    </row>
    <row r="26" spans="1:11" ht="12.75" customHeight="1" x14ac:dyDescent="0.2">
      <c r="A26">
        <f>+MAX($A$7:A25)+1</f>
        <v>11</v>
      </c>
      <c r="B26" t="s">
        <v>711</v>
      </c>
      <c r="C26" t="s">
        <v>490</v>
      </c>
      <c r="D26" t="s">
        <v>338</v>
      </c>
      <c r="E26" s="28">
        <v>10000</v>
      </c>
      <c r="F26" s="13">
        <v>100.32899999999999</v>
      </c>
      <c r="G26" s="14">
        <f t="shared" si="1"/>
        <v>4.7800000000000002E-2</v>
      </c>
      <c r="H26" s="15">
        <v>43717</v>
      </c>
      <c r="J26" s="52"/>
    </row>
    <row r="27" spans="1:11" ht="12.75" customHeight="1" x14ac:dyDescent="0.2">
      <c r="A27">
        <f>+MAX($A$7:A26)+1</f>
        <v>12</v>
      </c>
      <c r="B27" t="s">
        <v>727</v>
      </c>
      <c r="C27" t="s">
        <v>382</v>
      </c>
      <c r="D27" t="s">
        <v>106</v>
      </c>
      <c r="E27" s="28">
        <v>10</v>
      </c>
      <c r="F27" s="13">
        <v>99.981300000000005</v>
      </c>
      <c r="G27" s="14">
        <f t="shared" si="1"/>
        <v>4.7699999999999999E-2</v>
      </c>
      <c r="H27" s="15">
        <v>44343</v>
      </c>
      <c r="J27" s="52"/>
    </row>
    <row r="28" spans="1:11" ht="12.75" customHeight="1" x14ac:dyDescent="0.2">
      <c r="A28">
        <f>+MAX($A$7:A27)+1</f>
        <v>13</v>
      </c>
      <c r="B28" s="65" t="s">
        <v>665</v>
      </c>
      <c r="C28" t="s">
        <v>622</v>
      </c>
      <c r="D28" t="s">
        <v>623</v>
      </c>
      <c r="E28" s="28">
        <v>10</v>
      </c>
      <c r="F28" s="13">
        <v>99.359200000000001</v>
      </c>
      <c r="G28" s="14">
        <f t="shared" si="1"/>
        <v>4.7399999999999998E-2</v>
      </c>
      <c r="H28" s="15">
        <v>45097</v>
      </c>
      <c r="J28" s="52"/>
    </row>
    <row r="29" spans="1:11" ht="12.75" customHeight="1" x14ac:dyDescent="0.2">
      <c r="A29">
        <f>+MAX($A$7:A28)+1</f>
        <v>14</v>
      </c>
      <c r="B29" t="s">
        <v>701</v>
      </c>
      <c r="C29" t="s">
        <v>390</v>
      </c>
      <c r="D29" t="s">
        <v>338</v>
      </c>
      <c r="E29" s="28">
        <v>1000</v>
      </c>
      <c r="F29" s="13">
        <v>10.02675</v>
      </c>
      <c r="G29" s="14">
        <f t="shared" si="1"/>
        <v>4.7999999999999996E-3</v>
      </c>
      <c r="H29" s="15">
        <v>43717</v>
      </c>
      <c r="J29" s="52"/>
    </row>
    <row r="30" spans="1:11" ht="12.75" customHeight="1" x14ac:dyDescent="0.2">
      <c r="B30" s="18" t="s">
        <v>83</v>
      </c>
      <c r="C30" s="18"/>
      <c r="D30" s="18"/>
      <c r="E30" s="29"/>
      <c r="F30" s="19">
        <f>SUM(F18:F29)</f>
        <v>1674.1367400000001</v>
      </c>
      <c r="G30" s="20">
        <f>SUM(G18:G29)</f>
        <v>0.79810000000000003</v>
      </c>
      <c r="H30" s="21"/>
      <c r="J30" s="52"/>
    </row>
    <row r="31" spans="1:11" ht="12.75" customHeight="1" x14ac:dyDescent="0.2">
      <c r="F31" s="13"/>
      <c r="G31" s="14"/>
      <c r="H31" s="15"/>
    </row>
    <row r="32" spans="1:11" ht="12.75" customHeight="1" x14ac:dyDescent="0.2">
      <c r="A32" s="95" t="s">
        <v>345</v>
      </c>
      <c r="B32" s="16" t="s">
        <v>91</v>
      </c>
      <c r="C32" s="16"/>
      <c r="F32" s="13">
        <v>325.35850670000002</v>
      </c>
      <c r="G32" s="14">
        <f>+ROUND(F32/VLOOKUP("Grand Total",$B$4:$F$288,5,0),4)</f>
        <v>0.15509999999999999</v>
      </c>
      <c r="H32" s="15">
        <v>43222</v>
      </c>
    </row>
    <row r="33" spans="2:9" ht="12.75" customHeight="1" x14ac:dyDescent="0.2">
      <c r="B33" s="18" t="s">
        <v>83</v>
      </c>
      <c r="C33" s="18"/>
      <c r="D33" s="18"/>
      <c r="E33" s="29"/>
      <c r="F33" s="19">
        <f>SUM(F32)</f>
        <v>325.35850670000002</v>
      </c>
      <c r="G33" s="20">
        <f>SUM(G32)</f>
        <v>0.15509999999999999</v>
      </c>
      <c r="H33" s="21"/>
      <c r="I33" s="35"/>
    </row>
    <row r="34" spans="2:9" ht="12.75" customHeight="1" x14ac:dyDescent="0.2">
      <c r="F34" s="13"/>
      <c r="G34" s="14"/>
      <c r="H34" s="15"/>
    </row>
    <row r="35" spans="2:9" ht="12.75" customHeight="1" x14ac:dyDescent="0.2">
      <c r="B35" s="16" t="s">
        <v>92</v>
      </c>
      <c r="C35" s="16"/>
      <c r="F35" s="13"/>
      <c r="G35" s="14"/>
      <c r="H35" s="15"/>
    </row>
    <row r="36" spans="2:9" ht="12.75" customHeight="1" x14ac:dyDescent="0.2">
      <c r="B36" s="16" t="s">
        <v>93</v>
      </c>
      <c r="C36" s="16"/>
      <c r="F36" s="13">
        <v>-61.261282199999641</v>
      </c>
      <c r="G36" s="122">
        <f>+ROUND(F36/VLOOKUP("Grand Total",$B$4:$F$288,5,0),4)-0.01%</f>
        <v>-2.93E-2</v>
      </c>
      <c r="H36" s="15"/>
    </row>
    <row r="37" spans="2:9" ht="12.75" customHeight="1" x14ac:dyDescent="0.2">
      <c r="B37" s="18" t="s">
        <v>83</v>
      </c>
      <c r="C37" s="18"/>
      <c r="D37" s="18"/>
      <c r="E37" s="29"/>
      <c r="F37" s="19">
        <f>SUM(F36)</f>
        <v>-61.261282199999641</v>
      </c>
      <c r="G37" s="123">
        <f>SUM(G36)</f>
        <v>-2.93E-2</v>
      </c>
      <c r="H37" s="21"/>
      <c r="I37" s="35"/>
    </row>
    <row r="38" spans="2:9" ht="12.75" customHeight="1" x14ac:dyDescent="0.2">
      <c r="B38" s="22" t="s">
        <v>94</v>
      </c>
      <c r="C38" s="22"/>
      <c r="D38" s="22"/>
      <c r="E38" s="30"/>
      <c r="F38" s="23">
        <f>+SUMIF($B$5:B37,"Total",$F$5:F37)</f>
        <v>2097.7430945000006</v>
      </c>
      <c r="G38" s="24">
        <f>+SUMIF($B$5:B37,"Total",$G$5:G37)</f>
        <v>1</v>
      </c>
      <c r="H38" s="25"/>
      <c r="I38" s="35"/>
    </row>
    <row r="39" spans="2:9" ht="12.75" customHeight="1" x14ac:dyDescent="0.2"/>
    <row r="40" spans="2:9" ht="12.75" customHeight="1" x14ac:dyDescent="0.2">
      <c r="B40" s="16" t="s">
        <v>565</v>
      </c>
      <c r="C40" s="16"/>
    </row>
    <row r="41" spans="2:9" ht="12.75" customHeight="1" x14ac:dyDescent="0.2">
      <c r="B41" s="16" t="s">
        <v>181</v>
      </c>
      <c r="C41" s="16"/>
    </row>
    <row r="42" spans="2:9" ht="12.75" customHeight="1" x14ac:dyDescent="0.2">
      <c r="B42" s="16"/>
      <c r="C42" s="16"/>
    </row>
    <row r="43" spans="2:9" ht="12.75" customHeight="1" x14ac:dyDescent="0.2">
      <c r="B43" s="16"/>
      <c r="C43" s="16"/>
    </row>
    <row r="44" spans="2:9" ht="12.75" customHeight="1" x14ac:dyDescent="0.2">
      <c r="B44" s="16"/>
      <c r="C44" s="16"/>
    </row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sheetProtection password="EDB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8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361</v>
      </c>
      <c r="B1" s="128" t="s">
        <v>168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+MAX($A$7:A8)+1</f>
        <v>1</v>
      </c>
      <c r="B9" t="s">
        <v>187</v>
      </c>
      <c r="C9" t="s">
        <v>14</v>
      </c>
      <c r="D9" t="s">
        <v>13</v>
      </c>
      <c r="E9" s="28">
        <v>266500</v>
      </c>
      <c r="F9" s="13">
        <v>3196.6675</v>
      </c>
      <c r="G9" s="14">
        <f t="shared" ref="G9:G40" si="0">+ROUND(F9/VLOOKUP("Grand Total",$B$4:$F$332,5,0),4)</f>
        <v>2.5499999999999998E-2</v>
      </c>
      <c r="H9" s="15" t="s">
        <v>346</v>
      </c>
      <c r="I9" s="107"/>
      <c r="J9" s="14" t="s">
        <v>24</v>
      </c>
      <c r="K9" s="48">
        <f t="shared" ref="K9:K49" si="1">SUMIFS($G$5:$G$370,$D$5:$D$370,J9)</f>
        <v>9.530000000000001E-2</v>
      </c>
    </row>
    <row r="10" spans="1:16" ht="12.75" customHeight="1" x14ac:dyDescent="0.2">
      <c r="A10">
        <f>+MAX($A$7:A9)+1</f>
        <v>2</v>
      </c>
      <c r="B10" t="s">
        <v>186</v>
      </c>
      <c r="C10" t="s">
        <v>12</v>
      </c>
      <c r="D10" t="s">
        <v>9</v>
      </c>
      <c r="E10" s="28">
        <v>144203</v>
      </c>
      <c r="F10" s="13">
        <v>2803.7389289999996</v>
      </c>
      <c r="G10" s="14">
        <f t="shared" si="0"/>
        <v>2.23E-2</v>
      </c>
      <c r="H10" s="15" t="s">
        <v>346</v>
      </c>
      <c r="I10" s="107"/>
      <c r="J10" s="14" t="s">
        <v>106</v>
      </c>
      <c r="K10" s="48">
        <f t="shared" si="1"/>
        <v>9.2700000000000005E-2</v>
      </c>
    </row>
    <row r="11" spans="1:16" ht="12.75" customHeight="1" x14ac:dyDescent="0.2">
      <c r="A11">
        <f>+MAX($A$7:A10)+1</f>
        <v>3</v>
      </c>
      <c r="B11" t="s">
        <v>195</v>
      </c>
      <c r="C11" t="s">
        <v>44</v>
      </c>
      <c r="D11" t="s">
        <v>24</v>
      </c>
      <c r="E11" s="28">
        <v>991277</v>
      </c>
      <c r="F11" s="13">
        <v>2789.9491164999999</v>
      </c>
      <c r="G11" s="14">
        <f t="shared" si="0"/>
        <v>2.2200000000000001E-2</v>
      </c>
      <c r="H11" s="15" t="s">
        <v>346</v>
      </c>
      <c r="I11" s="107"/>
      <c r="J11" s="14" t="s">
        <v>9</v>
      </c>
      <c r="K11" s="48">
        <f t="shared" si="1"/>
        <v>9.1399999999999995E-2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210</v>
      </c>
      <c r="C12" t="s">
        <v>18</v>
      </c>
      <c r="D12" t="s">
        <v>13</v>
      </c>
      <c r="E12" s="28">
        <v>74759</v>
      </c>
      <c r="F12" s="13">
        <v>2640.5626390000002</v>
      </c>
      <c r="G12" s="14">
        <f t="shared" si="0"/>
        <v>2.1000000000000001E-2</v>
      </c>
      <c r="H12" s="15" t="s">
        <v>346</v>
      </c>
      <c r="I12" s="107"/>
      <c r="J12" t="s">
        <v>13</v>
      </c>
      <c r="K12" s="48">
        <f t="shared" si="1"/>
        <v>8.6000000000000007E-2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225</v>
      </c>
      <c r="C13" t="s">
        <v>76</v>
      </c>
      <c r="D13" t="s">
        <v>24</v>
      </c>
      <c r="E13" s="28">
        <v>66025</v>
      </c>
      <c r="F13" s="13">
        <v>2391.55755</v>
      </c>
      <c r="G13" s="14">
        <f t="shared" si="0"/>
        <v>1.9099999999999999E-2</v>
      </c>
      <c r="H13" s="15" t="s">
        <v>346</v>
      </c>
      <c r="I13" s="107"/>
      <c r="J13" s="14" t="s">
        <v>378</v>
      </c>
      <c r="K13" s="48">
        <f t="shared" si="1"/>
        <v>6.430000000000001E-2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191</v>
      </c>
      <c r="C14" t="s">
        <v>23</v>
      </c>
      <c r="D14" t="s">
        <v>13</v>
      </c>
      <c r="E14" s="28">
        <v>224437</v>
      </c>
      <c r="F14" s="13">
        <v>2362.7605174999999</v>
      </c>
      <c r="G14" s="14">
        <f t="shared" si="0"/>
        <v>1.8800000000000001E-2</v>
      </c>
      <c r="H14" s="15" t="s">
        <v>346</v>
      </c>
      <c r="I14" s="107"/>
      <c r="J14" s="14" t="s">
        <v>22</v>
      </c>
      <c r="K14" s="48">
        <f t="shared" si="1"/>
        <v>6.2800000000000009E-2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219</v>
      </c>
      <c r="C15" t="s">
        <v>69</v>
      </c>
      <c r="D15" t="s">
        <v>26</v>
      </c>
      <c r="E15" s="28">
        <v>167626</v>
      </c>
      <c r="F15" s="13">
        <v>2348.2726339999999</v>
      </c>
      <c r="G15" s="14">
        <f t="shared" si="0"/>
        <v>1.8700000000000001E-2</v>
      </c>
      <c r="H15" s="15" t="s">
        <v>346</v>
      </c>
      <c r="I15" s="107"/>
      <c r="J15" s="14" t="s">
        <v>34</v>
      </c>
      <c r="K15" s="48">
        <f t="shared" si="1"/>
        <v>3.9E-2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369</v>
      </c>
      <c r="C16" t="s">
        <v>368</v>
      </c>
      <c r="D16" t="s">
        <v>24</v>
      </c>
      <c r="E16" s="28">
        <v>624109</v>
      </c>
      <c r="F16" s="13">
        <v>2305.458646</v>
      </c>
      <c r="G16" s="14">
        <f t="shared" si="0"/>
        <v>1.84E-2</v>
      </c>
      <c r="H16" s="15" t="s">
        <v>346</v>
      </c>
      <c r="I16" s="107"/>
      <c r="J16" s="14" t="s">
        <v>19</v>
      </c>
      <c r="K16" s="48">
        <f t="shared" si="1"/>
        <v>3.7000000000000005E-2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237</v>
      </c>
      <c r="C17" t="s">
        <v>113</v>
      </c>
      <c r="D17" t="s">
        <v>34</v>
      </c>
      <c r="E17" s="28">
        <v>1308080</v>
      </c>
      <c r="F17" s="13">
        <v>2251.8597199999999</v>
      </c>
      <c r="G17" s="14">
        <f t="shared" si="0"/>
        <v>1.7899999999999999E-2</v>
      </c>
      <c r="H17" s="15" t="s">
        <v>346</v>
      </c>
      <c r="I17" s="107"/>
      <c r="J17" s="14" t="s">
        <v>26</v>
      </c>
      <c r="K17" s="48">
        <f t="shared" si="1"/>
        <v>2.63E-2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299</v>
      </c>
      <c r="C18" t="s">
        <v>300</v>
      </c>
      <c r="D18" t="s">
        <v>140</v>
      </c>
      <c r="E18" s="28">
        <v>337043</v>
      </c>
      <c r="F18" s="13">
        <v>2211.5076445</v>
      </c>
      <c r="G18" s="14">
        <f t="shared" si="0"/>
        <v>1.7600000000000001E-2</v>
      </c>
      <c r="H18" s="15" t="s">
        <v>346</v>
      </c>
      <c r="I18" s="107"/>
      <c r="J18" s="14" t="s">
        <v>39</v>
      </c>
      <c r="K18" s="48">
        <f t="shared" si="1"/>
        <v>2.4700000000000003E-2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465</v>
      </c>
      <c r="C19" t="s">
        <v>466</v>
      </c>
      <c r="D19" t="s">
        <v>22</v>
      </c>
      <c r="E19" s="28">
        <v>403000</v>
      </c>
      <c r="F19" s="13">
        <v>2128.4445000000001</v>
      </c>
      <c r="G19" s="14">
        <f t="shared" si="0"/>
        <v>1.7000000000000001E-2</v>
      </c>
      <c r="H19" s="15" t="s">
        <v>346</v>
      </c>
      <c r="I19" s="107"/>
      <c r="J19" s="14" t="s">
        <v>17</v>
      </c>
      <c r="K19" s="48">
        <f t="shared" si="1"/>
        <v>2.0900000000000002E-2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527</v>
      </c>
      <c r="C20" t="s">
        <v>528</v>
      </c>
      <c r="D20" t="s">
        <v>24</v>
      </c>
      <c r="E20" s="28">
        <v>34690</v>
      </c>
      <c r="F20" s="13">
        <v>2116.384865</v>
      </c>
      <c r="G20" s="14">
        <f t="shared" si="0"/>
        <v>1.6899999999999998E-2</v>
      </c>
      <c r="H20" s="15" t="s">
        <v>346</v>
      </c>
      <c r="I20" s="107"/>
      <c r="J20" s="14" t="s">
        <v>414</v>
      </c>
      <c r="K20" s="48">
        <f t="shared" si="1"/>
        <v>2.06E-2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192</v>
      </c>
      <c r="C21" t="s">
        <v>25</v>
      </c>
      <c r="D21" t="s">
        <v>22</v>
      </c>
      <c r="E21" s="28">
        <v>100000</v>
      </c>
      <c r="F21" s="13">
        <v>1883.25</v>
      </c>
      <c r="G21" s="14">
        <f t="shared" si="0"/>
        <v>1.4999999999999999E-2</v>
      </c>
      <c r="H21" s="15" t="s">
        <v>346</v>
      </c>
      <c r="I21" s="107"/>
      <c r="J21" s="14" t="s">
        <v>104</v>
      </c>
      <c r="K21" s="48">
        <f t="shared" si="1"/>
        <v>2.0299999999999999E-2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205</v>
      </c>
      <c r="C22" t="s">
        <v>72</v>
      </c>
      <c r="D22" t="s">
        <v>450</v>
      </c>
      <c r="E22" s="28">
        <v>1265888</v>
      </c>
      <c r="F22" s="13">
        <v>1872.881296</v>
      </c>
      <c r="G22" s="14">
        <f t="shared" si="0"/>
        <v>1.49E-2</v>
      </c>
      <c r="H22" s="15" t="s">
        <v>346</v>
      </c>
      <c r="I22" s="107"/>
      <c r="J22" s="14" t="s">
        <v>21</v>
      </c>
      <c r="K22" s="48">
        <f t="shared" si="1"/>
        <v>1.77E-2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222</v>
      </c>
      <c r="C23" t="s">
        <v>77</v>
      </c>
      <c r="D23" t="s">
        <v>49</v>
      </c>
      <c r="E23" s="28">
        <v>654568</v>
      </c>
      <c r="F23" s="13">
        <v>1865.5188000000001</v>
      </c>
      <c r="G23" s="14">
        <f t="shared" si="0"/>
        <v>1.49E-2</v>
      </c>
      <c r="H23" s="15" t="s">
        <v>346</v>
      </c>
      <c r="I23" s="107"/>
      <c r="J23" s="14" t="s">
        <v>140</v>
      </c>
      <c r="K23" s="48">
        <f t="shared" si="1"/>
        <v>1.7600000000000001E-2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15</v>
      </c>
      <c r="C24" t="s">
        <v>16</v>
      </c>
      <c r="D24" t="s">
        <v>9</v>
      </c>
      <c r="E24" s="28">
        <v>742536</v>
      </c>
      <c r="F24" s="13">
        <v>1829.608704</v>
      </c>
      <c r="G24" s="14">
        <f t="shared" si="0"/>
        <v>1.46E-2</v>
      </c>
      <c r="H24" s="15" t="s">
        <v>346</v>
      </c>
      <c r="I24" s="107"/>
      <c r="J24" s="14" t="s">
        <v>130</v>
      </c>
      <c r="K24" s="48">
        <f t="shared" si="1"/>
        <v>1.7299999999999999E-2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652</v>
      </c>
      <c r="C25" t="s">
        <v>653</v>
      </c>
      <c r="D25" t="s">
        <v>22</v>
      </c>
      <c r="E25" s="28">
        <v>400000</v>
      </c>
      <c r="F25" s="13">
        <v>1705.2</v>
      </c>
      <c r="G25" s="14">
        <f t="shared" si="0"/>
        <v>1.3599999999999999E-2</v>
      </c>
      <c r="H25" s="15" t="s">
        <v>346</v>
      </c>
      <c r="I25" s="107"/>
      <c r="J25" s="14" t="s">
        <v>43</v>
      </c>
      <c r="K25" s="48">
        <f t="shared" si="1"/>
        <v>1.4999999999999999E-2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525</v>
      </c>
      <c r="C26" t="s">
        <v>526</v>
      </c>
      <c r="D26" t="s">
        <v>34</v>
      </c>
      <c r="E26" s="28">
        <v>1930000</v>
      </c>
      <c r="F26" s="13">
        <v>1704.19</v>
      </c>
      <c r="G26" s="14">
        <f t="shared" si="0"/>
        <v>1.3599999999999999E-2</v>
      </c>
      <c r="H26" s="15" t="s">
        <v>346</v>
      </c>
      <c r="I26" s="107"/>
      <c r="J26" s="14" t="s">
        <v>49</v>
      </c>
      <c r="K26" s="48">
        <f t="shared" si="1"/>
        <v>1.49E-2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235</v>
      </c>
      <c r="C27" t="s">
        <v>110</v>
      </c>
      <c r="D27" t="s">
        <v>19</v>
      </c>
      <c r="E27" s="28">
        <v>44440</v>
      </c>
      <c r="F27" s="13">
        <v>1658.6119000000001</v>
      </c>
      <c r="G27" s="14">
        <f t="shared" si="0"/>
        <v>1.32E-2</v>
      </c>
      <c r="H27" s="15" t="s">
        <v>346</v>
      </c>
      <c r="I27" s="107"/>
      <c r="J27" s="14" t="s">
        <v>450</v>
      </c>
      <c r="K27" s="48">
        <f t="shared" si="1"/>
        <v>1.49E-2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383</v>
      </c>
      <c r="C28" t="s">
        <v>384</v>
      </c>
      <c r="D28" t="s">
        <v>385</v>
      </c>
      <c r="E28" s="28">
        <v>847943</v>
      </c>
      <c r="F28" s="13">
        <v>1658.1525365</v>
      </c>
      <c r="G28" s="14">
        <f t="shared" si="0"/>
        <v>1.32E-2</v>
      </c>
      <c r="H28" s="15" t="s">
        <v>346</v>
      </c>
      <c r="I28" s="107"/>
      <c r="J28" s="14" t="s">
        <v>385</v>
      </c>
      <c r="K28" s="48">
        <f t="shared" si="1"/>
        <v>1.32E-2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206</v>
      </c>
      <c r="C29" t="s">
        <v>96</v>
      </c>
      <c r="D29" t="s">
        <v>9</v>
      </c>
      <c r="E29" s="28">
        <v>132716</v>
      </c>
      <c r="F29" s="13">
        <v>1607.323476</v>
      </c>
      <c r="G29" s="14">
        <f t="shared" si="0"/>
        <v>1.2800000000000001E-2</v>
      </c>
      <c r="H29" s="15" t="s">
        <v>346</v>
      </c>
      <c r="I29" s="107"/>
      <c r="J29" s="14" t="s">
        <v>28</v>
      </c>
      <c r="K29" s="48">
        <f t="shared" si="1"/>
        <v>1.26E-2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188</v>
      </c>
      <c r="C30" t="s">
        <v>29</v>
      </c>
      <c r="D30" t="s">
        <v>28</v>
      </c>
      <c r="E30" s="28">
        <v>164300</v>
      </c>
      <c r="F30" s="13">
        <v>1582.7019</v>
      </c>
      <c r="G30" s="14">
        <f t="shared" si="0"/>
        <v>1.26E-2</v>
      </c>
      <c r="H30" s="15" t="s">
        <v>346</v>
      </c>
      <c r="I30" s="107"/>
      <c r="J30" t="s">
        <v>520</v>
      </c>
      <c r="K30" s="48">
        <f t="shared" si="1"/>
        <v>1.2500000000000001E-2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227</v>
      </c>
      <c r="C31" t="s">
        <v>98</v>
      </c>
      <c r="D31" t="s">
        <v>19</v>
      </c>
      <c r="E31" s="28">
        <v>176563</v>
      </c>
      <c r="F31" s="13">
        <v>1541.924679</v>
      </c>
      <c r="G31" s="14">
        <f t="shared" si="0"/>
        <v>1.23E-2</v>
      </c>
      <c r="H31" s="15" t="s">
        <v>346</v>
      </c>
      <c r="I31" s="107"/>
      <c r="J31" t="s">
        <v>302</v>
      </c>
      <c r="K31" s="48">
        <f t="shared" si="1"/>
        <v>1.2200000000000001E-2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254</v>
      </c>
      <c r="C32" t="s">
        <v>80</v>
      </c>
      <c r="D32" t="s">
        <v>13</v>
      </c>
      <c r="E32" s="28">
        <v>202500</v>
      </c>
      <c r="F32" s="13">
        <v>1540.8225</v>
      </c>
      <c r="G32" s="14">
        <f t="shared" si="0"/>
        <v>1.23E-2</v>
      </c>
      <c r="H32" s="15" t="s">
        <v>346</v>
      </c>
      <c r="I32" s="107"/>
      <c r="J32" t="s">
        <v>338</v>
      </c>
      <c r="K32" s="48">
        <f t="shared" si="1"/>
        <v>1.2199999999999999E-2</v>
      </c>
      <c r="L32" s="54">
        <f>+SUM($K$9:K37)</f>
        <v>0.8903000000000002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200</v>
      </c>
      <c r="C33" t="s">
        <v>50</v>
      </c>
      <c r="D33" t="s">
        <v>39</v>
      </c>
      <c r="E33" s="28">
        <v>1293614</v>
      </c>
      <c r="F33" s="13">
        <v>1510.294345</v>
      </c>
      <c r="G33" s="14">
        <f t="shared" si="0"/>
        <v>1.2E-2</v>
      </c>
      <c r="H33" s="15" t="s">
        <v>346</v>
      </c>
      <c r="I33" s="107"/>
      <c r="J33" s="14" t="s">
        <v>157</v>
      </c>
      <c r="K33" s="48">
        <f t="shared" si="1"/>
        <v>1.2E-2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189</v>
      </c>
      <c r="C34" t="s">
        <v>10</v>
      </c>
      <c r="D34" t="s">
        <v>9</v>
      </c>
      <c r="E34" s="28">
        <v>509976</v>
      </c>
      <c r="F34" s="13">
        <v>1449.3517919999999</v>
      </c>
      <c r="G34" s="14">
        <f t="shared" si="0"/>
        <v>1.1599999999999999E-2</v>
      </c>
      <c r="H34" s="15" t="s">
        <v>346</v>
      </c>
      <c r="I34" s="107"/>
      <c r="J34" s="14" t="s">
        <v>170</v>
      </c>
      <c r="K34" s="48">
        <f t="shared" si="1"/>
        <v>1.1599999999999999E-2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529</v>
      </c>
      <c r="C35" t="s">
        <v>530</v>
      </c>
      <c r="D35" t="s">
        <v>104</v>
      </c>
      <c r="E35" s="28">
        <v>1740000</v>
      </c>
      <c r="F35" s="13">
        <v>1351.11</v>
      </c>
      <c r="G35" s="14">
        <f t="shared" si="0"/>
        <v>1.0800000000000001E-2</v>
      </c>
      <c r="H35" s="15" t="s">
        <v>346</v>
      </c>
      <c r="I35" s="107"/>
      <c r="J35" s="14" t="s">
        <v>35</v>
      </c>
      <c r="K35" s="48">
        <f t="shared" si="1"/>
        <v>8.9999999999999993E-3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211</v>
      </c>
      <c r="C36" t="s">
        <v>27</v>
      </c>
      <c r="D36" t="s">
        <v>9</v>
      </c>
      <c r="E36" s="28">
        <v>255419</v>
      </c>
      <c r="F36" s="13">
        <v>1321.2824869999999</v>
      </c>
      <c r="G36" s="14">
        <f t="shared" si="0"/>
        <v>1.0500000000000001E-2</v>
      </c>
      <c r="H36" s="15" t="s">
        <v>346</v>
      </c>
      <c r="I36" s="107"/>
      <c r="J36" s="14" t="s">
        <v>274</v>
      </c>
      <c r="K36" s="48">
        <f t="shared" si="1"/>
        <v>8.3999999999999995E-3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324</v>
      </c>
      <c r="C37" t="s">
        <v>651</v>
      </c>
      <c r="D37" t="s">
        <v>130</v>
      </c>
      <c r="E37" s="28">
        <v>505720</v>
      </c>
      <c r="F37" s="13">
        <v>1318.91776</v>
      </c>
      <c r="G37" s="14">
        <f t="shared" si="0"/>
        <v>1.0500000000000001E-2</v>
      </c>
      <c r="H37" s="15" t="s">
        <v>346</v>
      </c>
      <c r="I37" s="107"/>
      <c r="J37" t="s">
        <v>45</v>
      </c>
      <c r="K37" s="48">
        <f t="shared" si="1"/>
        <v>7.9000000000000008E-3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38</v>
      </c>
      <c r="C38" t="s">
        <v>40</v>
      </c>
      <c r="D38" t="s">
        <v>9</v>
      </c>
      <c r="E38" s="28">
        <v>841699</v>
      </c>
      <c r="F38" s="13">
        <v>1253.7106604999999</v>
      </c>
      <c r="G38" s="14">
        <f t="shared" si="0"/>
        <v>0.01</v>
      </c>
      <c r="H38" s="15" t="s">
        <v>346</v>
      </c>
      <c r="I38" s="107"/>
      <c r="J38" s="14" t="s">
        <v>32</v>
      </c>
      <c r="K38" s="48">
        <f t="shared" si="1"/>
        <v>5.7000000000000002E-3</v>
      </c>
    </row>
    <row r="39" spans="1:16" ht="12.75" customHeight="1" x14ac:dyDescent="0.2">
      <c r="A39">
        <f>+MAX($A$7:A38)+1</f>
        <v>31</v>
      </c>
      <c r="B39" t="s">
        <v>416</v>
      </c>
      <c r="C39" t="s">
        <v>417</v>
      </c>
      <c r="D39" t="s">
        <v>22</v>
      </c>
      <c r="E39" s="28">
        <v>712097</v>
      </c>
      <c r="F39" s="13">
        <v>1227.6552280000001</v>
      </c>
      <c r="G39" s="14">
        <f t="shared" si="0"/>
        <v>9.7999999999999997E-3</v>
      </c>
      <c r="H39" s="15" t="s">
        <v>346</v>
      </c>
      <c r="I39" s="107"/>
      <c r="J39" s="14" t="s">
        <v>513</v>
      </c>
      <c r="K39" s="48">
        <f t="shared" si="1"/>
        <v>5.4999999999999997E-3</v>
      </c>
    </row>
    <row r="40" spans="1:16" ht="12.75" customHeight="1" x14ac:dyDescent="0.2">
      <c r="A40">
        <f>+MAX($A$7:A39)+1</f>
        <v>32</v>
      </c>
      <c r="B40" t="s">
        <v>546</v>
      </c>
      <c r="C40" t="s">
        <v>547</v>
      </c>
      <c r="D40" t="s">
        <v>104</v>
      </c>
      <c r="E40" s="28">
        <v>1150000</v>
      </c>
      <c r="F40" s="13">
        <v>1195.425</v>
      </c>
      <c r="G40" s="14">
        <f t="shared" si="0"/>
        <v>9.4999999999999998E-3</v>
      </c>
      <c r="H40" s="15" t="s">
        <v>346</v>
      </c>
      <c r="I40" s="107"/>
      <c r="J40" t="s">
        <v>158</v>
      </c>
      <c r="K40" s="48">
        <f t="shared" si="1"/>
        <v>4.7999999999999996E-3</v>
      </c>
    </row>
    <row r="41" spans="1:16" ht="12.75" customHeight="1" x14ac:dyDescent="0.2">
      <c r="A41">
        <f>+MAX($A$7:A40)+1</f>
        <v>33</v>
      </c>
      <c r="B41" t="s">
        <v>209</v>
      </c>
      <c r="C41" t="s">
        <v>59</v>
      </c>
      <c r="D41" t="s">
        <v>21</v>
      </c>
      <c r="E41" s="28">
        <v>184760</v>
      </c>
      <c r="F41" s="13">
        <v>1186.1592000000001</v>
      </c>
      <c r="G41" s="14">
        <f t="shared" ref="G41:G69" si="2">+ROUND(F41/VLOOKUP("Grand Total",$B$4:$F$332,5,0),4)</f>
        <v>9.4999999999999998E-3</v>
      </c>
      <c r="H41" s="15" t="s">
        <v>346</v>
      </c>
      <c r="I41" s="107"/>
      <c r="J41" s="90" t="s">
        <v>563</v>
      </c>
      <c r="K41" s="48">
        <f t="shared" si="1"/>
        <v>4.5999999999999999E-3</v>
      </c>
    </row>
    <row r="42" spans="1:16" ht="12.75" customHeight="1" x14ac:dyDescent="0.2">
      <c r="A42">
        <f>+MAX($A$7:A41)+1</f>
        <v>34</v>
      </c>
      <c r="B42" t="s">
        <v>587</v>
      </c>
      <c r="C42" t="s">
        <v>588</v>
      </c>
      <c r="D42" t="s">
        <v>35</v>
      </c>
      <c r="E42" s="28">
        <v>80323</v>
      </c>
      <c r="F42" s="13">
        <v>1126.7710440000001</v>
      </c>
      <c r="G42" s="14">
        <f t="shared" si="2"/>
        <v>8.9999999999999993E-3</v>
      </c>
      <c r="H42" s="15" t="s">
        <v>346</v>
      </c>
      <c r="I42" s="107"/>
      <c r="J42" t="s">
        <v>341</v>
      </c>
      <c r="K42" s="48">
        <f t="shared" si="1"/>
        <v>4.1999999999999997E-3</v>
      </c>
    </row>
    <row r="43" spans="1:16" ht="12.75" customHeight="1" x14ac:dyDescent="0.2">
      <c r="A43">
        <f>+MAX($A$7:A42)+1</f>
        <v>35</v>
      </c>
      <c r="B43" s="65" t="s">
        <v>226</v>
      </c>
      <c r="C43" s="65" t="s">
        <v>99</v>
      </c>
      <c r="D43" t="s">
        <v>24</v>
      </c>
      <c r="E43" s="28">
        <v>74235</v>
      </c>
      <c r="F43" s="13">
        <v>1120.1319149999999</v>
      </c>
      <c r="G43" s="14">
        <f t="shared" si="2"/>
        <v>8.8999999999999999E-3</v>
      </c>
      <c r="H43" s="15" t="s">
        <v>346</v>
      </c>
      <c r="I43" s="107"/>
      <c r="J43" t="s">
        <v>36</v>
      </c>
      <c r="K43" s="48">
        <f t="shared" si="1"/>
        <v>4.1999999999999997E-3</v>
      </c>
    </row>
    <row r="44" spans="1:16" ht="12.75" customHeight="1" x14ac:dyDescent="0.2">
      <c r="A44">
        <f>+MAX($A$7:A43)+1</f>
        <v>36</v>
      </c>
      <c r="B44" t="s">
        <v>236</v>
      </c>
      <c r="C44" t="s">
        <v>111</v>
      </c>
      <c r="D44" t="s">
        <v>13</v>
      </c>
      <c r="E44" s="28">
        <v>157852</v>
      </c>
      <c r="F44" s="13">
        <v>1058.5555120000001</v>
      </c>
      <c r="G44" s="14">
        <f t="shared" si="2"/>
        <v>8.3999999999999995E-3</v>
      </c>
      <c r="H44" s="15" t="s">
        <v>346</v>
      </c>
      <c r="I44" s="107"/>
      <c r="J44" s="14" t="s">
        <v>30</v>
      </c>
      <c r="K44" s="48">
        <f t="shared" si="1"/>
        <v>4.1000000000000003E-3</v>
      </c>
    </row>
    <row r="45" spans="1:16" ht="12.75" customHeight="1" x14ac:dyDescent="0.2">
      <c r="A45">
        <f>+MAX($A$7:A44)+1</f>
        <v>37</v>
      </c>
      <c r="B45" t="s">
        <v>224</v>
      </c>
      <c r="C45" t="s">
        <v>79</v>
      </c>
      <c r="D45" t="s">
        <v>43</v>
      </c>
      <c r="E45" s="28">
        <v>322378</v>
      </c>
      <c r="F45" s="13">
        <v>1053.692493</v>
      </c>
      <c r="G45" s="14">
        <f t="shared" si="2"/>
        <v>8.3999999999999995E-3</v>
      </c>
      <c r="H45" s="15" t="s">
        <v>346</v>
      </c>
      <c r="I45" s="107"/>
      <c r="J45" s="14" t="s">
        <v>276</v>
      </c>
      <c r="K45" s="48">
        <f t="shared" si="1"/>
        <v>4.0000000000000001E-3</v>
      </c>
    </row>
    <row r="46" spans="1:16" ht="12.75" customHeight="1" x14ac:dyDescent="0.2">
      <c r="A46">
        <f>+MAX($A$7:A45)+1</f>
        <v>38</v>
      </c>
      <c r="B46" t="s">
        <v>262</v>
      </c>
      <c r="C46" t="s">
        <v>143</v>
      </c>
      <c r="D46" t="s">
        <v>39</v>
      </c>
      <c r="E46" s="28">
        <v>123594</v>
      </c>
      <c r="F46" s="13">
        <v>1033.616622</v>
      </c>
      <c r="G46" s="14">
        <f t="shared" si="2"/>
        <v>8.2000000000000007E-3</v>
      </c>
      <c r="H46" s="15" t="s">
        <v>346</v>
      </c>
      <c r="I46" s="107"/>
      <c r="J46" t="s">
        <v>564</v>
      </c>
      <c r="K46" s="48">
        <f t="shared" si="1"/>
        <v>2.3999999999999998E-3</v>
      </c>
    </row>
    <row r="47" spans="1:16" ht="12.75" customHeight="1" x14ac:dyDescent="0.2">
      <c r="A47">
        <f>+MAX($A$7:A46)+1</f>
        <v>39</v>
      </c>
      <c r="B47" t="s">
        <v>398</v>
      </c>
      <c r="C47" t="s">
        <v>66</v>
      </c>
      <c r="D47" t="s">
        <v>21</v>
      </c>
      <c r="E47" s="28">
        <v>193514</v>
      </c>
      <c r="F47" s="13">
        <v>1022.527976</v>
      </c>
      <c r="G47" s="14">
        <f t="shared" si="2"/>
        <v>8.2000000000000007E-3</v>
      </c>
      <c r="H47" s="15" t="s">
        <v>346</v>
      </c>
      <c r="I47" s="107"/>
      <c r="J47" s="14" t="s">
        <v>277</v>
      </c>
      <c r="K47" s="48">
        <f t="shared" si="1"/>
        <v>8.0000000000000004E-4</v>
      </c>
    </row>
    <row r="48" spans="1:16" ht="12.75" customHeight="1" x14ac:dyDescent="0.2">
      <c r="A48">
        <f>+MAX($A$7:A47)+1</f>
        <v>40</v>
      </c>
      <c r="B48" t="s">
        <v>242</v>
      </c>
      <c r="C48" t="s">
        <v>117</v>
      </c>
      <c r="D48" t="s">
        <v>45</v>
      </c>
      <c r="E48" s="28">
        <v>306666</v>
      </c>
      <c r="F48" s="13">
        <v>996.97116599999993</v>
      </c>
      <c r="G48" s="14">
        <f t="shared" si="2"/>
        <v>7.9000000000000008E-3</v>
      </c>
      <c r="H48" s="15" t="s">
        <v>346</v>
      </c>
      <c r="I48" s="107"/>
      <c r="J48" t="s">
        <v>401</v>
      </c>
      <c r="K48" s="48">
        <f t="shared" si="1"/>
        <v>2.9999999999999997E-4</v>
      </c>
    </row>
    <row r="49" spans="1:11" ht="12.75" customHeight="1" x14ac:dyDescent="0.2">
      <c r="A49">
        <f>+MAX($A$7:A48)+1</f>
        <v>41</v>
      </c>
      <c r="B49" t="s">
        <v>218</v>
      </c>
      <c r="C49" t="s">
        <v>64</v>
      </c>
      <c r="D49" t="s">
        <v>26</v>
      </c>
      <c r="E49" s="28">
        <v>233862</v>
      </c>
      <c r="F49" s="13">
        <v>949.830513</v>
      </c>
      <c r="G49" s="14">
        <f t="shared" si="2"/>
        <v>7.6E-3</v>
      </c>
      <c r="H49" s="15" t="s">
        <v>346</v>
      </c>
      <c r="I49" s="107"/>
      <c r="J49" t="s">
        <v>100</v>
      </c>
      <c r="K49" s="48">
        <f t="shared" si="1"/>
        <v>0</v>
      </c>
    </row>
    <row r="50" spans="1:11" ht="12.75" customHeight="1" x14ac:dyDescent="0.2">
      <c r="A50">
        <f>+MAX($A$7:A49)+1</f>
        <v>42</v>
      </c>
      <c r="B50" t="s">
        <v>234</v>
      </c>
      <c r="C50" t="s">
        <v>112</v>
      </c>
      <c r="D50" t="s">
        <v>34</v>
      </c>
      <c r="E50" s="28">
        <v>450000</v>
      </c>
      <c r="F50" s="13">
        <v>935.32500000000005</v>
      </c>
      <c r="G50" s="14">
        <f t="shared" si="2"/>
        <v>7.4999999999999997E-3</v>
      </c>
      <c r="H50" s="15" t="s">
        <v>346</v>
      </c>
      <c r="I50" s="107"/>
      <c r="J50" s="14" t="s">
        <v>62</v>
      </c>
      <c r="K50" s="48">
        <f>+SUMIFS($G$5:$G$998,$B$5:$B$998,"CBLO / Reverse Repo Investments")+SUMIFS($G$5:$G$998,$B$5:$B$998,"Net Receivable/Payable")</f>
        <v>6.9099999999999995E-2</v>
      </c>
    </row>
    <row r="51" spans="1:11" ht="12.75" customHeight="1" x14ac:dyDescent="0.2">
      <c r="A51">
        <f>+MAX($A$7:A50)+1</f>
        <v>43</v>
      </c>
      <c r="B51" t="s">
        <v>196</v>
      </c>
      <c r="C51" t="s">
        <v>42</v>
      </c>
      <c r="D51" t="s">
        <v>22</v>
      </c>
      <c r="E51" s="28">
        <v>145008</v>
      </c>
      <c r="F51" s="13">
        <v>929.50127999999995</v>
      </c>
      <c r="G51" s="14">
        <f t="shared" si="2"/>
        <v>7.4000000000000003E-3</v>
      </c>
      <c r="H51" s="15" t="s">
        <v>346</v>
      </c>
      <c r="I51" s="107"/>
      <c r="J51" s="14"/>
      <c r="K51" s="48"/>
    </row>
    <row r="52" spans="1:11" ht="12.75" customHeight="1" x14ac:dyDescent="0.2">
      <c r="A52">
        <f>+MAX($A$7:A51)+1</f>
        <v>44</v>
      </c>
      <c r="B52" t="s">
        <v>294</v>
      </c>
      <c r="C52" t="s">
        <v>65</v>
      </c>
      <c r="D52" t="s">
        <v>17</v>
      </c>
      <c r="E52" s="28">
        <v>600000</v>
      </c>
      <c r="F52" s="13">
        <v>882.3</v>
      </c>
      <c r="G52" s="14">
        <f t="shared" si="2"/>
        <v>7.0000000000000001E-3</v>
      </c>
      <c r="H52" s="15" t="s">
        <v>346</v>
      </c>
      <c r="I52" s="107"/>
      <c r="K52" s="48"/>
    </row>
    <row r="53" spans="1:11" ht="12.75" customHeight="1" x14ac:dyDescent="0.2">
      <c r="A53">
        <f>+MAX($A$7:A52)+1</f>
        <v>45</v>
      </c>
      <c r="B53" t="s">
        <v>497</v>
      </c>
      <c r="C53" t="s">
        <v>498</v>
      </c>
      <c r="D53" t="s">
        <v>130</v>
      </c>
      <c r="E53" s="28">
        <v>266291</v>
      </c>
      <c r="F53" s="13">
        <v>851.33232700000008</v>
      </c>
      <c r="G53" s="14">
        <f t="shared" si="2"/>
        <v>6.7999999999999996E-3</v>
      </c>
      <c r="H53" s="15" t="s">
        <v>346</v>
      </c>
      <c r="I53" s="107"/>
      <c r="J53" s="14"/>
      <c r="K53" s="48"/>
    </row>
    <row r="54" spans="1:11" ht="12.75" customHeight="1" x14ac:dyDescent="0.2">
      <c r="A54">
        <f>+MAX($A$7:A53)+1</f>
        <v>46</v>
      </c>
      <c r="B54" t="s">
        <v>499</v>
      </c>
      <c r="C54" t="s">
        <v>500</v>
      </c>
      <c r="D54" t="s">
        <v>43</v>
      </c>
      <c r="E54" s="28">
        <v>1021430</v>
      </c>
      <c r="F54" s="13">
        <v>822.76186499999994</v>
      </c>
      <c r="G54" s="14">
        <f t="shared" si="2"/>
        <v>6.6E-3</v>
      </c>
      <c r="H54" s="15" t="s">
        <v>346</v>
      </c>
      <c r="I54" s="107"/>
    </row>
    <row r="55" spans="1:11" ht="12.75" customHeight="1" x14ac:dyDescent="0.2">
      <c r="A55">
        <f>+MAX($A$7:A54)+1</f>
        <v>47</v>
      </c>
      <c r="B55" t="s">
        <v>217</v>
      </c>
      <c r="C55" t="s">
        <v>68</v>
      </c>
      <c r="D55" t="s">
        <v>9</v>
      </c>
      <c r="E55" s="28">
        <v>806552</v>
      </c>
      <c r="F55" s="13">
        <v>792.84061599999995</v>
      </c>
      <c r="G55" s="14">
        <f t="shared" si="2"/>
        <v>6.3E-3</v>
      </c>
      <c r="H55" s="15" t="s">
        <v>346</v>
      </c>
      <c r="I55" s="107"/>
    </row>
    <row r="56" spans="1:11" ht="12.75" customHeight="1" x14ac:dyDescent="0.2">
      <c r="A56">
        <f>+MAX($A$7:A55)+1</f>
        <v>48</v>
      </c>
      <c r="B56" t="s">
        <v>198</v>
      </c>
      <c r="C56" t="s">
        <v>51</v>
      </c>
      <c r="D56" t="s">
        <v>17</v>
      </c>
      <c r="E56" s="28">
        <v>18538</v>
      </c>
      <c r="F56" s="13">
        <v>761.69861300000002</v>
      </c>
      <c r="G56" s="14">
        <f t="shared" si="2"/>
        <v>6.1000000000000004E-3</v>
      </c>
      <c r="H56" s="15" t="s">
        <v>346</v>
      </c>
      <c r="I56" s="107"/>
    </row>
    <row r="57" spans="1:11" ht="12.75" customHeight="1" x14ac:dyDescent="0.2">
      <c r="A57">
        <f>+MAX($A$7:A56)+1</f>
        <v>49</v>
      </c>
      <c r="B57" t="s">
        <v>190</v>
      </c>
      <c r="C57" t="s">
        <v>20</v>
      </c>
      <c r="D57" t="s">
        <v>19</v>
      </c>
      <c r="E57" s="28">
        <v>217228</v>
      </c>
      <c r="F57" s="13">
        <v>739.44411200000002</v>
      </c>
      <c r="G57" s="14">
        <f t="shared" si="2"/>
        <v>5.8999999999999999E-3</v>
      </c>
      <c r="H57" s="15" t="s">
        <v>346</v>
      </c>
      <c r="I57" s="107"/>
    </row>
    <row r="58" spans="1:11" ht="12.75" customHeight="1" x14ac:dyDescent="0.2">
      <c r="A58">
        <f>+MAX($A$7:A57)+1</f>
        <v>50</v>
      </c>
      <c r="B58" t="s">
        <v>208</v>
      </c>
      <c r="C58" t="s">
        <v>63</v>
      </c>
      <c r="D58" t="s">
        <v>32</v>
      </c>
      <c r="E58" s="28">
        <v>174829</v>
      </c>
      <c r="F58" s="13">
        <v>716.01216950000003</v>
      </c>
      <c r="G58" s="14">
        <f t="shared" si="2"/>
        <v>5.7000000000000002E-3</v>
      </c>
      <c r="H58" s="15" t="s">
        <v>346</v>
      </c>
      <c r="I58" s="107"/>
    </row>
    <row r="59" spans="1:11" ht="12.75" customHeight="1" x14ac:dyDescent="0.2">
      <c r="A59">
        <f>+MAX($A$7:A58)+1</f>
        <v>51</v>
      </c>
      <c r="B59" t="s">
        <v>292</v>
      </c>
      <c r="C59" t="s">
        <v>55</v>
      </c>
      <c r="D59" t="s">
        <v>24</v>
      </c>
      <c r="E59" s="28">
        <v>43807</v>
      </c>
      <c r="F59" s="13">
        <v>712.71798650000005</v>
      </c>
      <c r="G59" s="14">
        <f t="shared" si="2"/>
        <v>5.7000000000000002E-3</v>
      </c>
      <c r="H59" s="15" t="s">
        <v>346</v>
      </c>
      <c r="I59" s="107"/>
    </row>
    <row r="60" spans="1:11" ht="12.75" customHeight="1" x14ac:dyDescent="0.2">
      <c r="A60">
        <f>+MAX($A$7:A59)+1</f>
        <v>52</v>
      </c>
      <c r="B60" t="s">
        <v>203</v>
      </c>
      <c r="C60" t="s">
        <v>47</v>
      </c>
      <c r="D60" t="s">
        <v>19</v>
      </c>
      <c r="E60" s="28">
        <v>7924</v>
      </c>
      <c r="F60" s="13">
        <v>698.49663799999996</v>
      </c>
      <c r="G60" s="14">
        <f t="shared" si="2"/>
        <v>5.5999999999999999E-3</v>
      </c>
      <c r="H60" s="15" t="s">
        <v>346</v>
      </c>
      <c r="I60" s="107"/>
    </row>
    <row r="61" spans="1:11" ht="12.75" customHeight="1" x14ac:dyDescent="0.2">
      <c r="A61">
        <f>+MAX($A$7:A60)+1</f>
        <v>53</v>
      </c>
      <c r="B61" t="s">
        <v>436</v>
      </c>
      <c r="C61" t="s">
        <v>437</v>
      </c>
      <c r="D61" t="s">
        <v>39</v>
      </c>
      <c r="E61" s="28">
        <v>165000</v>
      </c>
      <c r="F61" s="13">
        <v>558.9375</v>
      </c>
      <c r="G61" s="14">
        <f t="shared" si="2"/>
        <v>4.4999999999999997E-3</v>
      </c>
      <c r="H61" s="15" t="s">
        <v>346</v>
      </c>
      <c r="I61" s="107"/>
    </row>
    <row r="62" spans="1:11" ht="12.75" customHeight="1" x14ac:dyDescent="0.2">
      <c r="A62">
        <f>+MAX($A$7:A61)+1</f>
        <v>54</v>
      </c>
      <c r="B62" t="s">
        <v>293</v>
      </c>
      <c r="C62" t="s">
        <v>74</v>
      </c>
      <c r="D62" t="s">
        <v>36</v>
      </c>
      <c r="E62" s="28">
        <v>146336</v>
      </c>
      <c r="F62" s="13">
        <v>531.638688</v>
      </c>
      <c r="G62" s="14">
        <f t="shared" si="2"/>
        <v>4.1999999999999997E-3</v>
      </c>
      <c r="H62" s="15" t="s">
        <v>346</v>
      </c>
      <c r="I62" s="107"/>
    </row>
    <row r="63" spans="1:11" ht="12.75" customHeight="1" x14ac:dyDescent="0.2">
      <c r="A63">
        <f>+MAX($A$7:A62)+1</f>
        <v>55</v>
      </c>
      <c r="B63" t="s">
        <v>197</v>
      </c>
      <c r="C63" t="s">
        <v>46</v>
      </c>
      <c r="D63" t="s">
        <v>24</v>
      </c>
      <c r="E63" s="28">
        <v>9276</v>
      </c>
      <c r="F63" s="13">
        <v>511.40443200000004</v>
      </c>
      <c r="G63" s="14">
        <f t="shared" si="2"/>
        <v>4.1000000000000003E-3</v>
      </c>
      <c r="H63" s="15" t="s">
        <v>346</v>
      </c>
      <c r="I63" s="107"/>
    </row>
    <row r="64" spans="1:11" ht="12.75" customHeight="1" x14ac:dyDescent="0.2">
      <c r="A64">
        <f>+MAX($A$7:A63)+1</f>
        <v>56</v>
      </c>
      <c r="B64" t="s">
        <v>473</v>
      </c>
      <c r="C64" t="s">
        <v>474</v>
      </c>
      <c r="D64" t="s">
        <v>30</v>
      </c>
      <c r="E64" s="28">
        <v>305000</v>
      </c>
      <c r="F64" s="13">
        <v>510.41750000000002</v>
      </c>
      <c r="G64" s="14">
        <f t="shared" si="2"/>
        <v>4.1000000000000003E-3</v>
      </c>
      <c r="H64" s="15" t="s">
        <v>346</v>
      </c>
      <c r="I64" s="107"/>
    </row>
    <row r="65" spans="1:9" ht="12.75" customHeight="1" x14ac:dyDescent="0.2">
      <c r="A65">
        <f>+MAX($A$7:A64)+1</f>
        <v>57</v>
      </c>
      <c r="B65" t="s">
        <v>501</v>
      </c>
      <c r="C65" t="s">
        <v>502</v>
      </c>
      <c r="D65" t="s">
        <v>9</v>
      </c>
      <c r="E65" s="28">
        <v>645520</v>
      </c>
      <c r="F65" s="13">
        <v>411.51900000000001</v>
      </c>
      <c r="G65" s="14">
        <f t="shared" si="2"/>
        <v>3.3E-3</v>
      </c>
      <c r="H65" s="15" t="s">
        <v>346</v>
      </c>
      <c r="I65" s="107"/>
    </row>
    <row r="66" spans="1:9" ht="12.75" customHeight="1" x14ac:dyDescent="0.2">
      <c r="A66">
        <f>+MAX($A$7:A65)+1</f>
        <v>58</v>
      </c>
      <c r="B66" t="s">
        <v>245</v>
      </c>
      <c r="C66" t="s">
        <v>120</v>
      </c>
      <c r="D66" t="s">
        <v>17</v>
      </c>
      <c r="E66" s="28">
        <v>21646</v>
      </c>
      <c r="F66" s="13">
        <v>343.55448899999999</v>
      </c>
      <c r="G66" s="14">
        <f t="shared" si="2"/>
        <v>2.7000000000000001E-3</v>
      </c>
      <c r="H66" s="15" t="s">
        <v>346</v>
      </c>
      <c r="I66" s="107"/>
    </row>
    <row r="67" spans="1:9" ht="12.75" customHeight="1" x14ac:dyDescent="0.2">
      <c r="A67">
        <f>+MAX($A$7:A66)+1</f>
        <v>59</v>
      </c>
      <c r="B67" t="s">
        <v>244</v>
      </c>
      <c r="C67" t="s">
        <v>118</v>
      </c>
      <c r="D67" t="s">
        <v>17</v>
      </c>
      <c r="E67" s="28">
        <v>135300</v>
      </c>
      <c r="F67" s="13">
        <v>339.12945000000002</v>
      </c>
      <c r="G67" s="14">
        <f t="shared" si="2"/>
        <v>2.7000000000000001E-3</v>
      </c>
      <c r="H67" s="15" t="s">
        <v>346</v>
      </c>
      <c r="I67" s="107"/>
    </row>
    <row r="68" spans="1:9" ht="12.75" customHeight="1" x14ac:dyDescent="0.2">
      <c r="A68">
        <f>+MAX($A$7:A67)+1</f>
        <v>60</v>
      </c>
      <c r="B68" t="s">
        <v>317</v>
      </c>
      <c r="C68" t="s">
        <v>318</v>
      </c>
      <c r="D68" t="s">
        <v>17</v>
      </c>
      <c r="E68" s="28">
        <v>39494</v>
      </c>
      <c r="F68" s="13">
        <v>301.79340100000002</v>
      </c>
      <c r="G68" s="14">
        <f t="shared" si="2"/>
        <v>2.3999999999999998E-3</v>
      </c>
      <c r="H68" s="15" t="s">
        <v>346</v>
      </c>
      <c r="I68" s="107"/>
    </row>
    <row r="69" spans="1:9" ht="12.75" customHeight="1" x14ac:dyDescent="0.2">
      <c r="A69">
        <f>+MAX($A$7:A68)+1</f>
        <v>61</v>
      </c>
      <c r="B69" t="s">
        <v>399</v>
      </c>
      <c r="C69" t="s">
        <v>400</v>
      </c>
      <c r="D69" t="s">
        <v>401</v>
      </c>
      <c r="E69" s="28">
        <v>17235</v>
      </c>
      <c r="F69" s="13">
        <v>37.839442499999997</v>
      </c>
      <c r="G69" s="14">
        <f t="shared" si="2"/>
        <v>2.9999999999999997E-4</v>
      </c>
      <c r="H69" s="15" t="s">
        <v>346</v>
      </c>
      <c r="I69" s="107"/>
    </row>
    <row r="70" spans="1:9" ht="12.75" customHeight="1" x14ac:dyDescent="0.2">
      <c r="A70">
        <f>+MAX($A$7:A69)+1</f>
        <v>62</v>
      </c>
      <c r="B70" t="s">
        <v>519</v>
      </c>
      <c r="C70" t="s">
        <v>82</v>
      </c>
      <c r="D70" t="s">
        <v>100</v>
      </c>
      <c r="E70" s="28">
        <v>30579</v>
      </c>
      <c r="F70" s="13">
        <v>0</v>
      </c>
      <c r="G70" s="108" t="s">
        <v>494</v>
      </c>
      <c r="H70" s="15" t="s">
        <v>346</v>
      </c>
      <c r="I70" s="107"/>
    </row>
    <row r="71" spans="1:9" ht="12.75" customHeight="1" x14ac:dyDescent="0.2">
      <c r="B71" s="18" t="s">
        <v>83</v>
      </c>
      <c r="C71" s="18"/>
      <c r="D71" s="18"/>
      <c r="E71" s="29"/>
      <c r="F71" s="19">
        <f>SUM(F9:F70)</f>
        <v>82562.018275999988</v>
      </c>
      <c r="G71" s="20">
        <f>SUM(G9:G70)</f>
        <v>0.65809999999999991</v>
      </c>
      <c r="H71" s="21"/>
      <c r="I71" s="35"/>
    </row>
    <row r="72" spans="1:9" ht="12.75" customHeight="1" x14ac:dyDescent="0.2">
      <c r="F72" s="13"/>
      <c r="G72" s="14"/>
      <c r="H72" s="15"/>
    </row>
    <row r="73" spans="1:9" ht="12.75" customHeight="1" x14ac:dyDescent="0.2">
      <c r="B73" s="16" t="s">
        <v>89</v>
      </c>
      <c r="C73" s="16"/>
      <c r="F73" s="13"/>
      <c r="G73" s="14"/>
      <c r="H73" s="15"/>
    </row>
    <row r="74" spans="1:9" ht="12.75" customHeight="1" x14ac:dyDescent="0.2">
      <c r="B74" s="16" t="s">
        <v>647</v>
      </c>
      <c r="C74" s="16"/>
      <c r="F74" s="13"/>
      <c r="G74" s="14"/>
      <c r="H74" s="15"/>
    </row>
    <row r="75" spans="1:9" ht="12.75" customHeight="1" x14ac:dyDescent="0.2">
      <c r="A75">
        <f>+MAX($A$7:A74)+1</f>
        <v>63</v>
      </c>
      <c r="B75" s="65" t="s">
        <v>189</v>
      </c>
      <c r="C75" t="s">
        <v>582</v>
      </c>
      <c r="D75" t="s">
        <v>158</v>
      </c>
      <c r="E75" s="28">
        <v>600</v>
      </c>
      <c r="F75" s="13">
        <v>596.90340000000003</v>
      </c>
      <c r="G75" s="14">
        <f>+ROUND(F75/VLOOKUP("Grand Total",$B$4:$F$332,5,0),4)</f>
        <v>4.7999999999999996E-3</v>
      </c>
      <c r="H75" s="15">
        <v>43251</v>
      </c>
      <c r="I75" s="107"/>
    </row>
    <row r="76" spans="1:9" ht="12.75" customHeight="1" x14ac:dyDescent="0.2">
      <c r="A76">
        <f>+MAX($A$7:A75)+1</f>
        <v>64</v>
      </c>
      <c r="B76" s="65" t="s">
        <v>629</v>
      </c>
      <c r="C76" t="s">
        <v>630</v>
      </c>
      <c r="D76" t="s">
        <v>157</v>
      </c>
      <c r="E76" s="28">
        <v>500</v>
      </c>
      <c r="F76" s="13">
        <v>498.47399999999999</v>
      </c>
      <c r="G76" s="14">
        <f>+ROUND(F76/VLOOKUP("Grand Total",$B$4:$F$332,5,0),4)</f>
        <v>4.0000000000000001E-3</v>
      </c>
      <c r="H76" s="15">
        <v>43236</v>
      </c>
      <c r="I76" s="107"/>
    </row>
    <row r="77" spans="1:9" ht="12.75" customHeight="1" x14ac:dyDescent="0.2">
      <c r="B77" s="18" t="s">
        <v>83</v>
      </c>
      <c r="C77" s="18"/>
      <c r="D77" s="18"/>
      <c r="E77" s="29"/>
      <c r="F77" s="19">
        <f>SUM(F75:F76)</f>
        <v>1095.3774000000001</v>
      </c>
      <c r="G77" s="20">
        <f>SUM(G75:G76)</f>
        <v>8.7999999999999988E-3</v>
      </c>
      <c r="H77" s="21"/>
    </row>
    <row r="78" spans="1:9" ht="12.75" customHeight="1" x14ac:dyDescent="0.2">
      <c r="B78" s="16"/>
      <c r="C78" s="16"/>
      <c r="F78" s="13"/>
      <c r="G78" s="14"/>
      <c r="H78" s="15"/>
    </row>
    <row r="79" spans="1:9" ht="12.75" customHeight="1" x14ac:dyDescent="0.2">
      <c r="B79" s="16" t="s">
        <v>290</v>
      </c>
      <c r="C79" s="16"/>
      <c r="F79" s="13"/>
      <c r="G79" s="14"/>
      <c r="H79" s="15"/>
    </row>
    <row r="80" spans="1:9" ht="12.75" customHeight="1" x14ac:dyDescent="0.2">
      <c r="A80">
        <f>+MAX($A$7:A79)+1</f>
        <v>65</v>
      </c>
      <c r="B80" s="65" t="s">
        <v>275</v>
      </c>
      <c r="C80" t="s">
        <v>510</v>
      </c>
      <c r="D80" t="s">
        <v>520</v>
      </c>
      <c r="E80" s="28">
        <v>200</v>
      </c>
      <c r="F80" s="13">
        <v>970.13699999999994</v>
      </c>
      <c r="G80" s="14">
        <f t="shared" ref="G80:G86" si="3">+ROUND(F80/VLOOKUP("Grand Total",$B$4:$F$332,5,0),4)</f>
        <v>7.7000000000000002E-3</v>
      </c>
      <c r="H80" s="15">
        <v>43350</v>
      </c>
      <c r="I80" s="107"/>
    </row>
    <row r="81" spans="1:9" ht="12.75" customHeight="1" x14ac:dyDescent="0.2">
      <c r="A81">
        <f>+MAX($A$7:A80)+1</f>
        <v>66</v>
      </c>
      <c r="B81" s="65" t="s">
        <v>592</v>
      </c>
      <c r="C81" t="s">
        <v>593</v>
      </c>
      <c r="D81" t="s">
        <v>274</v>
      </c>
      <c r="E81" s="28">
        <v>180</v>
      </c>
      <c r="F81" s="13">
        <v>898.70849999999996</v>
      </c>
      <c r="G81" s="14">
        <f t="shared" si="3"/>
        <v>7.1999999999999998E-3</v>
      </c>
      <c r="H81" s="15">
        <v>43228</v>
      </c>
      <c r="I81" s="107"/>
    </row>
    <row r="82" spans="1:9" ht="12.75" customHeight="1" x14ac:dyDescent="0.2">
      <c r="A82">
        <f>+MAX($A$7:A81)+1</f>
        <v>67</v>
      </c>
      <c r="B82" s="65" t="s">
        <v>512</v>
      </c>
      <c r="C82" t="s">
        <v>611</v>
      </c>
      <c r="D82" t="s">
        <v>513</v>
      </c>
      <c r="E82" s="28">
        <v>140</v>
      </c>
      <c r="F82" s="13">
        <v>690.15520000000004</v>
      </c>
      <c r="G82" s="14">
        <f t="shared" si="3"/>
        <v>5.4999999999999997E-3</v>
      </c>
      <c r="H82" s="15">
        <v>43272</v>
      </c>
      <c r="I82" s="107"/>
    </row>
    <row r="83" spans="1:9" ht="12.75" customHeight="1" x14ac:dyDescent="0.2">
      <c r="A83">
        <f>+MAX($A$7:A82)+1</f>
        <v>68</v>
      </c>
      <c r="B83" s="65" t="s">
        <v>275</v>
      </c>
      <c r="C83" t="s">
        <v>594</v>
      </c>
      <c r="D83" t="s">
        <v>520</v>
      </c>
      <c r="E83" s="28">
        <v>120</v>
      </c>
      <c r="F83" s="13">
        <v>597.43920000000003</v>
      </c>
      <c r="G83" s="14">
        <f t="shared" si="3"/>
        <v>4.7999999999999996E-3</v>
      </c>
      <c r="H83" s="15">
        <v>43241</v>
      </c>
      <c r="I83" s="107"/>
    </row>
    <row r="84" spans="1:9" ht="12.75" customHeight="1" x14ac:dyDescent="0.2">
      <c r="A84">
        <f>+MAX($A$7:A83)+1</f>
        <v>69</v>
      </c>
      <c r="B84" s="65" t="s">
        <v>511</v>
      </c>
      <c r="C84" t="s">
        <v>632</v>
      </c>
      <c r="D84" t="s">
        <v>157</v>
      </c>
      <c r="E84" s="28">
        <v>100</v>
      </c>
      <c r="F84" s="13">
        <v>498.93099999999998</v>
      </c>
      <c r="G84" s="14">
        <f t="shared" si="3"/>
        <v>4.0000000000000001E-3</v>
      </c>
      <c r="H84" s="15">
        <v>43231</v>
      </c>
      <c r="I84" s="107"/>
    </row>
    <row r="85" spans="1:9" ht="12.75" customHeight="1" x14ac:dyDescent="0.2">
      <c r="A85">
        <f>+MAX($A$7:A84)+1</f>
        <v>70</v>
      </c>
      <c r="B85" s="65" t="s">
        <v>597</v>
      </c>
      <c r="C85" t="s">
        <v>598</v>
      </c>
      <c r="D85" t="s">
        <v>157</v>
      </c>
      <c r="E85" s="28">
        <v>100</v>
      </c>
      <c r="F85" s="13">
        <v>497.07600000000002</v>
      </c>
      <c r="G85" s="14">
        <f t="shared" si="3"/>
        <v>4.0000000000000001E-3</v>
      </c>
      <c r="H85" s="15">
        <v>43248</v>
      </c>
      <c r="I85" s="107"/>
    </row>
    <row r="86" spans="1:9" ht="12.75" customHeight="1" x14ac:dyDescent="0.2">
      <c r="A86">
        <f>+MAX($A$7:A85)+1</f>
        <v>71</v>
      </c>
      <c r="B86" s="65" t="s">
        <v>521</v>
      </c>
      <c r="C86" t="s">
        <v>522</v>
      </c>
      <c r="D86" t="s">
        <v>274</v>
      </c>
      <c r="E86" s="28">
        <v>30</v>
      </c>
      <c r="F86" s="13">
        <v>148.63305</v>
      </c>
      <c r="G86" s="14">
        <f t="shared" si="3"/>
        <v>1.1999999999999999E-3</v>
      </c>
      <c r="H86" s="15">
        <v>43265</v>
      </c>
      <c r="I86" s="107"/>
    </row>
    <row r="87" spans="1:9" ht="12.75" customHeight="1" x14ac:dyDescent="0.2">
      <c r="B87" s="18" t="s">
        <v>83</v>
      </c>
      <c r="C87" s="18"/>
      <c r="D87" s="18"/>
      <c r="E87" s="29"/>
      <c r="F87" s="19">
        <f>SUM(F80:F86)</f>
        <v>4301.0799500000012</v>
      </c>
      <c r="G87" s="20">
        <f>SUM(G80:G86)</f>
        <v>3.44E-2</v>
      </c>
      <c r="H87" s="21"/>
    </row>
    <row r="88" spans="1:9" ht="12.75" customHeight="1" x14ac:dyDescent="0.2">
      <c r="F88" s="13"/>
      <c r="G88" s="14"/>
      <c r="H88" s="15"/>
    </row>
    <row r="89" spans="1:9" ht="12.75" customHeight="1" x14ac:dyDescent="0.2">
      <c r="B89" s="16" t="s">
        <v>122</v>
      </c>
      <c r="C89" s="16"/>
      <c r="F89" s="13"/>
      <c r="G89" s="14"/>
      <c r="H89" s="15"/>
    </row>
    <row r="90" spans="1:9" ht="12.75" customHeight="1" x14ac:dyDescent="0.2">
      <c r="B90" s="31" t="s">
        <v>381</v>
      </c>
      <c r="C90" s="16"/>
      <c r="F90" s="13"/>
      <c r="G90" s="14"/>
      <c r="H90" s="15"/>
    </row>
    <row r="91" spans="1:9" ht="12.75" customHeight="1" x14ac:dyDescent="0.2">
      <c r="A91">
        <f>+MAX($A$7:A90)+1</f>
        <v>72</v>
      </c>
      <c r="B91" s="65" t="s">
        <v>728</v>
      </c>
      <c r="C91" t="s">
        <v>682</v>
      </c>
      <c r="D91" t="s">
        <v>414</v>
      </c>
      <c r="E91" s="28">
        <v>250</v>
      </c>
      <c r="F91" s="13">
        <v>2579.9025000000001</v>
      </c>
      <c r="G91" s="14">
        <f t="shared" ref="G91:G110" si="4">+ROUND(F91/VLOOKUP("Grand Total",$B$4:$F$332,5,0),4)</f>
        <v>2.06E-2</v>
      </c>
      <c r="H91" s="15">
        <v>44739</v>
      </c>
      <c r="I91" s="107"/>
    </row>
    <row r="92" spans="1:9" ht="12.75" customHeight="1" x14ac:dyDescent="0.2">
      <c r="A92">
        <f>+MAX($A$7:A91)+1</f>
        <v>73</v>
      </c>
      <c r="B92" s="65" t="s">
        <v>721</v>
      </c>
      <c r="C92" t="s">
        <v>515</v>
      </c>
      <c r="D92" t="s">
        <v>106</v>
      </c>
      <c r="E92" s="28">
        <v>235</v>
      </c>
      <c r="F92" s="13">
        <v>2238.3562000000002</v>
      </c>
      <c r="G92" s="14">
        <f t="shared" si="4"/>
        <v>1.78E-2</v>
      </c>
      <c r="H92" s="15">
        <v>44804</v>
      </c>
      <c r="I92" s="107"/>
    </row>
    <row r="93" spans="1:9" ht="12.75" customHeight="1" x14ac:dyDescent="0.2">
      <c r="A93">
        <f>+MAX($A$7:A92)+1</f>
        <v>74</v>
      </c>
      <c r="B93" s="65" t="s">
        <v>722</v>
      </c>
      <c r="C93" t="s">
        <v>626</v>
      </c>
      <c r="D93" t="s">
        <v>106</v>
      </c>
      <c r="E93" s="28">
        <v>200</v>
      </c>
      <c r="F93" s="13">
        <v>1894.354</v>
      </c>
      <c r="G93" s="14">
        <f t="shared" si="4"/>
        <v>1.5100000000000001E-2</v>
      </c>
      <c r="H93" s="15">
        <v>46525</v>
      </c>
      <c r="I93" s="107"/>
    </row>
    <row r="94" spans="1:9" ht="12.75" customHeight="1" x14ac:dyDescent="0.2">
      <c r="A94">
        <f>+MAX($A$7:A93)+1</f>
        <v>75</v>
      </c>
      <c r="B94" s="65" t="s">
        <v>717</v>
      </c>
      <c r="C94" t="s">
        <v>672</v>
      </c>
      <c r="D94" t="s">
        <v>106</v>
      </c>
      <c r="E94" s="28">
        <v>150</v>
      </c>
      <c r="F94" s="13">
        <v>1476.7439999999999</v>
      </c>
      <c r="G94" s="14">
        <f t="shared" si="4"/>
        <v>1.18E-2</v>
      </c>
      <c r="H94" s="15">
        <v>46836</v>
      </c>
      <c r="I94" s="107"/>
    </row>
    <row r="95" spans="1:9" ht="12.75" customHeight="1" x14ac:dyDescent="0.2">
      <c r="A95">
        <f>+MAX($A$7:A94)+1</f>
        <v>76</v>
      </c>
      <c r="B95" s="65" t="s">
        <v>620</v>
      </c>
      <c r="C95" t="s">
        <v>514</v>
      </c>
      <c r="D95" t="s">
        <v>106</v>
      </c>
      <c r="E95" s="28">
        <v>150</v>
      </c>
      <c r="F95" s="13">
        <v>1465.68</v>
      </c>
      <c r="G95" s="14">
        <f t="shared" si="4"/>
        <v>1.17E-2</v>
      </c>
      <c r="H95" s="15">
        <v>44104</v>
      </c>
      <c r="I95" s="107"/>
    </row>
    <row r="96" spans="1:9" ht="12.75" customHeight="1" x14ac:dyDescent="0.2">
      <c r="A96">
        <f>+MAX($A$7:A95)+1</f>
        <v>77</v>
      </c>
      <c r="B96" s="65" t="s">
        <v>720</v>
      </c>
      <c r="C96" t="s">
        <v>493</v>
      </c>
      <c r="D96" t="s">
        <v>170</v>
      </c>
      <c r="E96" s="28">
        <v>150</v>
      </c>
      <c r="F96" s="13">
        <v>1456.4715000000001</v>
      </c>
      <c r="G96" s="14">
        <f t="shared" si="4"/>
        <v>1.1599999999999999E-2</v>
      </c>
      <c r="H96" s="15">
        <v>44376</v>
      </c>
      <c r="I96" s="107"/>
    </row>
    <row r="97" spans="1:9" ht="12.75" customHeight="1" x14ac:dyDescent="0.2">
      <c r="A97">
        <f>+MAX($A$7:A96)+1</f>
        <v>78</v>
      </c>
      <c r="B97" s="65" t="s">
        <v>712</v>
      </c>
      <c r="C97" t="s">
        <v>472</v>
      </c>
      <c r="D97" t="s">
        <v>106</v>
      </c>
      <c r="E97" s="28">
        <v>110</v>
      </c>
      <c r="F97" s="13">
        <v>1084.6011000000001</v>
      </c>
      <c r="G97" s="14">
        <f t="shared" si="4"/>
        <v>8.6E-3</v>
      </c>
      <c r="H97" s="15">
        <v>44091</v>
      </c>
      <c r="I97" s="107"/>
    </row>
    <row r="98" spans="1:9" ht="12.75" customHeight="1" x14ac:dyDescent="0.2">
      <c r="A98">
        <f>+MAX($A$7:A97)+1</f>
        <v>79</v>
      </c>
      <c r="B98" s="65" t="s">
        <v>673</v>
      </c>
      <c r="C98" t="s">
        <v>541</v>
      </c>
      <c r="D98" t="s">
        <v>106</v>
      </c>
      <c r="E98" s="28">
        <v>100</v>
      </c>
      <c r="F98" s="13">
        <v>1011.237</v>
      </c>
      <c r="G98" s="14">
        <f t="shared" si="4"/>
        <v>8.0999999999999996E-3</v>
      </c>
      <c r="H98" s="15">
        <v>45042</v>
      </c>
      <c r="I98" s="107"/>
    </row>
    <row r="99" spans="1:9" ht="12.75" customHeight="1" x14ac:dyDescent="0.2">
      <c r="A99">
        <f>+MAX($A$7:A98)+1</f>
        <v>80</v>
      </c>
      <c r="B99" s="65" t="s">
        <v>711</v>
      </c>
      <c r="C99" t="s">
        <v>490</v>
      </c>
      <c r="D99" t="s">
        <v>338</v>
      </c>
      <c r="E99" s="28">
        <v>90000</v>
      </c>
      <c r="F99" s="13">
        <v>902.94659999999999</v>
      </c>
      <c r="G99" s="14">
        <f t="shared" si="4"/>
        <v>7.1999999999999998E-3</v>
      </c>
      <c r="H99" s="15">
        <v>43717</v>
      </c>
      <c r="I99" s="107"/>
    </row>
    <row r="100" spans="1:9" ht="12.75" customHeight="1" x14ac:dyDescent="0.2">
      <c r="A100">
        <f>+MAX($A$7:A99)+1</f>
        <v>81</v>
      </c>
      <c r="B100" s="65" t="s">
        <v>705</v>
      </c>
      <c r="C100" t="s">
        <v>576</v>
      </c>
      <c r="D100" t="s">
        <v>563</v>
      </c>
      <c r="E100" s="28">
        <v>70</v>
      </c>
      <c r="F100" s="13">
        <v>582.81579999999997</v>
      </c>
      <c r="G100" s="14">
        <f t="shared" si="4"/>
        <v>4.5999999999999999E-3</v>
      </c>
      <c r="H100" s="15">
        <v>43826</v>
      </c>
      <c r="I100" s="107"/>
    </row>
    <row r="101" spans="1:9" ht="12.75" customHeight="1" x14ac:dyDescent="0.2">
      <c r="A101">
        <f>+MAX($A$7:A100)+1</f>
        <v>82</v>
      </c>
      <c r="B101" s="65" t="s">
        <v>633</v>
      </c>
      <c r="C101" t="s">
        <v>516</v>
      </c>
      <c r="D101" t="s">
        <v>106</v>
      </c>
      <c r="E101" s="28">
        <v>50</v>
      </c>
      <c r="F101" s="13">
        <v>502.79399999999998</v>
      </c>
      <c r="G101" s="14">
        <f t="shared" si="4"/>
        <v>4.0000000000000001E-3</v>
      </c>
      <c r="H101" s="15">
        <v>44004</v>
      </c>
      <c r="I101" s="107"/>
    </row>
    <row r="102" spans="1:9" ht="12.75" customHeight="1" x14ac:dyDescent="0.2">
      <c r="A102">
        <f>+MAX($A$7:A101)+1</f>
        <v>83</v>
      </c>
      <c r="B102" s="65" t="s">
        <v>711</v>
      </c>
      <c r="C102" t="s">
        <v>405</v>
      </c>
      <c r="D102" t="s">
        <v>338</v>
      </c>
      <c r="E102" s="28">
        <v>50000</v>
      </c>
      <c r="F102" s="13">
        <v>501.57799999999997</v>
      </c>
      <c r="G102" s="14">
        <f t="shared" si="4"/>
        <v>4.0000000000000001E-3</v>
      </c>
      <c r="H102" s="15">
        <v>43693</v>
      </c>
      <c r="I102" s="107"/>
    </row>
    <row r="103" spans="1:9" ht="12.75" customHeight="1" x14ac:dyDescent="0.2">
      <c r="A103">
        <f>+MAX($A$7:A102)+1</f>
        <v>84</v>
      </c>
      <c r="B103" s="65" t="s">
        <v>729</v>
      </c>
      <c r="C103" t="s">
        <v>560</v>
      </c>
      <c r="D103" t="s">
        <v>106</v>
      </c>
      <c r="E103" s="28">
        <v>5</v>
      </c>
      <c r="F103" s="13">
        <v>498.84649999999999</v>
      </c>
      <c r="G103" s="14">
        <f t="shared" si="4"/>
        <v>4.0000000000000001E-3</v>
      </c>
      <c r="H103" s="15">
        <v>43367</v>
      </c>
      <c r="I103" s="107"/>
    </row>
    <row r="104" spans="1:9" ht="12.75" customHeight="1" x14ac:dyDescent="0.2">
      <c r="A104">
        <f>+MAX($A$7:A103)+1</f>
        <v>85</v>
      </c>
      <c r="B104" s="65" t="s">
        <v>730</v>
      </c>
      <c r="C104" t="s">
        <v>419</v>
      </c>
      <c r="D104" t="s">
        <v>106</v>
      </c>
      <c r="E104" s="28">
        <v>5</v>
      </c>
      <c r="F104" s="13">
        <v>497.53699999999998</v>
      </c>
      <c r="G104" s="14">
        <f t="shared" si="4"/>
        <v>4.0000000000000001E-3</v>
      </c>
      <c r="H104" s="15">
        <v>43544</v>
      </c>
      <c r="I104" s="107"/>
    </row>
    <row r="105" spans="1:9" ht="12.75" customHeight="1" x14ac:dyDescent="0.2">
      <c r="A105">
        <f>+MAX($A$7:A104)+1</f>
        <v>86</v>
      </c>
      <c r="B105" s="65" t="s">
        <v>713</v>
      </c>
      <c r="C105" t="s">
        <v>577</v>
      </c>
      <c r="D105" t="s">
        <v>276</v>
      </c>
      <c r="E105" s="28">
        <v>50</v>
      </c>
      <c r="F105" s="13">
        <v>496.89449999999999</v>
      </c>
      <c r="G105" s="14">
        <f t="shared" si="4"/>
        <v>4.0000000000000001E-3</v>
      </c>
      <c r="H105" s="15">
        <v>43643</v>
      </c>
      <c r="I105" s="107"/>
    </row>
    <row r="106" spans="1:9" ht="12.75" customHeight="1" x14ac:dyDescent="0.2">
      <c r="A106">
        <f>+MAX($A$7:A105)+1</f>
        <v>87</v>
      </c>
      <c r="B106" s="65" t="s">
        <v>731</v>
      </c>
      <c r="C106" t="s">
        <v>418</v>
      </c>
      <c r="D106" t="s">
        <v>106</v>
      </c>
      <c r="E106" s="28">
        <v>50</v>
      </c>
      <c r="F106" s="13">
        <v>494.14100000000002</v>
      </c>
      <c r="G106" s="14">
        <f t="shared" si="4"/>
        <v>3.8999999999999998E-3</v>
      </c>
      <c r="H106" s="15">
        <v>44006</v>
      </c>
      <c r="I106" s="107"/>
    </row>
    <row r="107" spans="1:9" ht="12.75" customHeight="1" x14ac:dyDescent="0.2">
      <c r="A107">
        <f>+MAX($A$7:A106)+1</f>
        <v>88</v>
      </c>
      <c r="B107" s="65" t="s">
        <v>732</v>
      </c>
      <c r="C107" t="s">
        <v>599</v>
      </c>
      <c r="D107" t="s">
        <v>106</v>
      </c>
      <c r="E107" s="28">
        <v>50</v>
      </c>
      <c r="F107" s="13">
        <v>465.24849999999998</v>
      </c>
      <c r="G107" s="14">
        <f t="shared" si="4"/>
        <v>3.7000000000000002E-3</v>
      </c>
      <c r="H107" s="15">
        <v>46557</v>
      </c>
      <c r="I107" s="107"/>
    </row>
    <row r="108" spans="1:9" ht="12.75" customHeight="1" x14ac:dyDescent="0.2">
      <c r="A108">
        <f>+MAX($A$7:A107)+1</f>
        <v>89</v>
      </c>
      <c r="B108" s="65" t="s">
        <v>699</v>
      </c>
      <c r="C108" t="s">
        <v>429</v>
      </c>
      <c r="D108" t="s">
        <v>564</v>
      </c>
      <c r="E108" s="28">
        <v>30</v>
      </c>
      <c r="F108" s="13">
        <v>299.50170000000003</v>
      </c>
      <c r="G108" s="14">
        <f t="shared" si="4"/>
        <v>2.3999999999999998E-3</v>
      </c>
      <c r="H108" s="15">
        <v>43469</v>
      </c>
      <c r="I108" s="107"/>
    </row>
    <row r="109" spans="1:9" ht="12.75" customHeight="1" x14ac:dyDescent="0.2">
      <c r="A109">
        <f>+MAX($A$7:A108)+1</f>
        <v>90</v>
      </c>
      <c r="B109" s="65" t="s">
        <v>723</v>
      </c>
      <c r="C109" t="s">
        <v>389</v>
      </c>
      <c r="D109" t="s">
        <v>338</v>
      </c>
      <c r="E109" s="28">
        <v>13</v>
      </c>
      <c r="F109" s="13">
        <v>130.07371000000001</v>
      </c>
      <c r="G109" s="14">
        <f t="shared" si="4"/>
        <v>1E-3</v>
      </c>
      <c r="H109" s="15">
        <v>43322</v>
      </c>
      <c r="I109" s="107"/>
    </row>
    <row r="110" spans="1:9" ht="12.75" customHeight="1" x14ac:dyDescent="0.2">
      <c r="A110">
        <f>+MAX($A$7:A109)+1</f>
        <v>91</v>
      </c>
      <c r="B110" s="65" t="s">
        <v>704</v>
      </c>
      <c r="C110" t="s">
        <v>313</v>
      </c>
      <c r="D110" t="s">
        <v>277</v>
      </c>
      <c r="E110" s="28">
        <v>10</v>
      </c>
      <c r="F110" s="13">
        <v>100.9008</v>
      </c>
      <c r="G110" s="14">
        <f t="shared" si="4"/>
        <v>8.0000000000000004E-4</v>
      </c>
      <c r="H110" s="15">
        <v>43621</v>
      </c>
      <c r="I110" s="107"/>
    </row>
    <row r="111" spans="1:9" ht="12.75" customHeight="1" x14ac:dyDescent="0.2">
      <c r="B111" s="18" t="s">
        <v>83</v>
      </c>
      <c r="C111" s="18"/>
      <c r="D111" s="18"/>
      <c r="E111" s="29"/>
      <c r="F111" s="19">
        <f>SUM(F91:F110)</f>
        <v>18680.624409999997</v>
      </c>
      <c r="G111" s="20">
        <f>SUM(G91:G110)</f>
        <v>0.14890000000000003</v>
      </c>
      <c r="H111" s="21"/>
    </row>
    <row r="112" spans="1:9" ht="12.75" customHeight="1" x14ac:dyDescent="0.2">
      <c r="F112" s="13"/>
      <c r="G112" s="14"/>
      <c r="H112" s="15"/>
    </row>
    <row r="113" spans="1:11" ht="12.75" customHeight="1" x14ac:dyDescent="0.2">
      <c r="B113" s="16" t="s">
        <v>696</v>
      </c>
      <c r="C113" s="16"/>
      <c r="F113" s="13"/>
      <c r="G113" s="14"/>
      <c r="H113" s="15"/>
    </row>
    <row r="114" spans="1:11" ht="12.75" customHeight="1" x14ac:dyDescent="0.2">
      <c r="A114">
        <f>+MAX($A$7:A113)+1</f>
        <v>92</v>
      </c>
      <c r="B114" s="65" t="s">
        <v>617</v>
      </c>
      <c r="C114" t="s">
        <v>492</v>
      </c>
      <c r="D114" t="s">
        <v>341</v>
      </c>
      <c r="E114" s="28">
        <v>50</v>
      </c>
      <c r="F114" s="13">
        <v>531.76599999999996</v>
      </c>
      <c r="G114" s="14">
        <f>+ROUND(F114/VLOOKUP("Grand Total",$B$4:$F$332,5,0),4)</f>
        <v>4.1999999999999997E-3</v>
      </c>
      <c r="H114" s="15">
        <v>43321</v>
      </c>
    </row>
    <row r="115" spans="1:11" ht="12.75" customHeight="1" x14ac:dyDescent="0.2">
      <c r="B115" s="18" t="s">
        <v>83</v>
      </c>
      <c r="C115" s="18"/>
      <c r="D115" s="18"/>
      <c r="E115" s="29"/>
      <c r="F115" s="19">
        <f>SUM(F114:F114)</f>
        <v>531.76599999999996</v>
      </c>
      <c r="G115" s="20">
        <f>SUM(G114:G114)</f>
        <v>4.1999999999999997E-3</v>
      </c>
      <c r="H115" s="21"/>
    </row>
    <row r="116" spans="1:11" s="46" customFormat="1" ht="12.75" customHeight="1" x14ac:dyDescent="0.2">
      <c r="B116" s="67"/>
      <c r="C116" s="67"/>
      <c r="D116" s="67"/>
      <c r="E116" s="68"/>
      <c r="F116" s="69"/>
      <c r="G116" s="70"/>
      <c r="H116" s="71"/>
      <c r="I116" s="33"/>
      <c r="K116" s="48"/>
    </row>
    <row r="117" spans="1:11" ht="12.75" customHeight="1" x14ac:dyDescent="0.2">
      <c r="B117" s="16" t="s">
        <v>165</v>
      </c>
      <c r="C117" s="16"/>
      <c r="F117" s="13"/>
      <c r="G117" s="14"/>
      <c r="H117" s="15"/>
    </row>
    <row r="118" spans="1:11" ht="12.75" customHeight="1" x14ac:dyDescent="0.2">
      <c r="A118">
        <f>+MAX($A$7:A117)+1</f>
        <v>93</v>
      </c>
      <c r="B118" s="65" t="s">
        <v>430</v>
      </c>
      <c r="C118" t="s">
        <v>431</v>
      </c>
      <c r="D118" t="s">
        <v>378</v>
      </c>
      <c r="E118" s="28">
        <v>2600000</v>
      </c>
      <c r="F118" s="13">
        <v>2506.0880000000002</v>
      </c>
      <c r="G118" s="14">
        <f>+ROUND(F118/VLOOKUP("Grand Total",$B$4:$F$332,5,0),4)</f>
        <v>0.02</v>
      </c>
      <c r="H118" s="15">
        <v>44914</v>
      </c>
    </row>
    <row r="119" spans="1:11" ht="12.75" customHeight="1" x14ac:dyDescent="0.2">
      <c r="A119">
        <f>+MAX($A$7:A118)+1</f>
        <v>94</v>
      </c>
      <c r="B119" s="65" t="s">
        <v>443</v>
      </c>
      <c r="C119" t="s">
        <v>444</v>
      </c>
      <c r="D119" t="s">
        <v>378</v>
      </c>
      <c r="E119" s="28">
        <v>1950000</v>
      </c>
      <c r="F119" s="13">
        <v>1939.6572000000001</v>
      </c>
      <c r="G119" s="14">
        <f>+ROUND(F119/VLOOKUP("Grand Total",$B$4:$F$332,5,0),4)</f>
        <v>1.55E-2</v>
      </c>
      <c r="H119" s="15">
        <v>45275</v>
      </c>
    </row>
    <row r="120" spans="1:11" ht="12.75" customHeight="1" x14ac:dyDescent="0.2">
      <c r="A120">
        <f>+MAX($A$7:A119)+1</f>
        <v>95</v>
      </c>
      <c r="B120" s="65" t="s">
        <v>668</v>
      </c>
      <c r="C120" t="s">
        <v>669</v>
      </c>
      <c r="D120" t="s">
        <v>378</v>
      </c>
      <c r="E120" s="28">
        <v>1450000</v>
      </c>
      <c r="F120" s="13">
        <v>1426.0691999999999</v>
      </c>
      <c r="G120" s="14">
        <f>+ROUND(F120/VLOOKUP("Grand Total",$B$4:$F$332,5,0),4)</f>
        <v>1.14E-2</v>
      </c>
      <c r="H120" s="15">
        <v>45032</v>
      </c>
    </row>
    <row r="121" spans="1:11" ht="12.75" customHeight="1" x14ac:dyDescent="0.2">
      <c r="A121">
        <f>+MAX($A$7:A120)+1</f>
        <v>96</v>
      </c>
      <c r="B121" s="65" t="s">
        <v>624</v>
      </c>
      <c r="C121" t="s">
        <v>625</v>
      </c>
      <c r="D121" t="s">
        <v>378</v>
      </c>
      <c r="E121" s="28">
        <v>1150000</v>
      </c>
      <c r="F121" s="13">
        <v>1123.1728000000001</v>
      </c>
      <c r="G121" s="14">
        <f>+ROUND(F121/VLOOKUP("Grand Total",$B$4:$F$332,5,0),4)</f>
        <v>8.9999999999999993E-3</v>
      </c>
      <c r="H121" s="15">
        <v>45465</v>
      </c>
    </row>
    <row r="122" spans="1:11" ht="12.75" customHeight="1" x14ac:dyDescent="0.2">
      <c r="A122">
        <f>+MAX($A$7:A121)+1</f>
        <v>97</v>
      </c>
      <c r="B122" s="65" t="s">
        <v>670</v>
      </c>
      <c r="C122" t="s">
        <v>671</v>
      </c>
      <c r="D122" t="s">
        <v>378</v>
      </c>
      <c r="E122" s="28">
        <v>600000</v>
      </c>
      <c r="F122" s="13">
        <v>535.77840000000003</v>
      </c>
      <c r="G122" s="14">
        <f>+ROUND(F122/VLOOKUP("Grand Total",$B$4:$F$332,5,0),4)</f>
        <v>4.3E-3</v>
      </c>
      <c r="H122" s="15">
        <v>48108</v>
      </c>
    </row>
    <row r="123" spans="1:11" ht="12.75" customHeight="1" x14ac:dyDescent="0.2">
      <c r="B123" s="18" t="s">
        <v>83</v>
      </c>
      <c r="C123" s="18"/>
      <c r="D123" s="18"/>
      <c r="E123" s="29"/>
      <c r="F123" s="19">
        <f>SUM(F118:F122)</f>
        <v>7530.7656000000006</v>
      </c>
      <c r="G123" s="20">
        <f>SUM(G118:G122)</f>
        <v>6.0200000000000004E-2</v>
      </c>
      <c r="H123" s="21"/>
    </row>
    <row r="124" spans="1:11" s="46" customFormat="1" ht="12.75" customHeight="1" x14ac:dyDescent="0.2">
      <c r="B124" s="67"/>
      <c r="C124" s="67"/>
      <c r="D124" s="67"/>
      <c r="E124" s="68"/>
      <c r="F124" s="69"/>
      <c r="G124" s="70"/>
      <c r="H124" s="71"/>
      <c r="I124" s="33"/>
      <c r="K124" s="48"/>
    </row>
    <row r="125" spans="1:11" ht="12.75" customHeight="1" x14ac:dyDescent="0.2">
      <c r="B125" s="16" t="s">
        <v>406</v>
      </c>
      <c r="C125" s="16"/>
      <c r="F125" s="13"/>
      <c r="G125" s="14"/>
      <c r="H125" s="15"/>
    </row>
    <row r="126" spans="1:11" ht="12.75" customHeight="1" x14ac:dyDescent="0.2">
      <c r="A126">
        <f>+MAX($A$7:A125)+1</f>
        <v>98</v>
      </c>
      <c r="B126" s="65" t="s">
        <v>634</v>
      </c>
      <c r="C126" t="s">
        <v>635</v>
      </c>
      <c r="D126" t="s">
        <v>378</v>
      </c>
      <c r="E126" s="28">
        <v>500000</v>
      </c>
      <c r="F126" s="13">
        <v>511.80549999999999</v>
      </c>
      <c r="G126" s="14">
        <f>+ROUND(F126/VLOOKUP("Grand Total",$B$4:$F$332,5,0),4)</f>
        <v>4.1000000000000003E-3</v>
      </c>
      <c r="H126" s="15">
        <v>44851</v>
      </c>
    </row>
    <row r="127" spans="1:11" ht="12.75" customHeight="1" x14ac:dyDescent="0.2">
      <c r="B127" s="18" t="s">
        <v>83</v>
      </c>
      <c r="C127" s="18"/>
      <c r="D127" s="18"/>
      <c r="E127" s="29"/>
      <c r="F127" s="19">
        <f>SUM(F126:F126)</f>
        <v>511.80549999999999</v>
      </c>
      <c r="G127" s="20">
        <f>SUM(G126:G126)</f>
        <v>4.1000000000000003E-3</v>
      </c>
      <c r="H127" s="21"/>
    </row>
    <row r="128" spans="1:11" s="46" customFormat="1" ht="12.75" customHeight="1" x14ac:dyDescent="0.2">
      <c r="B128" s="67"/>
      <c r="C128" s="67"/>
      <c r="D128" s="67"/>
      <c r="E128" s="68"/>
      <c r="F128" s="69"/>
      <c r="G128" s="70"/>
      <c r="H128" s="71"/>
      <c r="I128" s="33"/>
      <c r="K128" s="48"/>
    </row>
    <row r="129" spans="1:11" ht="12.75" customHeight="1" x14ac:dyDescent="0.2">
      <c r="B129" s="16" t="s">
        <v>90</v>
      </c>
      <c r="C129" s="16"/>
      <c r="F129" s="13"/>
      <c r="G129" s="14"/>
      <c r="H129" s="15"/>
    </row>
    <row r="130" spans="1:11" ht="12.75" customHeight="1" x14ac:dyDescent="0.2">
      <c r="A130">
        <f>+MAX($A$7:A129)+1</f>
        <v>99</v>
      </c>
      <c r="B130" s="65" t="s">
        <v>561</v>
      </c>
      <c r="C130" t="s">
        <v>562</v>
      </c>
      <c r="D130" t="s">
        <v>302</v>
      </c>
      <c r="E130" s="28">
        <v>55322.918599999997</v>
      </c>
      <c r="F130" s="13">
        <v>1535.4351596000001</v>
      </c>
      <c r="G130" s="14">
        <f>+ROUND(F130/VLOOKUP("Grand Total",$B$4:$F$332,5,0),4)</f>
        <v>1.2200000000000001E-2</v>
      </c>
      <c r="H130" s="15"/>
    </row>
    <row r="131" spans="1:11" ht="12.75" customHeight="1" x14ac:dyDescent="0.2">
      <c r="B131" s="18" t="s">
        <v>83</v>
      </c>
      <c r="C131" s="18"/>
      <c r="D131" s="18"/>
      <c r="E131" s="29"/>
      <c r="F131" s="19">
        <f>SUM(F130:F130)</f>
        <v>1535.4351596000001</v>
      </c>
      <c r="G131" s="20">
        <f>SUM(G130:G130)</f>
        <v>1.2200000000000001E-2</v>
      </c>
      <c r="H131" s="21"/>
    </row>
    <row r="132" spans="1:11" s="46" customFormat="1" ht="12.75" customHeight="1" x14ac:dyDescent="0.2">
      <c r="B132" s="67"/>
      <c r="C132" s="67"/>
      <c r="D132" s="67"/>
      <c r="E132" s="68"/>
      <c r="F132" s="69"/>
      <c r="G132" s="70"/>
      <c r="H132" s="71"/>
      <c r="I132" s="33"/>
      <c r="K132" s="48"/>
    </row>
    <row r="133" spans="1:11" ht="12.75" customHeight="1" x14ac:dyDescent="0.2">
      <c r="A133" s="95" t="s">
        <v>345</v>
      </c>
      <c r="B133" s="16" t="s">
        <v>91</v>
      </c>
      <c r="C133" s="16"/>
      <c r="F133" s="13">
        <v>7737.1289761000007</v>
      </c>
      <c r="G133" s="14">
        <f>+ROUND(F133/VLOOKUP("Grand Total",$B$4:$F$332,5,0),4)</f>
        <v>6.1699999999999998E-2</v>
      </c>
      <c r="H133" s="15">
        <v>43222</v>
      </c>
    </row>
    <row r="134" spans="1:11" ht="12.75" customHeight="1" x14ac:dyDescent="0.2">
      <c r="B134" s="18" t="s">
        <v>83</v>
      </c>
      <c r="C134" s="18"/>
      <c r="D134" s="18"/>
      <c r="E134" s="29"/>
      <c r="F134" s="19">
        <f>SUM(F133)</f>
        <v>7737.1289761000007</v>
      </c>
      <c r="G134" s="20">
        <f>SUM(G133)</f>
        <v>6.1699999999999998E-2</v>
      </c>
      <c r="H134" s="21"/>
      <c r="I134" s="35"/>
    </row>
    <row r="135" spans="1:11" ht="12.75" customHeight="1" x14ac:dyDescent="0.2">
      <c r="F135" s="13"/>
      <c r="G135" s="14"/>
      <c r="H135" s="15"/>
    </row>
    <row r="136" spans="1:11" ht="12.75" customHeight="1" x14ac:dyDescent="0.2">
      <c r="B136" s="16" t="s">
        <v>92</v>
      </c>
      <c r="C136" s="16"/>
      <c r="F136" s="13"/>
      <c r="G136" s="14"/>
      <c r="H136" s="15"/>
    </row>
    <row r="137" spans="1:11" ht="12.75" customHeight="1" x14ac:dyDescent="0.2">
      <c r="B137" s="16" t="s">
        <v>93</v>
      </c>
      <c r="C137" s="16"/>
      <c r="F137" s="13">
        <v>966.55947460001335</v>
      </c>
      <c r="G137" s="14">
        <f>+ROUND(F137/VLOOKUP("Grand Total",$B$4:$F$332,5,0),4)-0.03%</f>
        <v>7.4000000000000003E-3</v>
      </c>
      <c r="H137" s="15"/>
    </row>
    <row r="138" spans="1:11" ht="12.75" customHeight="1" x14ac:dyDescent="0.2">
      <c r="B138" s="18" t="s">
        <v>83</v>
      </c>
      <c r="C138" s="18"/>
      <c r="D138" s="18"/>
      <c r="E138" s="29"/>
      <c r="F138" s="19">
        <f>SUM(F137)</f>
        <v>966.55947460001335</v>
      </c>
      <c r="G138" s="124">
        <f>SUM(G137)</f>
        <v>7.4000000000000003E-3</v>
      </c>
      <c r="H138" s="21"/>
      <c r="I138" s="35"/>
    </row>
    <row r="139" spans="1:11" ht="12.75" customHeight="1" x14ac:dyDescent="0.2">
      <c r="B139" s="22" t="s">
        <v>94</v>
      </c>
      <c r="C139" s="22"/>
      <c r="D139" s="22"/>
      <c r="E139" s="30"/>
      <c r="F139" s="23">
        <f>+SUMIF($B$5:B138,"Total",$F$5:F138)</f>
        <v>125452.56074630001</v>
      </c>
      <c r="G139" s="24">
        <f>+SUMIF($B$5:B138,"Total",$G$5:G138)</f>
        <v>0.99999999999999989</v>
      </c>
      <c r="H139" s="25"/>
      <c r="I139" s="35"/>
    </row>
    <row r="140" spans="1:11" ht="12.75" customHeight="1" x14ac:dyDescent="0.2"/>
    <row r="141" spans="1:11" ht="12.75" customHeight="1" x14ac:dyDescent="0.2">
      <c r="B141" s="16" t="s">
        <v>565</v>
      </c>
      <c r="C141" s="16"/>
    </row>
    <row r="142" spans="1:11" ht="12.75" customHeight="1" x14ac:dyDescent="0.2">
      <c r="B142" s="16" t="s">
        <v>181</v>
      </c>
      <c r="C142" s="16"/>
    </row>
    <row r="143" spans="1:11" ht="12.75" customHeight="1" x14ac:dyDescent="0.2">
      <c r="B143" s="16" t="s">
        <v>182</v>
      </c>
      <c r="C143" s="16"/>
      <c r="F143" s="43"/>
      <c r="G143" s="43"/>
    </row>
    <row r="144" spans="1:11" ht="12.75" customHeight="1" x14ac:dyDescent="0.2">
      <c r="B144" s="53" t="s">
        <v>291</v>
      </c>
      <c r="C144" s="16"/>
    </row>
    <row r="145" spans="2:2" ht="12.75" customHeight="1" x14ac:dyDescent="0.2">
      <c r="B145" s="16"/>
    </row>
    <row r="146" spans="2:2" ht="12.75" customHeight="1" x14ac:dyDescent="0.2"/>
    <row r="147" spans="2:2" ht="12.75" customHeight="1" x14ac:dyDescent="0.2"/>
    <row r="148" spans="2:2" ht="12.75" customHeight="1" x14ac:dyDescent="0.2"/>
    <row r="149" spans="2:2" ht="12.75" customHeight="1" x14ac:dyDescent="0.2"/>
    <row r="150" spans="2:2" ht="12.75" customHeight="1" x14ac:dyDescent="0.2"/>
    <row r="151" spans="2:2" ht="12.75" customHeight="1" x14ac:dyDescent="0.2"/>
    <row r="152" spans="2:2" ht="12.75" customHeight="1" x14ac:dyDescent="0.2"/>
    <row r="153" spans="2:2" ht="12.75" customHeight="1" x14ac:dyDescent="0.2"/>
    <row r="154" spans="2:2" ht="12.75" customHeight="1" x14ac:dyDescent="0.2"/>
    <row r="155" spans="2:2" ht="12.75" customHeight="1" x14ac:dyDescent="0.2"/>
    <row r="156" spans="2:2" ht="12.75" customHeight="1" x14ac:dyDescent="0.2"/>
    <row r="157" spans="2:2" ht="12.75" customHeight="1" x14ac:dyDescent="0.2"/>
    <row r="158" spans="2:2" ht="12.75" customHeight="1" x14ac:dyDescent="0.2"/>
    <row r="159" spans="2:2" ht="12.75" customHeight="1" x14ac:dyDescent="0.2"/>
    <row r="160" spans="2:2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</sheetData>
  <sheetProtection password="EDB3" sheet="1" objects="1" scenarios="1"/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362</v>
      </c>
      <c r="B1" s="128" t="s">
        <v>169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89</v>
      </c>
      <c r="C7" s="16"/>
      <c r="F7" s="13"/>
      <c r="G7" s="14"/>
      <c r="H7" s="15"/>
    </row>
    <row r="8" spans="1:16" ht="12.75" customHeight="1" x14ac:dyDescent="0.2">
      <c r="B8" s="16" t="s">
        <v>647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+MAX($A$7:A8)+1</f>
        <v>1</v>
      </c>
      <c r="B9" s="65" t="s">
        <v>186</v>
      </c>
      <c r="C9" t="s">
        <v>683</v>
      </c>
      <c r="D9" t="s">
        <v>308</v>
      </c>
      <c r="E9" s="28">
        <v>10000</v>
      </c>
      <c r="F9" s="13">
        <v>9948.24</v>
      </c>
      <c r="G9" s="14">
        <f>+ROUND(F9/VLOOKUP("Grand Total",$B$4:$F$269,5,0),4)</f>
        <v>9.8500000000000004E-2</v>
      </c>
      <c r="H9" s="15">
        <v>43248</v>
      </c>
      <c r="J9" s="14" t="s">
        <v>157</v>
      </c>
      <c r="K9" s="48">
        <f t="shared" ref="K9:K15" si="0">SUMIFS($G$5:$G$347,$D$5:$D$347,J9)</f>
        <v>0.48769999999999997</v>
      </c>
    </row>
    <row r="10" spans="1:16" ht="12.75" customHeight="1" x14ac:dyDescent="0.2">
      <c r="A10">
        <f>+MAX($A$7:A9)+1</f>
        <v>2</v>
      </c>
      <c r="B10" s="65" t="s">
        <v>217</v>
      </c>
      <c r="C10" t="s">
        <v>636</v>
      </c>
      <c r="D10" t="s">
        <v>157</v>
      </c>
      <c r="E10" s="28">
        <v>9100</v>
      </c>
      <c r="F10" s="13">
        <v>9050.2320999999993</v>
      </c>
      <c r="G10" s="14">
        <f>+ROUND(F10/VLOOKUP("Grand Total",$B$4:$F$269,5,0),4)</f>
        <v>8.9599999999999999E-2</v>
      </c>
      <c r="H10" s="15">
        <v>43245</v>
      </c>
      <c r="J10" s="14" t="s">
        <v>274</v>
      </c>
      <c r="K10" s="48">
        <f t="shared" si="0"/>
        <v>0.22009999999999999</v>
      </c>
    </row>
    <row r="11" spans="1:16" ht="12.75" customHeight="1" x14ac:dyDescent="0.2">
      <c r="A11">
        <f>+MAX($A$7:A10)+1</f>
        <v>3</v>
      </c>
      <c r="B11" s="65" t="s">
        <v>607</v>
      </c>
      <c r="C11" t="s">
        <v>608</v>
      </c>
      <c r="D11" t="s">
        <v>157</v>
      </c>
      <c r="E11" s="28">
        <v>8050</v>
      </c>
      <c r="F11" s="13">
        <v>7971.0778</v>
      </c>
      <c r="G11" s="14">
        <f>+ROUND(F11/VLOOKUP("Grand Total",$B$4:$F$269,5,0),4)</f>
        <v>7.8899999999999998E-2</v>
      </c>
      <c r="H11" s="15">
        <v>43271</v>
      </c>
      <c r="J11" s="14" t="s">
        <v>308</v>
      </c>
      <c r="K11" s="48">
        <f t="shared" si="0"/>
        <v>0.14269999999999999</v>
      </c>
    </row>
    <row r="12" spans="1:16" ht="12.75" customHeight="1" x14ac:dyDescent="0.2">
      <c r="B12" s="18" t="s">
        <v>83</v>
      </c>
      <c r="C12" s="18"/>
      <c r="D12" s="18"/>
      <c r="E12" s="29"/>
      <c r="F12" s="19">
        <f>SUM(F9:F11)</f>
        <v>26969.549899999998</v>
      </c>
      <c r="G12" s="20">
        <f>SUM(G9:G11)</f>
        <v>0.26700000000000002</v>
      </c>
      <c r="H12" s="21"/>
      <c r="I12" s="82"/>
      <c r="J12" s="14" t="s">
        <v>158</v>
      </c>
      <c r="K12" s="48">
        <f t="shared" si="0"/>
        <v>4.9200000000000001E-2</v>
      </c>
    </row>
    <row r="13" spans="1:16" ht="12.75" customHeight="1" x14ac:dyDescent="0.2">
      <c r="B13" s="16"/>
      <c r="C13" s="16"/>
      <c r="F13" s="13"/>
      <c r="G13" s="14"/>
      <c r="H13" s="15"/>
      <c r="J13" s="14" t="s">
        <v>520</v>
      </c>
      <c r="K13" s="48">
        <f t="shared" si="0"/>
        <v>3.8399999999999997E-2</v>
      </c>
    </row>
    <row r="14" spans="1:16" ht="12.75" customHeight="1" x14ac:dyDescent="0.2">
      <c r="B14" s="16" t="s">
        <v>290</v>
      </c>
      <c r="C14" s="16"/>
      <c r="F14" s="13"/>
      <c r="G14" s="14"/>
      <c r="H14" s="15"/>
      <c r="J14" s="14" t="s">
        <v>513</v>
      </c>
      <c r="K14" s="48">
        <f t="shared" si="0"/>
        <v>3.0600000000000002E-2</v>
      </c>
      <c r="M14" s="14"/>
      <c r="N14" s="36"/>
      <c r="P14" s="14"/>
    </row>
    <row r="15" spans="1:16" ht="12.75" customHeight="1" x14ac:dyDescent="0.2">
      <c r="A15">
        <f>+MAX($A$7:A14)+1</f>
        <v>4</v>
      </c>
      <c r="B15" t="s">
        <v>637</v>
      </c>
      <c r="C15" t="s">
        <v>638</v>
      </c>
      <c r="D15" t="s">
        <v>157</v>
      </c>
      <c r="E15" s="28">
        <v>1730</v>
      </c>
      <c r="F15" s="13">
        <v>8613.8862499999996</v>
      </c>
      <c r="G15" s="14">
        <f t="shared" ref="G15:G28" si="1">+ROUND(F15/VLOOKUP("Grand Total",$B$4:$F$269,5,0),4)</f>
        <v>8.5300000000000001E-2</v>
      </c>
      <c r="H15" s="15">
        <v>43238</v>
      </c>
      <c r="J15" s="14" t="s">
        <v>378</v>
      </c>
      <c r="K15" s="48">
        <f t="shared" si="0"/>
        <v>7.4000000000000003E-3</v>
      </c>
      <c r="L15" s="54"/>
      <c r="M15" s="14"/>
      <c r="N15" s="36"/>
      <c r="P15" s="14"/>
    </row>
    <row r="16" spans="1:16" ht="12.75" customHeight="1" x14ac:dyDescent="0.2">
      <c r="A16">
        <f>+MAX($A$7:A15)+1</f>
        <v>5</v>
      </c>
      <c r="B16" s="65" t="s">
        <v>631</v>
      </c>
      <c r="C16" t="s">
        <v>639</v>
      </c>
      <c r="D16" t="s">
        <v>274</v>
      </c>
      <c r="E16" s="28">
        <v>1400</v>
      </c>
      <c r="F16" s="13">
        <v>6916.5039999999999</v>
      </c>
      <c r="G16" s="14">
        <f t="shared" si="1"/>
        <v>6.8500000000000005E-2</v>
      </c>
      <c r="H16" s="15">
        <v>43276</v>
      </c>
      <c r="J16" s="14" t="s">
        <v>62</v>
      </c>
      <c r="K16" s="48">
        <f>+SUMIFS($G$5:$G$998,$B$5:$B$998,"CBLO / Reverse Repo Investments")+SUMIFS($G$5:$G$998,$B$5:$B$998,"Net Receivable/Payable")</f>
        <v>2.3900000000000001E-2</v>
      </c>
      <c r="M16" s="14"/>
      <c r="N16" s="36"/>
      <c r="P16" s="14"/>
    </row>
    <row r="17" spans="1:11" ht="12.75" customHeight="1" x14ac:dyDescent="0.2">
      <c r="A17">
        <f>+MAX($A$7:A16)+1</f>
        <v>6</v>
      </c>
      <c r="B17" s="65" t="s">
        <v>326</v>
      </c>
      <c r="C17" t="s">
        <v>584</v>
      </c>
      <c r="D17" t="s">
        <v>157</v>
      </c>
      <c r="E17" s="28">
        <v>1000</v>
      </c>
      <c r="F17" s="13">
        <v>4995.92</v>
      </c>
      <c r="G17" s="14">
        <f t="shared" si="1"/>
        <v>4.9399999999999999E-2</v>
      </c>
      <c r="H17" s="15">
        <v>43222</v>
      </c>
      <c r="J17" s="14"/>
      <c r="K17" s="48"/>
    </row>
    <row r="18" spans="1:11" ht="12.75" customHeight="1" x14ac:dyDescent="0.2">
      <c r="A18">
        <f>+MAX($A$7:A17)+1</f>
        <v>7</v>
      </c>
      <c r="B18" t="s">
        <v>324</v>
      </c>
      <c r="C18" t="s">
        <v>684</v>
      </c>
      <c r="D18" t="s">
        <v>158</v>
      </c>
      <c r="E18" s="28">
        <v>1000</v>
      </c>
      <c r="F18" s="13">
        <v>4966.9049999999997</v>
      </c>
      <c r="G18" s="14">
        <f t="shared" si="1"/>
        <v>4.9200000000000001E-2</v>
      </c>
      <c r="H18" s="15">
        <v>43255</v>
      </c>
    </row>
    <row r="19" spans="1:11" ht="12.75" customHeight="1" x14ac:dyDescent="0.2">
      <c r="A19">
        <f>+MAX($A$7:A18)+1</f>
        <v>8</v>
      </c>
      <c r="B19" t="s">
        <v>685</v>
      </c>
      <c r="C19" t="s">
        <v>686</v>
      </c>
      <c r="D19" t="s">
        <v>274</v>
      </c>
      <c r="E19" s="28">
        <v>1000</v>
      </c>
      <c r="F19" s="13">
        <v>4943.2749999999996</v>
      </c>
      <c r="G19" s="14">
        <f t="shared" si="1"/>
        <v>4.8899999999999999E-2</v>
      </c>
      <c r="H19" s="15">
        <v>43277</v>
      </c>
    </row>
    <row r="20" spans="1:11" ht="12.75" customHeight="1" x14ac:dyDescent="0.2">
      <c r="A20">
        <f>+MAX($A$7:A19)+1</f>
        <v>9</v>
      </c>
      <c r="B20" t="s">
        <v>687</v>
      </c>
      <c r="C20" t="s">
        <v>688</v>
      </c>
      <c r="D20" t="s">
        <v>157</v>
      </c>
      <c r="E20" s="28">
        <v>1000</v>
      </c>
      <c r="F20" s="13">
        <v>4943.2700000000004</v>
      </c>
      <c r="G20" s="14">
        <f t="shared" si="1"/>
        <v>4.8899999999999999E-2</v>
      </c>
      <c r="H20" s="15">
        <v>43276</v>
      </c>
    </row>
    <row r="21" spans="1:11" ht="12.75" customHeight="1" x14ac:dyDescent="0.2">
      <c r="A21">
        <f>+MAX($A$7:A20)+1</f>
        <v>10</v>
      </c>
      <c r="B21" t="s">
        <v>597</v>
      </c>
      <c r="C21" t="s">
        <v>640</v>
      </c>
      <c r="D21" t="s">
        <v>157</v>
      </c>
      <c r="E21" s="28">
        <v>1000</v>
      </c>
      <c r="F21" s="13">
        <v>4939.6450000000004</v>
      </c>
      <c r="G21" s="14">
        <f t="shared" si="1"/>
        <v>4.8899999999999999E-2</v>
      </c>
      <c r="H21" s="15">
        <v>43272</v>
      </c>
    </row>
    <row r="22" spans="1:11" ht="12.75" customHeight="1" x14ac:dyDescent="0.2">
      <c r="A22">
        <f>+MAX($A$7:A21)+1</f>
        <v>11</v>
      </c>
      <c r="B22" t="s">
        <v>467</v>
      </c>
      <c r="C22" t="s">
        <v>641</v>
      </c>
      <c r="D22" t="s">
        <v>274</v>
      </c>
      <c r="E22" s="28">
        <v>948</v>
      </c>
      <c r="F22" s="13">
        <v>4689.9029399999999</v>
      </c>
      <c r="G22" s="14">
        <f t="shared" si="1"/>
        <v>4.6399999999999997E-2</v>
      </c>
      <c r="H22" s="15">
        <v>43265</v>
      </c>
      <c r="J22" s="14"/>
      <c r="K22" s="48"/>
    </row>
    <row r="23" spans="1:11" ht="12.75" customHeight="1" x14ac:dyDescent="0.2">
      <c r="A23">
        <f>+MAX($A$7:A22)+1</f>
        <v>12</v>
      </c>
      <c r="B23" t="s">
        <v>689</v>
      </c>
      <c r="C23" t="s">
        <v>690</v>
      </c>
      <c r="D23" t="s">
        <v>308</v>
      </c>
      <c r="E23" s="28">
        <v>900</v>
      </c>
      <c r="F23" s="13">
        <v>4468.6485000000002</v>
      </c>
      <c r="G23" s="14">
        <f t="shared" si="1"/>
        <v>4.4200000000000003E-2</v>
      </c>
      <c r="H23" s="15">
        <v>43255</v>
      </c>
      <c r="J23" s="14"/>
      <c r="K23" s="48"/>
    </row>
    <row r="24" spans="1:11" ht="12.75" customHeight="1" x14ac:dyDescent="0.2">
      <c r="A24">
        <f>+MAX($A$7:A23)+1</f>
        <v>13</v>
      </c>
      <c r="B24" t="s">
        <v>583</v>
      </c>
      <c r="C24" t="s">
        <v>585</v>
      </c>
      <c r="D24" t="s">
        <v>157</v>
      </c>
      <c r="E24" s="28">
        <v>880</v>
      </c>
      <c r="F24" s="13">
        <v>4396.2776000000003</v>
      </c>
      <c r="G24" s="14">
        <f t="shared" si="1"/>
        <v>4.3499999999999997E-2</v>
      </c>
      <c r="H24" s="15">
        <v>43222</v>
      </c>
      <c r="J24" s="14"/>
      <c r="K24" s="48"/>
    </row>
    <row r="25" spans="1:11" ht="12.75" customHeight="1" x14ac:dyDescent="0.2">
      <c r="A25">
        <f>+MAX($A$7:A24)+1</f>
        <v>14</v>
      </c>
      <c r="B25" t="s">
        <v>275</v>
      </c>
      <c r="C25" t="s">
        <v>594</v>
      </c>
      <c r="D25" t="s">
        <v>520</v>
      </c>
      <c r="E25" s="28">
        <v>780</v>
      </c>
      <c r="F25" s="13">
        <v>3880.8588</v>
      </c>
      <c r="G25" s="14">
        <f t="shared" si="1"/>
        <v>3.8399999999999997E-2</v>
      </c>
      <c r="H25" s="15">
        <v>43241</v>
      </c>
      <c r="J25" s="14"/>
      <c r="K25" s="48"/>
    </row>
    <row r="26" spans="1:11" ht="12.75" customHeight="1" x14ac:dyDescent="0.2">
      <c r="A26">
        <f>+MAX($A$7:A25)+1</f>
        <v>15</v>
      </c>
      <c r="B26" t="s">
        <v>597</v>
      </c>
      <c r="C26" t="s">
        <v>598</v>
      </c>
      <c r="D26" t="s">
        <v>157</v>
      </c>
      <c r="E26" s="28">
        <v>780</v>
      </c>
      <c r="F26" s="13">
        <v>3874.6578</v>
      </c>
      <c r="G26" s="14">
        <f t="shared" si="1"/>
        <v>3.8300000000000001E-2</v>
      </c>
      <c r="H26" s="15">
        <v>43248</v>
      </c>
      <c r="J26" s="14"/>
    </row>
    <row r="27" spans="1:11" ht="12.75" customHeight="1" x14ac:dyDescent="0.2">
      <c r="A27">
        <f>+MAX($A$7:A26)+1</f>
        <v>16</v>
      </c>
      <c r="B27" t="s">
        <v>592</v>
      </c>
      <c r="C27" t="s">
        <v>593</v>
      </c>
      <c r="D27" t="s">
        <v>274</v>
      </c>
      <c r="E27" s="28">
        <v>616</v>
      </c>
      <c r="F27" s="13">
        <v>3073.6860000000001</v>
      </c>
      <c r="G27" s="14">
        <f t="shared" si="1"/>
        <v>3.04E-2</v>
      </c>
      <c r="H27" s="15">
        <v>43228</v>
      </c>
      <c r="J27" s="14"/>
    </row>
    <row r="28" spans="1:11" ht="12.75" customHeight="1" x14ac:dyDescent="0.2">
      <c r="A28">
        <f>+MAX($A$7:A27)+1</f>
        <v>17</v>
      </c>
      <c r="B28" t="s">
        <v>467</v>
      </c>
      <c r="C28" t="s">
        <v>642</v>
      </c>
      <c r="D28" t="s">
        <v>274</v>
      </c>
      <c r="E28" s="28">
        <v>427</v>
      </c>
      <c r="F28" s="13">
        <v>2123.3962750000001</v>
      </c>
      <c r="G28" s="14">
        <f t="shared" si="1"/>
        <v>2.1000000000000001E-2</v>
      </c>
      <c r="H28" s="15">
        <v>43242</v>
      </c>
      <c r="J28" s="14"/>
    </row>
    <row r="29" spans="1:11" ht="12.75" customHeight="1" x14ac:dyDescent="0.2">
      <c r="A29">
        <f>+MAX($A$7:A28)+1</f>
        <v>18</v>
      </c>
      <c r="B29" t="s">
        <v>512</v>
      </c>
      <c r="C29" t="s">
        <v>595</v>
      </c>
      <c r="D29" t="s">
        <v>513</v>
      </c>
      <c r="E29" s="28">
        <v>326</v>
      </c>
      <c r="F29" s="13">
        <v>1617.4131400000001</v>
      </c>
      <c r="G29" s="14">
        <f t="shared" ref="G29:G32" si="2">+ROUND(F29/VLOOKUP("Grand Total",$B$4:$F$269,5,0),4)</f>
        <v>1.6E-2</v>
      </c>
      <c r="H29" s="15">
        <v>43245</v>
      </c>
      <c r="J29" s="14"/>
    </row>
    <row r="30" spans="1:11" ht="12.75" customHeight="1" x14ac:dyDescent="0.2">
      <c r="A30">
        <f>+MAX($A$7:A29)+1</f>
        <v>19</v>
      </c>
      <c r="B30" t="s">
        <v>512</v>
      </c>
      <c r="C30" t="s">
        <v>611</v>
      </c>
      <c r="D30" t="s">
        <v>513</v>
      </c>
      <c r="E30" s="28">
        <v>300</v>
      </c>
      <c r="F30" s="13">
        <v>1477.6635000000001</v>
      </c>
      <c r="G30" s="14">
        <f t="shared" si="2"/>
        <v>1.46E-2</v>
      </c>
      <c r="H30" s="15">
        <v>43272</v>
      </c>
      <c r="J30" s="14"/>
    </row>
    <row r="31" spans="1:11" ht="12.75" customHeight="1" x14ac:dyDescent="0.2">
      <c r="A31">
        <f>+MAX($A$7:A30)+1</f>
        <v>20</v>
      </c>
      <c r="B31" t="s">
        <v>643</v>
      </c>
      <c r="C31" t="s">
        <v>644</v>
      </c>
      <c r="D31" t="s">
        <v>274</v>
      </c>
      <c r="E31" s="28">
        <v>100</v>
      </c>
      <c r="F31" s="13">
        <v>498.834</v>
      </c>
      <c r="G31" s="14">
        <f t="shared" si="2"/>
        <v>4.8999999999999998E-3</v>
      </c>
      <c r="H31" s="15">
        <v>43231</v>
      </c>
      <c r="J31" s="14"/>
    </row>
    <row r="32" spans="1:11" ht="12.75" customHeight="1" x14ac:dyDescent="0.2">
      <c r="A32">
        <f>+MAX($A$7:A31)+1</f>
        <v>21</v>
      </c>
      <c r="B32" t="s">
        <v>583</v>
      </c>
      <c r="C32" t="s">
        <v>645</v>
      </c>
      <c r="D32" t="s">
        <v>157</v>
      </c>
      <c r="E32" s="28">
        <v>100</v>
      </c>
      <c r="F32" s="13">
        <v>498.51499999999999</v>
      </c>
      <c r="G32" s="14">
        <f t="shared" si="2"/>
        <v>4.8999999999999998E-3</v>
      </c>
      <c r="H32" s="15">
        <v>43231</v>
      </c>
      <c r="J32" s="14"/>
    </row>
    <row r="33" spans="1:9" ht="12.75" customHeight="1" x14ac:dyDescent="0.2">
      <c r="B33" s="18" t="s">
        <v>83</v>
      </c>
      <c r="C33" s="18"/>
      <c r="D33" s="18"/>
      <c r="E33" s="29"/>
      <c r="F33" s="19">
        <f>SUM(F15:F32)</f>
        <v>70919.258805000019</v>
      </c>
      <c r="G33" s="20">
        <f>SUM(G15:G32)</f>
        <v>0.70169999999999999</v>
      </c>
      <c r="H33" s="21"/>
    </row>
    <row r="34" spans="1:9" ht="12.75" customHeight="1" x14ac:dyDescent="0.2">
      <c r="F34" s="13"/>
      <c r="G34" s="14"/>
      <c r="H34" s="15"/>
    </row>
    <row r="35" spans="1:9" ht="12.75" customHeight="1" x14ac:dyDescent="0.2">
      <c r="B35" s="16" t="s">
        <v>164</v>
      </c>
      <c r="C35" s="16"/>
      <c r="F35" s="13"/>
      <c r="G35" s="14"/>
      <c r="H35" s="15"/>
    </row>
    <row r="36" spans="1:9" ht="12.75" customHeight="1" x14ac:dyDescent="0.2">
      <c r="A36">
        <f>+MAX($A$7:A35)+1</f>
        <v>22</v>
      </c>
      <c r="B36" s="1" t="s">
        <v>523</v>
      </c>
      <c r="C36" t="s">
        <v>605</v>
      </c>
      <c r="D36" t="s">
        <v>378</v>
      </c>
      <c r="E36" s="28">
        <v>400000</v>
      </c>
      <c r="F36" s="13">
        <v>397.3956</v>
      </c>
      <c r="G36" s="14">
        <f>+ROUND(F36/VLOOKUP("Grand Total",$B$4:$F$269,5,0),4)</f>
        <v>3.8999999999999998E-3</v>
      </c>
      <c r="H36" s="15">
        <v>43258</v>
      </c>
    </row>
    <row r="37" spans="1:9" ht="12.75" customHeight="1" x14ac:dyDescent="0.2">
      <c r="A37">
        <f>+MAX($A$7:A36)+1</f>
        <v>23</v>
      </c>
      <c r="B37" s="1" t="s">
        <v>523</v>
      </c>
      <c r="C37" t="s">
        <v>646</v>
      </c>
      <c r="D37" t="s">
        <v>378</v>
      </c>
      <c r="E37" s="28">
        <v>356000</v>
      </c>
      <c r="F37" s="13">
        <v>352.83872000000002</v>
      </c>
      <c r="G37" s="14">
        <f>+ROUND(F37/VLOOKUP("Grand Total",$B$4:$F$269,5,0),4)</f>
        <v>3.5000000000000001E-3</v>
      </c>
      <c r="H37" s="15">
        <v>43272</v>
      </c>
    </row>
    <row r="38" spans="1:9" ht="12.75" customHeight="1" x14ac:dyDescent="0.2">
      <c r="B38" s="18" t="s">
        <v>83</v>
      </c>
      <c r="C38" s="18"/>
      <c r="D38" s="18"/>
      <c r="E38" s="29"/>
      <c r="F38" s="19">
        <f>SUM(F36:F37)</f>
        <v>750.23432000000003</v>
      </c>
      <c r="G38" s="20">
        <f>SUM(G36:G37)</f>
        <v>7.4000000000000003E-3</v>
      </c>
      <c r="H38" s="21"/>
      <c r="I38" s="82"/>
    </row>
    <row r="39" spans="1:9" ht="12.75" customHeight="1" x14ac:dyDescent="0.2">
      <c r="F39" s="13"/>
      <c r="G39" s="14"/>
      <c r="H39" s="15"/>
    </row>
    <row r="40" spans="1:9" ht="12.75" customHeight="1" x14ac:dyDescent="0.2">
      <c r="A40" s="95" t="s">
        <v>345</v>
      </c>
      <c r="B40" s="16" t="s">
        <v>91</v>
      </c>
      <c r="C40" s="16"/>
      <c r="F40" s="13">
        <v>2352.4086093999999</v>
      </c>
      <c r="G40" s="14">
        <f>+ROUND(F40/VLOOKUP("Grand Total",$B$4:$F$269,5,0),4)</f>
        <v>2.3300000000000001E-2</v>
      </c>
      <c r="H40" s="15">
        <v>43222</v>
      </c>
    </row>
    <row r="41" spans="1:9" ht="12.75" customHeight="1" x14ac:dyDescent="0.2">
      <c r="B41" s="18" t="s">
        <v>83</v>
      </c>
      <c r="C41" s="18"/>
      <c r="D41" s="18"/>
      <c r="E41" s="29"/>
      <c r="F41" s="19">
        <f>SUM(F40)</f>
        <v>2352.4086093999999</v>
      </c>
      <c r="G41" s="20">
        <f>SUM(G40)</f>
        <v>2.3300000000000001E-2</v>
      </c>
      <c r="H41" s="21"/>
      <c r="I41" s="82"/>
    </row>
    <row r="42" spans="1:9" ht="12.75" customHeight="1" x14ac:dyDescent="0.2">
      <c r="F42" s="13"/>
      <c r="G42" s="14"/>
      <c r="H42" s="15"/>
    </row>
    <row r="43" spans="1:9" ht="12.75" customHeight="1" x14ac:dyDescent="0.2">
      <c r="B43" s="16" t="s">
        <v>92</v>
      </c>
      <c r="C43" s="16"/>
      <c r="F43" s="13"/>
      <c r="G43" s="14"/>
      <c r="H43" s="15"/>
    </row>
    <row r="44" spans="1:9" ht="12.75" customHeight="1" x14ac:dyDescent="0.2">
      <c r="B44" s="16" t="s">
        <v>93</v>
      </c>
      <c r="C44" s="16"/>
      <c r="F44" s="13">
        <v>50.046022600014112</v>
      </c>
      <c r="G44" s="14">
        <f>+ROUND(F44/VLOOKUP("Grand Total",$B$4:$F$269,5,0),4)+0.01%</f>
        <v>6.0000000000000006E-4</v>
      </c>
      <c r="H44" s="15"/>
    </row>
    <row r="45" spans="1:9" ht="12.75" customHeight="1" x14ac:dyDescent="0.2">
      <c r="B45" s="18" t="s">
        <v>83</v>
      </c>
      <c r="C45" s="18"/>
      <c r="D45" s="18"/>
      <c r="E45" s="29"/>
      <c r="F45" s="19">
        <f>SUM(F44:F44)</f>
        <v>50.046022600014112</v>
      </c>
      <c r="G45" s="124">
        <f>SUM(G44:G44)</f>
        <v>6.0000000000000006E-4</v>
      </c>
      <c r="H45" s="21"/>
      <c r="I45" s="82"/>
    </row>
    <row r="46" spans="1:9" ht="12.75" customHeight="1" x14ac:dyDescent="0.2">
      <c r="B46" s="22" t="s">
        <v>94</v>
      </c>
      <c r="C46" s="22"/>
      <c r="D46" s="22"/>
      <c r="E46" s="30"/>
      <c r="F46" s="23">
        <f>+SUMIF($B$5:B45,"Total",$F$5:F45)</f>
        <v>101041.49765700003</v>
      </c>
      <c r="G46" s="24">
        <f>+SUMIF($B$5:B45,"Total",$G$5:G45)</f>
        <v>1</v>
      </c>
      <c r="H46" s="25"/>
      <c r="I46" s="82"/>
    </row>
    <row r="47" spans="1:9" ht="12.75" customHeight="1" x14ac:dyDescent="0.2"/>
    <row r="48" spans="1:9" ht="12.75" customHeight="1" x14ac:dyDescent="0.2">
      <c r="B48" s="16" t="s">
        <v>565</v>
      </c>
      <c r="C48" s="16"/>
    </row>
    <row r="49" spans="2:7" ht="12.75" customHeight="1" x14ac:dyDescent="0.2">
      <c r="B49" s="16" t="s">
        <v>181</v>
      </c>
      <c r="C49" s="16"/>
    </row>
    <row r="50" spans="2:7" ht="12.75" customHeight="1" x14ac:dyDescent="0.2">
      <c r="B50" s="16" t="s">
        <v>733</v>
      </c>
      <c r="C50" s="16"/>
    </row>
    <row r="51" spans="2:7" ht="12.75" customHeight="1" x14ac:dyDescent="0.2">
      <c r="B51" s="16"/>
      <c r="C51" s="16"/>
      <c r="F51" s="43"/>
      <c r="G51" s="43"/>
    </row>
    <row r="52" spans="2:7" ht="12.75" customHeight="1" x14ac:dyDescent="0.2"/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  <row r="60" spans="2:7" ht="12.75" customHeight="1" x14ac:dyDescent="0.2"/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sheetProtection password="EDB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64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6" ht="18.75" x14ac:dyDescent="0.2">
      <c r="A1" s="109" t="s">
        <v>363</v>
      </c>
      <c r="B1" s="128" t="s">
        <v>432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650</v>
      </c>
      <c r="C2" s="110"/>
      <c r="D2" s="111"/>
      <c r="E2" s="112"/>
      <c r="F2" s="113"/>
      <c r="G2" s="114"/>
      <c r="H2" s="114"/>
    </row>
    <row r="3" spans="1:16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118"/>
    </row>
    <row r="5" spans="1:16" ht="12.75" customHeight="1" x14ac:dyDescent="0.2">
      <c r="F5" s="86"/>
      <c r="G5" s="90"/>
      <c r="H5" s="89"/>
    </row>
    <row r="6" spans="1:16" ht="12.75" customHeight="1" x14ac:dyDescent="0.2">
      <c r="F6" s="86"/>
      <c r="G6" s="90"/>
      <c r="H6" s="89"/>
    </row>
    <row r="7" spans="1:16" ht="12.75" customHeight="1" x14ac:dyDescent="0.2">
      <c r="B7" s="16" t="s">
        <v>89</v>
      </c>
      <c r="C7" s="16"/>
      <c r="F7" s="86"/>
      <c r="G7" s="90"/>
      <c r="H7" s="89"/>
      <c r="J7" s="17" t="s">
        <v>586</v>
      </c>
      <c r="K7" s="37" t="s">
        <v>11</v>
      </c>
    </row>
    <row r="8" spans="1:16" ht="12.75" customHeight="1" x14ac:dyDescent="0.2">
      <c r="B8" s="16" t="s">
        <v>647</v>
      </c>
      <c r="C8" s="16"/>
      <c r="F8" s="86"/>
      <c r="G8" s="90"/>
      <c r="H8" s="89"/>
      <c r="J8" s="14" t="s">
        <v>157</v>
      </c>
      <c r="K8" s="48">
        <f>SUMIFS($G$5:$G$357,$D$5:$D$357,J8)</f>
        <v>0.4148</v>
      </c>
      <c r="L8" s="84"/>
      <c r="M8" s="90"/>
    </row>
    <row r="9" spans="1:16" ht="12.75" customHeight="1" x14ac:dyDescent="0.2">
      <c r="A9" s="65">
        <f>+MAX($A$7:A8)+1</f>
        <v>1</v>
      </c>
      <c r="B9" s="65" t="s">
        <v>211</v>
      </c>
      <c r="C9" s="65" t="s">
        <v>661</v>
      </c>
      <c r="D9" s="65" t="s">
        <v>157</v>
      </c>
      <c r="E9" s="119">
        <v>850</v>
      </c>
      <c r="F9" s="91">
        <v>827.50474999999994</v>
      </c>
      <c r="G9" s="90">
        <f>+ROUND(F9/VLOOKUP("Grand Total",$B$4:$F$301,5,0),4)</f>
        <v>0.1081</v>
      </c>
      <c r="H9" s="89">
        <v>43353</v>
      </c>
      <c r="J9" s="90" t="s">
        <v>274</v>
      </c>
      <c r="K9" s="48">
        <f t="shared" ref="K9:K14" si="0">SUMIFS($G$5:$G$357,$D$5:$D$357,J9)</f>
        <v>0.20569999999999997</v>
      </c>
      <c r="L9" s="84"/>
      <c r="M9" s="90"/>
    </row>
    <row r="10" spans="1:16" ht="12.75" customHeight="1" x14ac:dyDescent="0.2">
      <c r="A10" s="65">
        <f>+MAX($A$7:A9)+1</f>
        <v>2</v>
      </c>
      <c r="B10" s="120" t="s">
        <v>217</v>
      </c>
      <c r="C10" s="65" t="s">
        <v>636</v>
      </c>
      <c r="D10" s="65" t="s">
        <v>157</v>
      </c>
      <c r="E10" s="119">
        <v>400</v>
      </c>
      <c r="F10" s="91">
        <v>397.81240000000003</v>
      </c>
      <c r="G10" s="90">
        <f>+ROUND(F10/VLOOKUP("Grand Total",$B$4:$F$301,5,0),4)</f>
        <v>5.1999999999999998E-2</v>
      </c>
      <c r="H10" s="89">
        <v>43245</v>
      </c>
      <c r="J10" s="14" t="s">
        <v>520</v>
      </c>
      <c r="K10" s="48">
        <f t="shared" si="0"/>
        <v>9.8099999999999993E-2</v>
      </c>
      <c r="L10" s="78"/>
      <c r="M10" s="90"/>
      <c r="N10" s="84"/>
      <c r="P10" s="90"/>
    </row>
    <row r="11" spans="1:16" ht="12.75" customHeight="1" x14ac:dyDescent="0.2">
      <c r="A11" s="65">
        <f>+MAX($A$7:A10)+1</f>
        <v>3</v>
      </c>
      <c r="B11" s="120" t="s">
        <v>189</v>
      </c>
      <c r="C11" s="65" t="s">
        <v>582</v>
      </c>
      <c r="D11" s="65" t="s">
        <v>158</v>
      </c>
      <c r="E11" s="119">
        <v>400</v>
      </c>
      <c r="F11" s="91">
        <v>397.72919999999999</v>
      </c>
      <c r="G11" s="90">
        <f>+ROUND(F11/VLOOKUP("Grand Total",$B$4:$F$301,5,0),4)</f>
        <v>5.1999999999999998E-2</v>
      </c>
      <c r="H11" s="89">
        <v>43251</v>
      </c>
      <c r="J11" s="14" t="s">
        <v>513</v>
      </c>
      <c r="K11" s="48">
        <f t="shared" si="0"/>
        <v>7.7699999999999991E-2</v>
      </c>
      <c r="L11" s="78"/>
      <c r="M11" s="90"/>
      <c r="N11" s="84"/>
      <c r="P11" s="90"/>
    </row>
    <row r="12" spans="1:16" ht="12.75" customHeight="1" x14ac:dyDescent="0.2">
      <c r="B12" s="18" t="s">
        <v>83</v>
      </c>
      <c r="C12" s="18"/>
      <c r="D12" s="18"/>
      <c r="E12" s="29"/>
      <c r="F12" s="19">
        <f>SUM(F9:F11)</f>
        <v>1623.0463499999998</v>
      </c>
      <c r="G12" s="20">
        <f>SUM(G9:G11)</f>
        <v>0.21209999999999998</v>
      </c>
      <c r="H12" s="21"/>
      <c r="I12" s="82"/>
      <c r="J12" s="90" t="s">
        <v>308</v>
      </c>
      <c r="K12" s="48">
        <f t="shared" si="0"/>
        <v>6.4899999999999999E-2</v>
      </c>
      <c r="L12" s="78">
        <f>SUM(K8:K12)</f>
        <v>0.86119999999999985</v>
      </c>
    </row>
    <row r="13" spans="1:16" ht="12.75" customHeight="1" x14ac:dyDescent="0.2">
      <c r="F13" s="86"/>
      <c r="G13" s="90"/>
      <c r="H13" s="89"/>
      <c r="J13" s="65" t="s">
        <v>158</v>
      </c>
      <c r="K13" s="48">
        <f t="shared" si="0"/>
        <v>5.1999999999999998E-2</v>
      </c>
    </row>
    <row r="14" spans="1:16" ht="12.75" customHeight="1" x14ac:dyDescent="0.2">
      <c r="B14" s="16" t="s">
        <v>290</v>
      </c>
      <c r="C14" s="16"/>
      <c r="F14" s="86"/>
      <c r="G14" s="90"/>
      <c r="H14" s="89"/>
      <c r="J14" s="14" t="s">
        <v>378</v>
      </c>
      <c r="K14" s="48">
        <f t="shared" si="0"/>
        <v>3.8999999999999998E-3</v>
      </c>
      <c r="L14" s="84"/>
      <c r="M14" s="90"/>
    </row>
    <row r="15" spans="1:16" ht="12.75" customHeight="1" x14ac:dyDescent="0.2">
      <c r="A15" s="65">
        <f>+MAX($A$7:A14)+1</f>
        <v>4</v>
      </c>
      <c r="B15" s="65" t="s">
        <v>583</v>
      </c>
      <c r="C15" s="65" t="s">
        <v>585</v>
      </c>
      <c r="D15" s="65" t="s">
        <v>157</v>
      </c>
      <c r="E15" s="119">
        <v>120</v>
      </c>
      <c r="F15" s="91">
        <v>599.49239999999998</v>
      </c>
      <c r="G15" s="90">
        <f>+ROUND(F15/VLOOKUP("Grand Total",$B$4:$F$301,5,0),4)</f>
        <v>7.8299999999999995E-2</v>
      </c>
      <c r="H15" s="89">
        <v>43222</v>
      </c>
      <c r="J15" s="14" t="s">
        <v>62</v>
      </c>
      <c r="K15" s="48">
        <f>+SUMIFS($G$5:$G$998,$B$5:$B$998,"CBLO / Reverse Repo Investments")+SUMIFS($G$5:$G$998,$B$5:$B$998,"Net Receivable/Payable")</f>
        <v>8.2900000000000001E-2</v>
      </c>
      <c r="L15" s="84"/>
      <c r="M15" s="90"/>
    </row>
    <row r="16" spans="1:16" ht="12.75" customHeight="1" x14ac:dyDescent="0.2">
      <c r="A16" s="65">
        <f>+MAX($A$7:A15)+1</f>
        <v>5</v>
      </c>
      <c r="B16" s="120" t="s">
        <v>597</v>
      </c>
      <c r="C16" s="65" t="s">
        <v>598</v>
      </c>
      <c r="D16" s="65" t="s">
        <v>157</v>
      </c>
      <c r="E16" s="119">
        <v>120</v>
      </c>
      <c r="F16" s="91">
        <v>596.10119999999995</v>
      </c>
      <c r="G16" s="90">
        <f>+ROUND(F16/VLOOKUP("Grand Total",$B$4:$F$301,5,0),4)</f>
        <v>7.7899999999999997E-2</v>
      </c>
      <c r="H16" s="89">
        <v>43248</v>
      </c>
      <c r="J16" s="14"/>
      <c r="K16" s="48"/>
      <c r="L16" s="78"/>
      <c r="M16" s="90"/>
      <c r="N16" s="84"/>
      <c r="P16" s="90"/>
    </row>
    <row r="17" spans="1:16" ht="12.75" customHeight="1" x14ac:dyDescent="0.2">
      <c r="A17" s="65">
        <f>+MAX($A$7:A16)+1</f>
        <v>6</v>
      </c>
      <c r="B17" s="120" t="s">
        <v>521</v>
      </c>
      <c r="C17" s="65" t="s">
        <v>522</v>
      </c>
      <c r="D17" s="65" t="s">
        <v>274</v>
      </c>
      <c r="E17" s="119">
        <v>120</v>
      </c>
      <c r="F17" s="91">
        <v>594.15959999999995</v>
      </c>
      <c r="G17" s="90">
        <f>+ROUND(F17/VLOOKUP("Grand Total",$B$4:$F$301,5,0),4)</f>
        <v>7.7600000000000002E-2</v>
      </c>
      <c r="H17" s="89">
        <v>43265</v>
      </c>
      <c r="J17" s="14"/>
      <c r="K17" s="48"/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689</v>
      </c>
      <c r="C18" s="65" t="s">
        <v>690</v>
      </c>
      <c r="D18" s="65" t="s">
        <v>308</v>
      </c>
      <c r="E18" s="119">
        <v>100</v>
      </c>
      <c r="F18" s="91">
        <v>496.51650000000001</v>
      </c>
      <c r="G18" s="90">
        <f>+ROUND(F18/VLOOKUP("Grand Total",$B$4:$F$301,5,0),4)</f>
        <v>6.4899999999999999E-2</v>
      </c>
      <c r="H18" s="89">
        <v>43255</v>
      </c>
      <c r="K18" s="48"/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512</v>
      </c>
      <c r="C19" s="65" t="s">
        <v>595</v>
      </c>
      <c r="D19" s="65" t="s">
        <v>513</v>
      </c>
      <c r="E19" s="119">
        <v>100</v>
      </c>
      <c r="F19" s="91">
        <v>496.13900000000001</v>
      </c>
      <c r="G19" s="90">
        <f t="shared" ref="G19:G28" si="1">+ROUND(F19/VLOOKUP("Grand Total",$B$4:$F$301,5,0),4)</f>
        <v>6.4799999999999996E-2</v>
      </c>
      <c r="H19" s="89">
        <v>43245</v>
      </c>
      <c r="K19" s="48"/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631</v>
      </c>
      <c r="C20" s="65" t="s">
        <v>639</v>
      </c>
      <c r="D20" s="65" t="s">
        <v>274</v>
      </c>
      <c r="E20" s="119">
        <v>100</v>
      </c>
      <c r="F20" s="91">
        <v>494.036</v>
      </c>
      <c r="G20" s="90">
        <f t="shared" si="1"/>
        <v>6.4600000000000005E-2</v>
      </c>
      <c r="H20" s="89">
        <v>43276</v>
      </c>
      <c r="K20" s="48"/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275</v>
      </c>
      <c r="C21" s="65" t="s">
        <v>510</v>
      </c>
      <c r="D21" s="65" t="s">
        <v>520</v>
      </c>
      <c r="E21" s="119">
        <v>96</v>
      </c>
      <c r="F21" s="91">
        <v>465.34271999999999</v>
      </c>
      <c r="G21" s="90">
        <f t="shared" si="1"/>
        <v>6.08E-2</v>
      </c>
      <c r="H21" s="89">
        <v>43350</v>
      </c>
      <c r="K21" s="48"/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326</v>
      </c>
      <c r="C22" s="65" t="s">
        <v>491</v>
      </c>
      <c r="D22" s="65" t="s">
        <v>157</v>
      </c>
      <c r="E22" s="119">
        <v>82</v>
      </c>
      <c r="F22" s="91">
        <v>405.73640999999998</v>
      </c>
      <c r="G22" s="90">
        <f t="shared" si="1"/>
        <v>5.2999999999999999E-2</v>
      </c>
      <c r="H22" s="89">
        <v>43273</v>
      </c>
      <c r="K22" s="48"/>
      <c r="L22" s="78"/>
      <c r="M22" s="90"/>
      <c r="N22" s="84"/>
      <c r="P22" s="90"/>
    </row>
    <row r="23" spans="1:16" ht="12.75" customHeight="1" x14ac:dyDescent="0.2">
      <c r="A23" s="65">
        <f>+MAX($A$7:A22)+1</f>
        <v>12</v>
      </c>
      <c r="B23" s="120" t="s">
        <v>637</v>
      </c>
      <c r="C23" s="65" t="s">
        <v>638</v>
      </c>
      <c r="D23" s="65" t="s">
        <v>157</v>
      </c>
      <c r="E23" s="119">
        <v>70</v>
      </c>
      <c r="F23" s="91">
        <v>348.53874999999999</v>
      </c>
      <c r="G23" s="90">
        <f t="shared" si="1"/>
        <v>4.5499999999999999E-2</v>
      </c>
      <c r="H23" s="89">
        <v>43238</v>
      </c>
      <c r="K23" s="48"/>
      <c r="L23" s="78"/>
      <c r="M23" s="90"/>
      <c r="N23" s="84"/>
      <c r="P23" s="90"/>
    </row>
    <row r="24" spans="1:16" ht="12.75" customHeight="1" x14ac:dyDescent="0.2">
      <c r="A24" s="65">
        <f>+MAX($A$7:A23)+1</f>
        <v>13</v>
      </c>
      <c r="B24" s="120" t="s">
        <v>275</v>
      </c>
      <c r="C24" s="65" t="s">
        <v>538</v>
      </c>
      <c r="D24" s="65" t="s">
        <v>520</v>
      </c>
      <c r="E24" s="119">
        <v>60</v>
      </c>
      <c r="F24" s="91">
        <v>285.41250000000002</v>
      </c>
      <c r="G24" s="90">
        <f t="shared" si="1"/>
        <v>3.73E-2</v>
      </c>
      <c r="H24" s="89">
        <v>43430</v>
      </c>
      <c r="K24" s="48"/>
      <c r="L24" s="78"/>
      <c r="M24" s="90"/>
      <c r="N24" s="84"/>
      <c r="P24" s="90"/>
    </row>
    <row r="25" spans="1:16" ht="12.75" customHeight="1" x14ac:dyDescent="0.2">
      <c r="A25" s="65">
        <f>+MAX($A$7:A24)+1</f>
        <v>14</v>
      </c>
      <c r="B25" s="120" t="s">
        <v>467</v>
      </c>
      <c r="C25" s="65" t="s">
        <v>641</v>
      </c>
      <c r="D25" s="65" t="s">
        <v>274</v>
      </c>
      <c r="E25" s="119">
        <v>52</v>
      </c>
      <c r="F25" s="91">
        <v>257.25205999999997</v>
      </c>
      <c r="G25" s="90">
        <f t="shared" si="1"/>
        <v>3.3599999999999998E-2</v>
      </c>
      <c r="H25" s="89">
        <v>43265</v>
      </c>
      <c r="K25" s="48"/>
      <c r="L25" s="78"/>
      <c r="M25" s="90"/>
      <c r="N25" s="84"/>
      <c r="P25" s="90"/>
    </row>
    <row r="26" spans="1:16" ht="12.75" customHeight="1" x14ac:dyDescent="0.2">
      <c r="A26" s="65">
        <f>+MAX($A$7:A25)+1</f>
        <v>15</v>
      </c>
      <c r="B26" s="120" t="s">
        <v>467</v>
      </c>
      <c r="C26" s="65" t="s">
        <v>642</v>
      </c>
      <c r="D26" s="65" t="s">
        <v>274</v>
      </c>
      <c r="E26" s="119">
        <v>40</v>
      </c>
      <c r="F26" s="91">
        <v>198.91300000000001</v>
      </c>
      <c r="G26" s="90">
        <f t="shared" si="1"/>
        <v>2.5999999999999999E-2</v>
      </c>
      <c r="H26" s="89">
        <v>43242</v>
      </c>
      <c r="K26" s="48"/>
      <c r="L26" s="78"/>
      <c r="M26" s="90"/>
      <c r="N26" s="84"/>
      <c r="P26" s="90"/>
    </row>
    <row r="27" spans="1:16" ht="12.75" customHeight="1" x14ac:dyDescent="0.2">
      <c r="A27" s="65">
        <f>+MAX($A$7:A26)+1</f>
        <v>16</v>
      </c>
      <c r="B27" s="120" t="s">
        <v>512</v>
      </c>
      <c r="C27" s="65" t="s">
        <v>611</v>
      </c>
      <c r="D27" s="65" t="s">
        <v>513</v>
      </c>
      <c r="E27" s="119">
        <v>20</v>
      </c>
      <c r="F27" s="91">
        <v>98.510900000000007</v>
      </c>
      <c r="G27" s="90">
        <f t="shared" si="1"/>
        <v>1.29E-2</v>
      </c>
      <c r="H27" s="89">
        <v>43272</v>
      </c>
      <c r="K27" s="48"/>
      <c r="L27" s="78"/>
      <c r="M27" s="90"/>
      <c r="N27" s="84"/>
      <c r="P27" s="90"/>
    </row>
    <row r="28" spans="1:16" ht="12.75" customHeight="1" x14ac:dyDescent="0.2">
      <c r="A28" s="65">
        <f>+MAX($A$7:A27)+1</f>
        <v>17</v>
      </c>
      <c r="B28" s="120" t="s">
        <v>592</v>
      </c>
      <c r="C28" s="65" t="s">
        <v>593</v>
      </c>
      <c r="D28" s="65" t="s">
        <v>274</v>
      </c>
      <c r="E28" s="119">
        <v>6</v>
      </c>
      <c r="F28" s="91">
        <v>29.938500000000001</v>
      </c>
      <c r="G28" s="90">
        <f t="shared" si="1"/>
        <v>3.8999999999999998E-3</v>
      </c>
      <c r="H28" s="89">
        <v>43228</v>
      </c>
      <c r="K28" s="48"/>
      <c r="L28" s="78"/>
      <c r="M28" s="90"/>
      <c r="N28" s="84"/>
      <c r="P28" s="90"/>
    </row>
    <row r="29" spans="1:16" ht="12.75" customHeight="1" x14ac:dyDescent="0.2">
      <c r="B29" s="18" t="s">
        <v>83</v>
      </c>
      <c r="C29" s="18"/>
      <c r="D29" s="18"/>
      <c r="E29" s="29"/>
      <c r="F29" s="19">
        <f>SUM(F15:F28)</f>
        <v>5366.0895399999999</v>
      </c>
      <c r="G29" s="20">
        <f>SUM(G15:G28)</f>
        <v>0.70110000000000006</v>
      </c>
      <c r="H29" s="21"/>
      <c r="I29" s="82"/>
      <c r="J29" s="90"/>
      <c r="L29" s="78">
        <f>SUM(K14:K29)</f>
        <v>8.6800000000000002E-2</v>
      </c>
    </row>
    <row r="30" spans="1:16" ht="12.75" customHeight="1" x14ac:dyDescent="0.2">
      <c r="F30" s="86"/>
      <c r="G30" s="90"/>
      <c r="H30" s="89"/>
    </row>
    <row r="31" spans="1:16" ht="12.75" customHeight="1" x14ac:dyDescent="0.2">
      <c r="B31" s="16" t="s">
        <v>164</v>
      </c>
      <c r="C31" s="16"/>
      <c r="F31" s="86"/>
      <c r="G31" s="90"/>
      <c r="H31" s="89"/>
    </row>
    <row r="32" spans="1:16" ht="12.75" customHeight="1" x14ac:dyDescent="0.2">
      <c r="A32" s="65">
        <f>+MAX($A$7:A31)+1</f>
        <v>18</v>
      </c>
      <c r="B32" s="65" t="s">
        <v>523</v>
      </c>
      <c r="C32" s="65" t="s">
        <v>605</v>
      </c>
      <c r="D32" s="65" t="s">
        <v>378</v>
      </c>
      <c r="E32" s="85">
        <v>30000</v>
      </c>
      <c r="F32" s="86">
        <v>29.804670000000002</v>
      </c>
      <c r="G32" s="90">
        <f>+ROUND(F32/VLOOKUP("Grand Total",$B$4:$F$301,5,0),4)</f>
        <v>3.8999999999999998E-3</v>
      </c>
      <c r="H32" s="89">
        <v>43258</v>
      </c>
    </row>
    <row r="33" spans="1:9" ht="12.75" customHeight="1" x14ac:dyDescent="0.2">
      <c r="B33" s="18" t="s">
        <v>83</v>
      </c>
      <c r="C33" s="18"/>
      <c r="D33" s="18"/>
      <c r="E33" s="29"/>
      <c r="F33" s="19">
        <f>SUM(F32:F32)</f>
        <v>29.804670000000002</v>
      </c>
      <c r="G33" s="20">
        <f>SUM(G32:G32)</f>
        <v>3.8999999999999998E-3</v>
      </c>
      <c r="H33" s="21"/>
      <c r="I33" s="82"/>
    </row>
    <row r="34" spans="1:9" ht="12.75" customHeight="1" x14ac:dyDescent="0.2">
      <c r="F34" s="86"/>
      <c r="G34" s="90"/>
      <c r="H34" s="89"/>
    </row>
    <row r="35" spans="1:9" ht="12.75" customHeight="1" x14ac:dyDescent="0.2">
      <c r="A35" s="95" t="s">
        <v>345</v>
      </c>
      <c r="B35" s="16" t="s">
        <v>91</v>
      </c>
      <c r="C35" s="16"/>
      <c r="F35" s="86">
        <v>696.22651359999998</v>
      </c>
      <c r="G35" s="90">
        <f>+ROUND(F35/VLOOKUP("Grand Total",$B$4:$F$301,5,0),4)</f>
        <v>9.0999999999999998E-2</v>
      </c>
      <c r="H35" s="89">
        <v>43222</v>
      </c>
    </row>
    <row r="36" spans="1:9" ht="12.75" customHeight="1" x14ac:dyDescent="0.2">
      <c r="B36" s="18" t="s">
        <v>83</v>
      </c>
      <c r="C36" s="18"/>
      <c r="D36" s="18"/>
      <c r="E36" s="29"/>
      <c r="F36" s="19">
        <f>SUM(F35)</f>
        <v>696.22651359999998</v>
      </c>
      <c r="G36" s="20">
        <f>SUM(G35)</f>
        <v>9.0999999999999998E-2</v>
      </c>
      <c r="H36" s="21"/>
      <c r="I36" s="82"/>
    </row>
    <row r="37" spans="1:9" ht="12.75" customHeight="1" x14ac:dyDescent="0.2">
      <c r="F37" s="86"/>
      <c r="G37" s="90"/>
      <c r="H37" s="89"/>
    </row>
    <row r="38" spans="1:9" ht="12.75" customHeight="1" x14ac:dyDescent="0.2">
      <c r="B38" s="16" t="s">
        <v>92</v>
      </c>
      <c r="C38" s="16"/>
      <c r="F38" s="86"/>
      <c r="G38" s="90"/>
      <c r="H38" s="89"/>
    </row>
    <row r="39" spans="1:9" ht="12.75" customHeight="1" x14ac:dyDescent="0.2">
      <c r="B39" s="16" t="s">
        <v>93</v>
      </c>
      <c r="C39" s="16"/>
      <c r="F39" s="86">
        <v>-61.870295200000328</v>
      </c>
      <c r="G39" s="122">
        <f>+ROUND(F39/VLOOKUP("Grand Total",$B$4:$F$301,5,0),4)</f>
        <v>-8.0999999999999996E-3</v>
      </c>
      <c r="H39" s="89"/>
    </row>
    <row r="40" spans="1:9" ht="12.75" customHeight="1" x14ac:dyDescent="0.2">
      <c r="B40" s="18" t="s">
        <v>83</v>
      </c>
      <c r="C40" s="18"/>
      <c r="D40" s="18"/>
      <c r="E40" s="29"/>
      <c r="F40" s="19">
        <f>SUM(F39)</f>
        <v>-61.870295200000328</v>
      </c>
      <c r="G40" s="123">
        <f>SUM(G39)</f>
        <v>-8.0999999999999996E-3</v>
      </c>
      <c r="H40" s="21"/>
      <c r="I40" s="82"/>
    </row>
    <row r="41" spans="1:9" ht="12.75" customHeight="1" x14ac:dyDescent="0.2">
      <c r="B41" s="22" t="s">
        <v>94</v>
      </c>
      <c r="C41" s="22"/>
      <c r="D41" s="22"/>
      <c r="E41" s="30"/>
      <c r="F41" s="23">
        <f>+SUMIF($B$5:B40,"Total",$F$5:F40)</f>
        <v>7653.2967783999993</v>
      </c>
      <c r="G41" s="24">
        <f>+SUMIF($B$5:B40,"Total",$G$5:G40)</f>
        <v>1</v>
      </c>
      <c r="H41" s="25"/>
      <c r="I41" s="82"/>
    </row>
    <row r="42" spans="1:9" ht="12.75" customHeight="1" x14ac:dyDescent="0.2"/>
    <row r="43" spans="1:9" ht="12.75" customHeight="1" x14ac:dyDescent="0.2">
      <c r="B43" s="16" t="s">
        <v>565</v>
      </c>
      <c r="C43" s="16"/>
    </row>
    <row r="44" spans="1:9" ht="12.75" customHeight="1" x14ac:dyDescent="0.2">
      <c r="B44" s="16" t="s">
        <v>181</v>
      </c>
      <c r="C44" s="16"/>
    </row>
    <row r="45" spans="1:9" ht="12.75" customHeight="1" x14ac:dyDescent="0.2">
      <c r="B45" s="16"/>
      <c r="C45" s="16"/>
    </row>
    <row r="46" spans="1:9" ht="12.75" customHeight="1" x14ac:dyDescent="0.2">
      <c r="B46" s="16"/>
      <c r="C46" s="16"/>
    </row>
    <row r="47" spans="1:9" ht="12.75" customHeight="1" x14ac:dyDescent="0.2">
      <c r="B47" s="16"/>
      <c r="C47" s="16"/>
    </row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EDB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364</v>
      </c>
      <c r="B1" s="128" t="s">
        <v>447</v>
      </c>
      <c r="C1" s="129"/>
      <c r="D1" s="129"/>
      <c r="E1" s="129"/>
      <c r="F1" s="129"/>
      <c r="G1" s="129"/>
      <c r="H1" s="130"/>
    </row>
    <row r="2" spans="1:12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90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420</v>
      </c>
      <c r="C8" t="s">
        <v>283</v>
      </c>
      <c r="D8" t="s">
        <v>302</v>
      </c>
      <c r="E8" s="28">
        <v>144114.67319999999</v>
      </c>
      <c r="F8" s="13">
        <v>45.587218099999994</v>
      </c>
      <c r="G8" s="14">
        <f>+ROUND(F8/VLOOKUP("Grand Total",$B$4:$F$298,5,0),4)</f>
        <v>0.3921</v>
      </c>
      <c r="H8" s="15" t="s">
        <v>346</v>
      </c>
      <c r="J8" s="17" t="s">
        <v>586</v>
      </c>
      <c r="K8" s="37" t="s">
        <v>11</v>
      </c>
    </row>
    <row r="9" spans="1:12" ht="12.75" customHeight="1" x14ac:dyDescent="0.2">
      <c r="A9">
        <f>+MAX($A$7:A8)+1</f>
        <v>2</v>
      </c>
      <c r="B9" t="s">
        <v>421</v>
      </c>
      <c r="C9" t="s">
        <v>284</v>
      </c>
      <c r="D9" t="s">
        <v>302</v>
      </c>
      <c r="E9" s="28">
        <v>55925.794699999999</v>
      </c>
      <c r="F9" s="13">
        <v>35.574397999999995</v>
      </c>
      <c r="G9" s="14">
        <f>+ROUND(F9/VLOOKUP("Grand Total",$B$4:$F$298,5,0),4)</f>
        <v>0.30599999999999999</v>
      </c>
      <c r="H9" s="15" t="s">
        <v>346</v>
      </c>
      <c r="J9" s="14" t="s">
        <v>302</v>
      </c>
      <c r="K9" s="48">
        <f>SUMIFS($G$5:$G$321,$D$5:$D$321,J9)</f>
        <v>0.98329999999999995</v>
      </c>
    </row>
    <row r="10" spans="1:12" ht="12.75" customHeight="1" x14ac:dyDescent="0.2">
      <c r="A10">
        <f>+MAX($A$7:A9)+1</f>
        <v>3</v>
      </c>
      <c r="B10" t="s">
        <v>314</v>
      </c>
      <c r="C10" t="s">
        <v>285</v>
      </c>
      <c r="D10" t="s">
        <v>302</v>
      </c>
      <c r="E10" s="28">
        <v>689.96479999999997</v>
      </c>
      <c r="F10" s="13">
        <v>19.804864200000001</v>
      </c>
      <c r="G10" s="14">
        <f>+ROUND(F10/VLOOKUP("Grand Total",$B$4:$F$298,5,0),4)</f>
        <v>0.1704</v>
      </c>
      <c r="H10" s="15" t="s">
        <v>346</v>
      </c>
      <c r="J10" s="14" t="s">
        <v>62</v>
      </c>
      <c r="K10" s="48">
        <f>+SUMIFS($G$5:$G$998,$B$5:$B$998,"CBLO / Reverse Repo Investments")+SUMIFS($G$5:$G$998,$B$5:$B$998,"Net Receivable/Payable")</f>
        <v>1.67E-2</v>
      </c>
    </row>
    <row r="11" spans="1:12" ht="12.75" customHeight="1" x14ac:dyDescent="0.2">
      <c r="A11">
        <f>+MAX($A$7:A10)+1</f>
        <v>4</v>
      </c>
      <c r="B11" t="s">
        <v>287</v>
      </c>
      <c r="C11" t="s">
        <v>286</v>
      </c>
      <c r="D11" t="s">
        <v>302</v>
      </c>
      <c r="E11" s="28">
        <v>11427.009400000001</v>
      </c>
      <c r="F11" s="13">
        <v>13.3456043</v>
      </c>
      <c r="G11" s="14">
        <f>+ROUND(F11/VLOOKUP("Grand Total",$B$4:$F$298,5,0),4)</f>
        <v>0.1148</v>
      </c>
      <c r="H11" s="15" t="s">
        <v>346</v>
      </c>
    </row>
    <row r="12" spans="1:12" ht="12.75" customHeight="1" x14ac:dyDescent="0.2">
      <c r="B12" s="18" t="s">
        <v>83</v>
      </c>
      <c r="C12" s="18"/>
      <c r="D12" s="18"/>
      <c r="E12" s="29"/>
      <c r="F12" s="19">
        <f>SUM(F8:F11)</f>
        <v>114.31208459999999</v>
      </c>
      <c r="G12" s="20">
        <f>SUM(G8:G11)</f>
        <v>0.98329999999999995</v>
      </c>
      <c r="H12" s="21"/>
      <c r="I12" s="35"/>
      <c r="L12" s="54">
        <f>+SUM($K$9:K9)</f>
        <v>0.98329999999999995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91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83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345</v>
      </c>
      <c r="B17" s="16" t="s">
        <v>91</v>
      </c>
      <c r="C17" s="16"/>
      <c r="F17" s="13">
        <v>1.9838938000000002</v>
      </c>
      <c r="G17" s="14">
        <f>+ROUND(F17/VLOOKUP("Grand Total",$B$4:$F$292,5,0),4)</f>
        <v>1.7100000000000001E-2</v>
      </c>
      <c r="H17" s="15">
        <v>43222</v>
      </c>
    </row>
    <row r="18" spans="1:9" ht="12.75" customHeight="1" x14ac:dyDescent="0.2">
      <c r="B18" s="18" t="s">
        <v>83</v>
      </c>
      <c r="C18" s="18"/>
      <c r="D18" s="18"/>
      <c r="E18" s="29"/>
      <c r="F18" s="19">
        <f>SUM(F17)</f>
        <v>1.9838938000000002</v>
      </c>
      <c r="G18" s="20">
        <f>SUM(G17)</f>
        <v>1.7100000000000001E-2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92</v>
      </c>
      <c r="C20" s="16"/>
      <c r="F20" s="13"/>
      <c r="G20" s="14"/>
      <c r="H20" s="15"/>
    </row>
    <row r="21" spans="1:9" ht="12.75" customHeight="1" x14ac:dyDescent="0.2">
      <c r="B21" s="16" t="s">
        <v>93</v>
      </c>
      <c r="C21" s="16"/>
      <c r="F21" s="43">
        <v>-3.7947100000010892E-2</v>
      </c>
      <c r="G21" s="122">
        <f>+ROUND(F21/VLOOKUP("Grand Total",$B$4:$F$298,5,0),4)-0.01%</f>
        <v>-3.9999999999999996E-4</v>
      </c>
      <c r="H21" s="15"/>
    </row>
    <row r="22" spans="1:9" ht="12.75" customHeight="1" x14ac:dyDescent="0.2">
      <c r="B22" s="18" t="s">
        <v>83</v>
      </c>
      <c r="C22" s="18"/>
      <c r="D22" s="18"/>
      <c r="E22" s="29"/>
      <c r="F22" s="50">
        <f>SUM(F21)</f>
        <v>-3.7947100000010892E-2</v>
      </c>
      <c r="G22" s="123">
        <f>SUM(G21)</f>
        <v>-3.9999999999999996E-4</v>
      </c>
      <c r="H22" s="21"/>
      <c r="I22" s="35"/>
    </row>
    <row r="23" spans="1:9" ht="12.75" customHeight="1" x14ac:dyDescent="0.2">
      <c r="B23" s="22" t="s">
        <v>94</v>
      </c>
      <c r="C23" s="22"/>
      <c r="D23" s="22"/>
      <c r="E23" s="30"/>
      <c r="F23" s="23">
        <f>+SUMIF($B$5:B22,"Total",$F$5:F22)</f>
        <v>116.25803129999998</v>
      </c>
      <c r="G23" s="24">
        <f>+SUMIF($B$5:B22,"Total",$G$5:G22)</f>
        <v>1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347</v>
      </c>
      <c r="B1" s="128" t="s">
        <v>95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t="s">
        <v>186</v>
      </c>
      <c r="C9" t="s">
        <v>12</v>
      </c>
      <c r="D9" s="65" t="s">
        <v>9</v>
      </c>
      <c r="E9" s="28">
        <v>8965</v>
      </c>
      <c r="F9" s="13">
        <v>174.30649500000001</v>
      </c>
      <c r="G9" s="14">
        <f t="shared" ref="G9:G54" si="0">+ROUND(F9/VLOOKUP("Grand Total",$B$4:$F$283,5,0),4)</f>
        <v>9.4100000000000003E-2</v>
      </c>
      <c r="H9" s="15"/>
      <c r="J9" s="14" t="s">
        <v>9</v>
      </c>
      <c r="K9" s="48">
        <f t="shared" ref="K9:K29" si="1">SUMIFS($G$5:$G$320,$D$5:$D$320,J9)</f>
        <v>0.25679999999999997</v>
      </c>
    </row>
    <row r="10" spans="1:16" ht="12.75" customHeight="1" x14ac:dyDescent="0.2">
      <c r="A10">
        <f>+MAX($A$8:A9)+1</f>
        <v>2</v>
      </c>
      <c r="B10" t="s">
        <v>188</v>
      </c>
      <c r="C10" t="s">
        <v>29</v>
      </c>
      <c r="D10" t="s">
        <v>28</v>
      </c>
      <c r="E10" s="28">
        <v>15088</v>
      </c>
      <c r="F10" s="13">
        <v>145.342704</v>
      </c>
      <c r="G10" s="14">
        <f t="shared" si="0"/>
        <v>7.85E-2</v>
      </c>
      <c r="H10" s="15"/>
      <c r="J10" s="14" t="s">
        <v>13</v>
      </c>
      <c r="K10" s="48">
        <f t="shared" si="1"/>
        <v>0.12660000000000002</v>
      </c>
    </row>
    <row r="11" spans="1:16" ht="12.75" customHeight="1" x14ac:dyDescent="0.2">
      <c r="A11">
        <f>+MAX($A$8:A10)+1</f>
        <v>3</v>
      </c>
      <c r="B11" t="s">
        <v>192</v>
      </c>
      <c r="C11" t="s">
        <v>25</v>
      </c>
      <c r="D11" t="s">
        <v>22</v>
      </c>
      <c r="E11" s="28">
        <v>7327</v>
      </c>
      <c r="F11" s="13">
        <v>137.9857275</v>
      </c>
      <c r="G11" s="14">
        <f t="shared" si="0"/>
        <v>7.4499999999999997E-2</v>
      </c>
      <c r="H11" s="15"/>
      <c r="J11" s="14" t="s">
        <v>22</v>
      </c>
      <c r="K11" s="48">
        <f t="shared" si="1"/>
        <v>0.10299999999999999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195</v>
      </c>
      <c r="C12" t="s">
        <v>44</v>
      </c>
      <c r="D12" t="s">
        <v>24</v>
      </c>
      <c r="E12" s="28">
        <v>37364</v>
      </c>
      <c r="F12" s="13">
        <v>105.16097800000001</v>
      </c>
      <c r="G12" s="14">
        <f t="shared" si="0"/>
        <v>5.6800000000000003E-2</v>
      </c>
      <c r="H12" s="15"/>
      <c r="J12" s="14" t="s">
        <v>28</v>
      </c>
      <c r="K12" s="48">
        <f t="shared" si="1"/>
        <v>9.9199999999999997E-2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187</v>
      </c>
      <c r="C13" t="s">
        <v>14</v>
      </c>
      <c r="D13" t="s">
        <v>13</v>
      </c>
      <c r="E13" s="28">
        <v>8314</v>
      </c>
      <c r="F13" s="13">
        <v>99.726429999999993</v>
      </c>
      <c r="G13" s="14">
        <f t="shared" si="0"/>
        <v>5.3900000000000003E-2</v>
      </c>
      <c r="H13" s="15"/>
      <c r="J13" s="14" t="s">
        <v>24</v>
      </c>
      <c r="K13" s="48">
        <f t="shared" si="1"/>
        <v>9.5100000000000004E-2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189</v>
      </c>
      <c r="C14" t="s">
        <v>10</v>
      </c>
      <c r="D14" t="s">
        <v>9</v>
      </c>
      <c r="E14" s="28">
        <v>28118</v>
      </c>
      <c r="F14" s="13">
        <v>79.911355999999998</v>
      </c>
      <c r="G14" s="14">
        <f t="shared" si="0"/>
        <v>4.3200000000000002E-2</v>
      </c>
      <c r="H14" s="15"/>
      <c r="J14" s="14" t="s">
        <v>19</v>
      </c>
      <c r="K14" s="48">
        <f t="shared" si="1"/>
        <v>9.2499999999999985E-2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210</v>
      </c>
      <c r="C15" t="s">
        <v>18</v>
      </c>
      <c r="D15" t="s">
        <v>13</v>
      </c>
      <c r="E15" s="28">
        <v>2178</v>
      </c>
      <c r="F15" s="13">
        <v>76.929137999999995</v>
      </c>
      <c r="G15" s="14">
        <f t="shared" si="0"/>
        <v>4.1500000000000002E-2</v>
      </c>
      <c r="H15" s="15"/>
      <c r="J15" s="14" t="s">
        <v>26</v>
      </c>
      <c r="K15" s="48">
        <f t="shared" si="1"/>
        <v>4.0800000000000003E-2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219</v>
      </c>
      <c r="C16" t="s">
        <v>69</v>
      </c>
      <c r="D16" t="s">
        <v>26</v>
      </c>
      <c r="E16" s="28">
        <v>5396</v>
      </c>
      <c r="F16" s="13">
        <v>75.59256400000001</v>
      </c>
      <c r="G16" s="14">
        <f t="shared" si="0"/>
        <v>4.0800000000000003E-2</v>
      </c>
      <c r="H16" s="15"/>
      <c r="J16" s="14" t="s">
        <v>21</v>
      </c>
      <c r="K16" s="48">
        <f t="shared" si="1"/>
        <v>3.1699999999999999E-2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206</v>
      </c>
      <c r="C17" t="s">
        <v>96</v>
      </c>
      <c r="D17" t="s">
        <v>9</v>
      </c>
      <c r="E17" s="28">
        <v>5836</v>
      </c>
      <c r="F17" s="13">
        <v>70.679795999999996</v>
      </c>
      <c r="G17" s="14">
        <f t="shared" si="0"/>
        <v>3.8199999999999998E-2</v>
      </c>
      <c r="H17" s="15"/>
      <c r="J17" s="14" t="s">
        <v>34</v>
      </c>
      <c r="K17" s="48">
        <f t="shared" si="1"/>
        <v>2.3699999999999999E-2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203</v>
      </c>
      <c r="C18" t="s">
        <v>47</v>
      </c>
      <c r="D18" t="s">
        <v>19</v>
      </c>
      <c r="E18" s="28">
        <v>582</v>
      </c>
      <c r="F18" s="13">
        <v>51.303009000000003</v>
      </c>
      <c r="G18" s="14">
        <f t="shared" si="0"/>
        <v>2.7699999999999999E-2</v>
      </c>
      <c r="H18" s="15"/>
      <c r="J18" s="14" t="s">
        <v>43</v>
      </c>
      <c r="K18" s="48">
        <f t="shared" si="1"/>
        <v>2.12E-2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226</v>
      </c>
      <c r="C19" t="s">
        <v>99</v>
      </c>
      <c r="D19" t="s">
        <v>24</v>
      </c>
      <c r="E19" s="28">
        <v>3125</v>
      </c>
      <c r="F19" s="13">
        <v>47.153125000000003</v>
      </c>
      <c r="G19" s="14">
        <f t="shared" si="0"/>
        <v>2.5499999999999998E-2</v>
      </c>
      <c r="H19" s="15"/>
      <c r="J19" s="14" t="s">
        <v>17</v>
      </c>
      <c r="K19" s="48">
        <f t="shared" si="1"/>
        <v>2.0299999999999999E-2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228</v>
      </c>
      <c r="C20" t="s">
        <v>101</v>
      </c>
      <c r="D20" t="s">
        <v>9</v>
      </c>
      <c r="E20" s="28">
        <v>2232</v>
      </c>
      <c r="F20" s="13">
        <v>42.36336</v>
      </c>
      <c r="G20" s="14">
        <f t="shared" si="0"/>
        <v>2.29E-2</v>
      </c>
      <c r="H20" s="15"/>
      <c r="J20" s="14" t="s">
        <v>32</v>
      </c>
      <c r="K20" s="48">
        <f t="shared" si="1"/>
        <v>1.2800000000000001E-2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15</v>
      </c>
      <c r="C21" t="s">
        <v>16</v>
      </c>
      <c r="D21" t="s">
        <v>9</v>
      </c>
      <c r="E21" s="28">
        <v>16240</v>
      </c>
      <c r="F21" s="13">
        <v>40.015360000000001</v>
      </c>
      <c r="G21" s="14">
        <f t="shared" si="0"/>
        <v>2.1600000000000001E-2</v>
      </c>
      <c r="H21" s="15"/>
      <c r="J21" s="14" t="s">
        <v>97</v>
      </c>
      <c r="K21" s="48">
        <f t="shared" si="1"/>
        <v>1.2E-2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211</v>
      </c>
      <c r="C22" t="s">
        <v>27</v>
      </c>
      <c r="D22" t="s">
        <v>9</v>
      </c>
      <c r="E22" s="28">
        <v>7523</v>
      </c>
      <c r="F22" s="13">
        <v>38.916479000000002</v>
      </c>
      <c r="G22" s="14">
        <f t="shared" si="0"/>
        <v>2.1000000000000001E-2</v>
      </c>
      <c r="H22" s="15"/>
      <c r="J22" s="14" t="s">
        <v>104</v>
      </c>
      <c r="K22" s="48">
        <f t="shared" si="1"/>
        <v>1.09E-2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227</v>
      </c>
      <c r="C23" t="s">
        <v>98</v>
      </c>
      <c r="D23" t="s">
        <v>19</v>
      </c>
      <c r="E23" s="28">
        <v>4080</v>
      </c>
      <c r="F23" s="13">
        <v>35.63064</v>
      </c>
      <c r="G23" s="14">
        <f t="shared" si="0"/>
        <v>1.9199999999999998E-2</v>
      </c>
      <c r="H23" s="15"/>
      <c r="J23" s="14" t="s">
        <v>140</v>
      </c>
      <c r="K23" s="48">
        <f t="shared" si="1"/>
        <v>9.7000000000000003E-3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238</v>
      </c>
      <c r="C24" t="s">
        <v>495</v>
      </c>
      <c r="D24" t="s">
        <v>9</v>
      </c>
      <c r="E24" s="28">
        <v>8061</v>
      </c>
      <c r="F24" s="13">
        <v>29.180820000000001</v>
      </c>
      <c r="G24" s="14">
        <f t="shared" si="0"/>
        <v>1.5800000000000002E-2</v>
      </c>
      <c r="H24" s="15"/>
      <c r="J24" s="14" t="s">
        <v>49</v>
      </c>
      <c r="K24" s="48">
        <f t="shared" si="1"/>
        <v>8.8000000000000005E-3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190</v>
      </c>
      <c r="C25" t="s">
        <v>20</v>
      </c>
      <c r="D25" t="s">
        <v>19</v>
      </c>
      <c r="E25" s="28">
        <v>8085</v>
      </c>
      <c r="F25" s="13">
        <v>27.521339999999999</v>
      </c>
      <c r="G25" s="14">
        <f t="shared" si="0"/>
        <v>1.49E-2</v>
      </c>
      <c r="H25" s="15"/>
      <c r="J25" s="14" t="s">
        <v>100</v>
      </c>
      <c r="K25" s="48">
        <f t="shared" si="1"/>
        <v>7.6E-3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191</v>
      </c>
      <c r="C26" t="s">
        <v>23</v>
      </c>
      <c r="D26" t="s">
        <v>13</v>
      </c>
      <c r="E26" s="28">
        <v>2437</v>
      </c>
      <c r="F26" s="13">
        <v>25.655517499999998</v>
      </c>
      <c r="G26" s="14">
        <f t="shared" si="0"/>
        <v>1.3899999999999999E-2</v>
      </c>
      <c r="H26" s="15"/>
      <c r="J26" s="14" t="s">
        <v>45</v>
      </c>
      <c r="K26" s="48">
        <f t="shared" si="1"/>
        <v>6.7999999999999996E-3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398</v>
      </c>
      <c r="C27" t="s">
        <v>66</v>
      </c>
      <c r="D27" t="s">
        <v>21</v>
      </c>
      <c r="E27" s="28">
        <v>4829</v>
      </c>
      <c r="F27" s="13">
        <v>25.516436000000002</v>
      </c>
      <c r="G27" s="14">
        <f t="shared" si="0"/>
        <v>1.38E-2</v>
      </c>
      <c r="H27" s="15"/>
      <c r="J27" t="s">
        <v>35</v>
      </c>
      <c r="K27" s="48">
        <f t="shared" si="1"/>
        <v>6.7999999999999996E-3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408</v>
      </c>
      <c r="C28" t="s">
        <v>409</v>
      </c>
      <c r="D28" t="s">
        <v>43</v>
      </c>
      <c r="E28" s="28">
        <v>8132</v>
      </c>
      <c r="F28" s="13">
        <v>24.265887999999997</v>
      </c>
      <c r="G28" s="14">
        <f t="shared" si="0"/>
        <v>1.3100000000000001E-2</v>
      </c>
      <c r="H28" s="15"/>
      <c r="J28" s="14" t="s">
        <v>323</v>
      </c>
      <c r="K28" s="48">
        <f t="shared" si="1"/>
        <v>6.3E-3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232</v>
      </c>
      <c r="C29" t="s">
        <v>108</v>
      </c>
      <c r="D29" t="s">
        <v>24</v>
      </c>
      <c r="E29" s="28">
        <v>1973</v>
      </c>
      <c r="F29" s="13">
        <v>23.709541000000002</v>
      </c>
      <c r="G29" s="14">
        <f t="shared" si="0"/>
        <v>1.2800000000000001E-2</v>
      </c>
      <c r="H29" s="15"/>
      <c r="J29" s="14" t="s">
        <v>129</v>
      </c>
      <c r="K29" s="48">
        <f t="shared" si="1"/>
        <v>6.3E-3</v>
      </c>
      <c r="N29" s="14"/>
      <c r="P29" s="14"/>
    </row>
    <row r="30" spans="1:16" ht="12.75" customHeight="1" x14ac:dyDescent="0.2">
      <c r="A30">
        <f>+MAX($A$8:A29)+1</f>
        <v>22</v>
      </c>
      <c r="B30" t="s">
        <v>208</v>
      </c>
      <c r="C30" t="s">
        <v>63</v>
      </c>
      <c r="D30" t="s">
        <v>32</v>
      </c>
      <c r="E30" s="28">
        <v>5772</v>
      </c>
      <c r="F30" s="13">
        <v>23.639226000000001</v>
      </c>
      <c r="G30" s="14">
        <f t="shared" si="0"/>
        <v>1.2800000000000001E-2</v>
      </c>
      <c r="H30" s="15"/>
      <c r="J30" s="14" t="s">
        <v>62</v>
      </c>
      <c r="K30" s="48">
        <f>+SUMIFS($G$5:$G$998,$B$5:$B$998,"CBLO / Reverse Repo Investments")+SUMIFS($G$5:$G$998,$B$5:$B$998,"Net Receivable/Payable")</f>
        <v>1.0999999999999998E-3</v>
      </c>
      <c r="N30" s="14"/>
      <c r="P30" s="14"/>
    </row>
    <row r="31" spans="1:16" ht="12.75" customHeight="1" x14ac:dyDescent="0.2">
      <c r="A31">
        <f>+MAX($A$8:A30)+1</f>
        <v>23</v>
      </c>
      <c r="B31" t="s">
        <v>237</v>
      </c>
      <c r="C31" t="s">
        <v>113</v>
      </c>
      <c r="D31" t="s">
        <v>34</v>
      </c>
      <c r="E31" s="28">
        <v>13709</v>
      </c>
      <c r="F31" s="13">
        <v>23.600043500000002</v>
      </c>
      <c r="G31" s="14">
        <f t="shared" si="0"/>
        <v>1.2699999999999999E-2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230</v>
      </c>
      <c r="C32" t="s">
        <v>105</v>
      </c>
      <c r="D32" t="s">
        <v>97</v>
      </c>
      <c r="E32" s="28">
        <v>12353</v>
      </c>
      <c r="F32" s="13">
        <v>22.303341499999998</v>
      </c>
      <c r="G32" s="14">
        <f t="shared" si="0"/>
        <v>1.2E-2</v>
      </c>
      <c r="H32" s="15"/>
      <c r="J32" s="14"/>
      <c r="L32" s="54">
        <f>+SUM($K$9:K32)</f>
        <v>0.99999999999999989</v>
      </c>
    </row>
    <row r="33" spans="1:13" ht="12.75" customHeight="1" x14ac:dyDescent="0.2">
      <c r="A33">
        <f>+MAX($A$8:A32)+1</f>
        <v>25</v>
      </c>
      <c r="B33" t="s">
        <v>235</v>
      </c>
      <c r="C33" t="s">
        <v>110</v>
      </c>
      <c r="D33" t="s">
        <v>19</v>
      </c>
      <c r="E33" s="28">
        <v>568</v>
      </c>
      <c r="F33" s="13">
        <v>21.199179999999998</v>
      </c>
      <c r="G33" s="14">
        <f t="shared" si="0"/>
        <v>1.14E-2</v>
      </c>
      <c r="H33" s="15"/>
    </row>
    <row r="34" spans="1:13" ht="12.75" customHeight="1" x14ac:dyDescent="0.2">
      <c r="A34">
        <f>+MAX($A$8:A33)+1</f>
        <v>26</v>
      </c>
      <c r="B34" t="s">
        <v>234</v>
      </c>
      <c r="C34" t="s">
        <v>112</v>
      </c>
      <c r="D34" t="s">
        <v>34</v>
      </c>
      <c r="E34" s="28">
        <v>9843</v>
      </c>
      <c r="F34" s="13">
        <v>20.458675500000002</v>
      </c>
      <c r="G34" s="14">
        <f t="shared" si="0"/>
        <v>1.0999999999999999E-2</v>
      </c>
      <c r="H34" s="15"/>
      <c r="M34" s="14"/>
    </row>
    <row r="35" spans="1:13" ht="12.75" customHeight="1" x14ac:dyDescent="0.2">
      <c r="A35">
        <f>+MAX($A$8:A34)+1</f>
        <v>27</v>
      </c>
      <c r="B35" t="s">
        <v>243</v>
      </c>
      <c r="C35" t="s">
        <v>119</v>
      </c>
      <c r="D35" t="s">
        <v>104</v>
      </c>
      <c r="E35" s="28">
        <v>3401</v>
      </c>
      <c r="F35" s="13">
        <v>20.234249500000001</v>
      </c>
      <c r="G35" s="14">
        <f t="shared" si="0"/>
        <v>1.09E-2</v>
      </c>
      <c r="H35" s="15"/>
    </row>
    <row r="36" spans="1:13" ht="12.75" customHeight="1" x14ac:dyDescent="0.2">
      <c r="A36">
        <f>+MAX($A$8:A35)+1</f>
        <v>28</v>
      </c>
      <c r="B36" t="s">
        <v>257</v>
      </c>
      <c r="C36" t="s">
        <v>339</v>
      </c>
      <c r="D36" t="s">
        <v>22</v>
      </c>
      <c r="E36" s="28">
        <v>1037</v>
      </c>
      <c r="F36" s="13">
        <v>19.782848999999999</v>
      </c>
      <c r="G36" s="14">
        <f t="shared" si="0"/>
        <v>1.0699999999999999E-2</v>
      </c>
      <c r="H36" s="15"/>
    </row>
    <row r="37" spans="1:13" ht="12.75" customHeight="1" x14ac:dyDescent="0.2">
      <c r="A37">
        <f>+MAX($A$8:A36)+1</f>
        <v>29</v>
      </c>
      <c r="B37" t="s">
        <v>457</v>
      </c>
      <c r="C37" t="s">
        <v>458</v>
      </c>
      <c r="D37" t="s">
        <v>17</v>
      </c>
      <c r="E37" s="28">
        <v>1726</v>
      </c>
      <c r="F37" s="13">
        <v>18.877261999999998</v>
      </c>
      <c r="G37" s="14">
        <f t="shared" si="0"/>
        <v>1.0200000000000001E-2</v>
      </c>
      <c r="H37" s="15"/>
    </row>
    <row r="38" spans="1:13" ht="12.75" customHeight="1" x14ac:dyDescent="0.2">
      <c r="A38">
        <f>+MAX($A$8:A37)+1</f>
        <v>30</v>
      </c>
      <c r="B38" t="s">
        <v>198</v>
      </c>
      <c r="C38" t="s">
        <v>51</v>
      </c>
      <c r="D38" t="s">
        <v>17</v>
      </c>
      <c r="E38" s="28">
        <v>457</v>
      </c>
      <c r="F38" s="13">
        <v>18.777444499999998</v>
      </c>
      <c r="G38" s="14">
        <f t="shared" si="0"/>
        <v>1.01E-2</v>
      </c>
      <c r="H38" s="15"/>
    </row>
    <row r="39" spans="1:13" ht="12.75" customHeight="1" x14ac:dyDescent="0.2">
      <c r="A39">
        <f>+MAX($A$8:A38)+1</f>
        <v>31</v>
      </c>
      <c r="B39" t="s">
        <v>326</v>
      </c>
      <c r="C39" t="s">
        <v>327</v>
      </c>
      <c r="D39" t="s">
        <v>22</v>
      </c>
      <c r="E39" s="28">
        <v>1418</v>
      </c>
      <c r="F39" s="13">
        <v>18.533259999999999</v>
      </c>
      <c r="G39" s="14">
        <f t="shared" si="0"/>
        <v>0.01</v>
      </c>
      <c r="H39" s="15"/>
    </row>
    <row r="40" spans="1:13" ht="12.75" customHeight="1" x14ac:dyDescent="0.2">
      <c r="A40">
        <f>+MAX($A$8:A39)+1</f>
        <v>32</v>
      </c>
      <c r="B40" t="s">
        <v>236</v>
      </c>
      <c r="C40" t="s">
        <v>111</v>
      </c>
      <c r="D40" t="s">
        <v>13</v>
      </c>
      <c r="E40" s="28">
        <v>2743</v>
      </c>
      <c r="F40" s="13">
        <v>18.394558</v>
      </c>
      <c r="G40" s="14">
        <f t="shared" si="0"/>
        <v>9.9000000000000008E-3</v>
      </c>
      <c r="H40" s="15"/>
    </row>
    <row r="41" spans="1:13" ht="12.75" customHeight="1" x14ac:dyDescent="0.2">
      <c r="A41">
        <f>+MAX($A$8:A40)+1</f>
        <v>33</v>
      </c>
      <c r="B41" t="s">
        <v>255</v>
      </c>
      <c r="C41" t="s">
        <v>139</v>
      </c>
      <c r="D41" t="s">
        <v>19</v>
      </c>
      <c r="E41" s="28">
        <v>58</v>
      </c>
      <c r="F41" s="13">
        <v>18.089388</v>
      </c>
      <c r="G41" s="14">
        <f t="shared" si="0"/>
        <v>9.7999999999999997E-3</v>
      </c>
      <c r="H41" s="15"/>
    </row>
    <row r="42" spans="1:13" ht="12.75" customHeight="1" x14ac:dyDescent="0.2">
      <c r="A42">
        <f>+MAX($A$8:A41)+1</f>
        <v>34</v>
      </c>
      <c r="B42" t="s">
        <v>654</v>
      </c>
      <c r="C42" t="s">
        <v>655</v>
      </c>
      <c r="D42" t="s">
        <v>140</v>
      </c>
      <c r="E42" s="28">
        <v>1826</v>
      </c>
      <c r="F42" s="13">
        <v>17.927668000000001</v>
      </c>
      <c r="G42" s="14">
        <f t="shared" si="0"/>
        <v>9.7000000000000003E-3</v>
      </c>
      <c r="H42" s="15"/>
    </row>
    <row r="43" spans="1:13" ht="12.75" customHeight="1" x14ac:dyDescent="0.2">
      <c r="A43">
        <f>+MAX($A$8:A42)+1</f>
        <v>35</v>
      </c>
      <c r="B43" t="s">
        <v>193</v>
      </c>
      <c r="C43" t="s">
        <v>37</v>
      </c>
      <c r="D43" t="s">
        <v>19</v>
      </c>
      <c r="E43" s="28">
        <v>595</v>
      </c>
      <c r="F43" s="13">
        <v>17.567969999999999</v>
      </c>
      <c r="G43" s="14">
        <f t="shared" si="0"/>
        <v>9.4999999999999998E-3</v>
      </c>
      <c r="H43" s="15"/>
    </row>
    <row r="44" spans="1:13" ht="12.75" customHeight="1" x14ac:dyDescent="0.2">
      <c r="A44">
        <f>+MAX($A$8:A43)+1</f>
        <v>36</v>
      </c>
      <c r="B44" t="s">
        <v>222</v>
      </c>
      <c r="C44" t="s">
        <v>77</v>
      </c>
      <c r="D44" t="s">
        <v>49</v>
      </c>
      <c r="E44" s="28">
        <v>5704</v>
      </c>
      <c r="F44" s="13">
        <v>16.256399999999999</v>
      </c>
      <c r="G44" s="14">
        <f t="shared" si="0"/>
        <v>8.8000000000000005E-3</v>
      </c>
      <c r="H44" s="15"/>
    </row>
    <row r="45" spans="1:13" ht="12.75" customHeight="1" x14ac:dyDescent="0.2">
      <c r="A45">
        <f>+MAX($A$8:A44)+1</f>
        <v>37</v>
      </c>
      <c r="B45" t="s">
        <v>272</v>
      </c>
      <c r="C45" t="s">
        <v>171</v>
      </c>
      <c r="D45" t="s">
        <v>28</v>
      </c>
      <c r="E45" s="28">
        <v>9348</v>
      </c>
      <c r="F45" s="13">
        <v>15.171804</v>
      </c>
      <c r="G45" s="14">
        <f t="shared" si="0"/>
        <v>8.2000000000000007E-3</v>
      </c>
      <c r="H45" s="15"/>
    </row>
    <row r="46" spans="1:13" ht="12.75" customHeight="1" x14ac:dyDescent="0.2">
      <c r="A46">
        <f>+MAX($A$8:A45)+1</f>
        <v>38</v>
      </c>
      <c r="B46" t="s">
        <v>246</v>
      </c>
      <c r="C46" t="s">
        <v>121</v>
      </c>
      <c r="D46" t="s">
        <v>43</v>
      </c>
      <c r="E46" s="28">
        <v>6385</v>
      </c>
      <c r="F46" s="13">
        <v>15.0462525</v>
      </c>
      <c r="G46" s="14">
        <f t="shared" si="0"/>
        <v>8.0999999999999996E-3</v>
      </c>
      <c r="H46" s="15"/>
    </row>
    <row r="47" spans="1:13" ht="12.75" customHeight="1" x14ac:dyDescent="0.2">
      <c r="A47">
        <f>+MAX($A$8:A46)+1</f>
        <v>39</v>
      </c>
      <c r="B47" t="s">
        <v>475</v>
      </c>
      <c r="C47" t="s">
        <v>476</v>
      </c>
      <c r="D47" t="s">
        <v>22</v>
      </c>
      <c r="E47" s="28">
        <v>265</v>
      </c>
      <c r="F47" s="13">
        <v>14.528890000000001</v>
      </c>
      <c r="G47" s="14">
        <f t="shared" si="0"/>
        <v>7.7999999999999996E-3</v>
      </c>
      <c r="H47" s="15"/>
    </row>
    <row r="48" spans="1:13" ht="12.75" customHeight="1" x14ac:dyDescent="0.2">
      <c r="A48">
        <f>+MAX($A$8:A47)+1</f>
        <v>40</v>
      </c>
      <c r="B48" t="s">
        <v>240</v>
      </c>
      <c r="C48" t="s">
        <v>116</v>
      </c>
      <c r="D48" t="s">
        <v>100</v>
      </c>
      <c r="E48" s="28">
        <v>2395</v>
      </c>
      <c r="F48" s="13">
        <v>14.083797499999999</v>
      </c>
      <c r="G48" s="14">
        <f t="shared" si="0"/>
        <v>7.6E-3</v>
      </c>
      <c r="H48" s="15"/>
    </row>
    <row r="49" spans="1:9" ht="12.75" customHeight="1" x14ac:dyDescent="0.2">
      <c r="A49">
        <f>+MAX($A$8:A48)+1</f>
        <v>41</v>
      </c>
      <c r="B49" t="s">
        <v>233</v>
      </c>
      <c r="C49" t="s">
        <v>109</v>
      </c>
      <c r="D49" t="s">
        <v>13</v>
      </c>
      <c r="E49" s="28">
        <v>4948</v>
      </c>
      <c r="F49" s="13">
        <v>13.79255</v>
      </c>
      <c r="G49" s="14">
        <f t="shared" si="0"/>
        <v>7.4000000000000003E-3</v>
      </c>
      <c r="H49" s="15"/>
    </row>
    <row r="50" spans="1:9" ht="12.75" customHeight="1" x14ac:dyDescent="0.2">
      <c r="A50">
        <f>+MAX($A$8:A49)+1</f>
        <v>42</v>
      </c>
      <c r="B50" t="s">
        <v>202</v>
      </c>
      <c r="C50" t="s">
        <v>67</v>
      </c>
      <c r="D50" t="s">
        <v>21</v>
      </c>
      <c r="E50" s="28">
        <v>2219</v>
      </c>
      <c r="F50" s="13">
        <v>13.478206</v>
      </c>
      <c r="G50" s="14">
        <f t="shared" si="0"/>
        <v>7.3000000000000001E-3</v>
      </c>
      <c r="H50" s="15"/>
    </row>
    <row r="51" spans="1:9" ht="12.75" customHeight="1" x14ac:dyDescent="0.2">
      <c r="A51">
        <f>+MAX($A$8:A50)+1</f>
        <v>43</v>
      </c>
      <c r="B51" t="s">
        <v>239</v>
      </c>
      <c r="C51" t="s">
        <v>115</v>
      </c>
      <c r="D51" t="s">
        <v>28</v>
      </c>
      <c r="E51" s="28">
        <v>3417</v>
      </c>
      <c r="F51" s="13">
        <v>13.235749499999999</v>
      </c>
      <c r="G51" s="14">
        <f t="shared" si="0"/>
        <v>7.1000000000000004E-3</v>
      </c>
      <c r="H51" s="15"/>
    </row>
    <row r="52" spans="1:9" ht="12.75" customHeight="1" x14ac:dyDescent="0.2">
      <c r="A52">
        <f>+MAX($A$8:A51)+1</f>
        <v>44</v>
      </c>
      <c r="B52" t="s">
        <v>241</v>
      </c>
      <c r="C52" t="s">
        <v>114</v>
      </c>
      <c r="D52" t="s">
        <v>35</v>
      </c>
      <c r="E52" s="28">
        <v>3081</v>
      </c>
      <c r="F52" s="13">
        <v>12.548913000000001</v>
      </c>
      <c r="G52" s="14">
        <f t="shared" si="0"/>
        <v>6.7999999999999996E-3</v>
      </c>
      <c r="H52" s="15"/>
    </row>
    <row r="53" spans="1:9" ht="12.75" customHeight="1" x14ac:dyDescent="0.2">
      <c r="A53">
        <f>+MAX($A$8:A52)+1</f>
        <v>45</v>
      </c>
      <c r="B53" t="s">
        <v>242</v>
      </c>
      <c r="C53" t="s">
        <v>117</v>
      </c>
      <c r="D53" t="s">
        <v>45</v>
      </c>
      <c r="E53" s="28">
        <v>3848</v>
      </c>
      <c r="F53" s="13">
        <v>12.509848</v>
      </c>
      <c r="G53" s="14">
        <f t="shared" si="0"/>
        <v>6.7999999999999996E-3</v>
      </c>
      <c r="H53" s="15"/>
    </row>
    <row r="54" spans="1:9" ht="12.75" customHeight="1" x14ac:dyDescent="0.2">
      <c r="A54">
        <f>+MAX($A$8:A53)+1</f>
        <v>46</v>
      </c>
      <c r="B54" t="s">
        <v>267</v>
      </c>
      <c r="C54" t="s">
        <v>153</v>
      </c>
      <c r="D54" t="s">
        <v>129</v>
      </c>
      <c r="E54" s="28">
        <v>1605</v>
      </c>
      <c r="F54" s="13">
        <v>11.7140925</v>
      </c>
      <c r="G54" s="14">
        <f t="shared" si="0"/>
        <v>6.3E-3</v>
      </c>
      <c r="H54" s="15"/>
    </row>
    <row r="55" spans="1:9" ht="12.75" customHeight="1" x14ac:dyDescent="0.2">
      <c r="A55">
        <f>+MAX($A$8:A54)+1</f>
        <v>47</v>
      </c>
      <c r="B55" t="s">
        <v>306</v>
      </c>
      <c r="C55" t="s">
        <v>307</v>
      </c>
      <c r="D55" t="s">
        <v>323</v>
      </c>
      <c r="E55" s="28">
        <v>3723</v>
      </c>
      <c r="F55" s="13">
        <v>11.656713</v>
      </c>
      <c r="G55" s="14">
        <f t="shared" ref="G55:G58" si="2">+ROUND(F55/VLOOKUP("Grand Total",$B$4:$F$283,5,0),4)</f>
        <v>6.3E-3</v>
      </c>
      <c r="H55" s="15"/>
    </row>
    <row r="56" spans="1:9" ht="12.75" customHeight="1" x14ac:dyDescent="0.2">
      <c r="A56">
        <f>+MAX($A$8:A55)+1</f>
        <v>48</v>
      </c>
      <c r="B56" t="s">
        <v>231</v>
      </c>
      <c r="C56" t="s">
        <v>107</v>
      </c>
      <c r="D56" t="s">
        <v>21</v>
      </c>
      <c r="E56" s="28">
        <v>530</v>
      </c>
      <c r="F56" s="13">
        <v>11.182205</v>
      </c>
      <c r="G56" s="14">
        <f t="shared" si="2"/>
        <v>6.0000000000000001E-3</v>
      </c>
      <c r="H56" s="15"/>
    </row>
    <row r="57" spans="1:9" ht="12.75" customHeight="1" x14ac:dyDescent="0.2">
      <c r="A57">
        <f>+MAX($A$8:A56)+1</f>
        <v>49</v>
      </c>
      <c r="B57" t="s">
        <v>223</v>
      </c>
      <c r="C57" t="s">
        <v>78</v>
      </c>
      <c r="D57" t="s">
        <v>28</v>
      </c>
      <c r="E57" s="28">
        <v>3267</v>
      </c>
      <c r="F57" s="13">
        <v>9.9480149999999998</v>
      </c>
      <c r="G57" s="14">
        <f t="shared" si="2"/>
        <v>5.4000000000000003E-3</v>
      </c>
      <c r="H57" s="15"/>
    </row>
    <row r="58" spans="1:9" ht="12.75" customHeight="1" x14ac:dyDescent="0.2">
      <c r="A58">
        <f>+MAX($A$8:A57)+1</f>
        <v>50</v>
      </c>
      <c r="B58" t="s">
        <v>229</v>
      </c>
      <c r="C58" t="s">
        <v>102</v>
      </c>
      <c r="D58" t="s">
        <v>21</v>
      </c>
      <c r="E58" s="28">
        <v>1048</v>
      </c>
      <c r="F58" s="13">
        <v>8.5050439999999998</v>
      </c>
      <c r="G58" s="14">
        <f t="shared" si="2"/>
        <v>4.5999999999999999E-3</v>
      </c>
      <c r="H58" s="15"/>
    </row>
    <row r="59" spans="1:9" ht="12.75" customHeight="1" x14ac:dyDescent="0.2">
      <c r="B59" s="18" t="s">
        <v>83</v>
      </c>
      <c r="C59" s="18"/>
      <c r="D59" s="18"/>
      <c r="E59" s="29"/>
      <c r="F59" s="19">
        <f>SUM(F9:F58)</f>
        <v>1849.9102995000007</v>
      </c>
      <c r="G59" s="20">
        <f>SUM(G9:G58)</f>
        <v>0.99890000000000023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A61" s="95" t="s">
        <v>345</v>
      </c>
      <c r="B61" s="16" t="s">
        <v>91</v>
      </c>
      <c r="C61" s="16"/>
      <c r="F61" s="13">
        <v>2.2825446</v>
      </c>
      <c r="G61" s="14">
        <f>+ROUND(F61/VLOOKUP("Grand Total",$B$4:$F$283,5,0),4)</f>
        <v>1.1999999999999999E-3</v>
      </c>
      <c r="H61" s="15">
        <v>43222</v>
      </c>
    </row>
    <row r="62" spans="1:9" ht="12.75" customHeight="1" x14ac:dyDescent="0.2">
      <c r="B62" s="18" t="s">
        <v>83</v>
      </c>
      <c r="C62" s="18"/>
      <c r="D62" s="18"/>
      <c r="E62" s="29"/>
      <c r="F62" s="19">
        <f>SUM(F61)</f>
        <v>2.2825446</v>
      </c>
      <c r="G62" s="20">
        <f>SUM(G61)</f>
        <v>1.1999999999999999E-3</v>
      </c>
      <c r="H62" s="21"/>
      <c r="I62" s="35"/>
    </row>
    <row r="63" spans="1:9" ht="12.75" customHeight="1" x14ac:dyDescent="0.2">
      <c r="F63" s="13"/>
      <c r="G63" s="14"/>
      <c r="H63" s="15"/>
    </row>
    <row r="64" spans="1:9" ht="12.75" customHeight="1" x14ac:dyDescent="0.2">
      <c r="B64" s="16" t="s">
        <v>92</v>
      </c>
      <c r="C64" s="16"/>
      <c r="F64" s="13"/>
      <c r="G64" s="14"/>
      <c r="H64" s="15"/>
    </row>
    <row r="65" spans="2:9" ht="12.75" customHeight="1" x14ac:dyDescent="0.2">
      <c r="B65" s="16" t="s">
        <v>93</v>
      </c>
      <c r="C65" s="16"/>
      <c r="F65" s="13">
        <v>-0.69756440000082875</v>
      </c>
      <c r="G65" s="122">
        <f>+ROUND(F65/VLOOKUP("Grand Total",$B$4:$F$283,5,0),4)+0.03%</f>
        <v>-1.0000000000000005E-4</v>
      </c>
      <c r="H65" s="15"/>
    </row>
    <row r="66" spans="2:9" ht="12.75" customHeight="1" x14ac:dyDescent="0.2">
      <c r="B66" s="18" t="s">
        <v>83</v>
      </c>
      <c r="C66" s="18"/>
      <c r="D66" s="18"/>
      <c r="E66" s="29"/>
      <c r="F66" s="19">
        <f>SUM(F65)</f>
        <v>-0.69756440000082875</v>
      </c>
      <c r="G66" s="123">
        <f>SUM(G65)</f>
        <v>-1.0000000000000005E-4</v>
      </c>
      <c r="H66" s="21"/>
      <c r="I66" s="35"/>
    </row>
    <row r="67" spans="2:9" ht="12.75" customHeight="1" x14ac:dyDescent="0.2">
      <c r="B67" s="22" t="s">
        <v>94</v>
      </c>
      <c r="C67" s="22"/>
      <c r="D67" s="22"/>
      <c r="E67" s="30"/>
      <c r="F67" s="23">
        <f>+SUMIF($B$5:B66,"Total",$F$5:F66)</f>
        <v>1851.4952796999999</v>
      </c>
      <c r="G67" s="24">
        <f>+SUMIF($B$5:B66,"Total",$G$5:G66)</f>
        <v>1.0000000000000002</v>
      </c>
      <c r="H67" s="25"/>
      <c r="I67" s="35"/>
    </row>
    <row r="68" spans="2:9" ht="12.75" customHeight="1" x14ac:dyDescent="0.2"/>
    <row r="69" spans="2:9" ht="12.75" customHeight="1" x14ac:dyDescent="0.2">
      <c r="B69" s="16"/>
      <c r="C69" s="16"/>
    </row>
    <row r="70" spans="2:9" ht="12.75" customHeight="1" x14ac:dyDescent="0.2">
      <c r="B70" s="16"/>
      <c r="C70" s="16"/>
    </row>
    <row r="71" spans="2:9" ht="12.75" customHeight="1" x14ac:dyDescent="0.2">
      <c r="B71" s="16"/>
      <c r="C71" s="16"/>
    </row>
    <row r="72" spans="2:9" ht="12.75" customHeight="1" x14ac:dyDescent="0.2">
      <c r="B72" s="16"/>
      <c r="C72" s="16"/>
    </row>
    <row r="73" spans="2:9" ht="12.75" customHeight="1" x14ac:dyDescent="0.2">
      <c r="B73" s="16"/>
      <c r="C73" s="16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EDB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365</v>
      </c>
      <c r="B1" s="128" t="s">
        <v>448</v>
      </c>
      <c r="C1" s="129"/>
      <c r="D1" s="129"/>
      <c r="E1" s="129"/>
      <c r="F1" s="129"/>
      <c r="G1" s="129"/>
      <c r="H1" s="130"/>
    </row>
    <row r="2" spans="1:12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90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420</v>
      </c>
      <c r="C8" t="s">
        <v>283</v>
      </c>
      <c r="D8" t="s">
        <v>302</v>
      </c>
      <c r="E8" s="28">
        <v>460037.20309999998</v>
      </c>
      <c r="F8" s="13">
        <v>145.52172830000001</v>
      </c>
      <c r="G8" s="14">
        <f>+ROUND(F8/VLOOKUP("Grand Total",$B$4:$F$294,5,0),4)</f>
        <v>0.58830000000000005</v>
      </c>
      <c r="H8" s="15" t="s">
        <v>346</v>
      </c>
      <c r="J8" s="17" t="s">
        <v>586</v>
      </c>
      <c r="K8" s="37" t="s">
        <v>11</v>
      </c>
    </row>
    <row r="9" spans="1:12" ht="12.75" customHeight="1" x14ac:dyDescent="0.2">
      <c r="A9">
        <f>+MAX($A$7:A8)+1</f>
        <v>2</v>
      </c>
      <c r="B9" t="s">
        <v>314</v>
      </c>
      <c r="C9" t="s">
        <v>285</v>
      </c>
      <c r="D9" t="s">
        <v>302</v>
      </c>
      <c r="E9" s="28">
        <v>2140.2829999999999</v>
      </c>
      <c r="F9" s="13">
        <v>61.435038499999997</v>
      </c>
      <c r="G9" s="14">
        <f>+ROUND(F9/VLOOKUP("Grand Total",$B$4:$F$294,5,0),4)</f>
        <v>0.24840000000000001</v>
      </c>
      <c r="H9" s="15" t="s">
        <v>346</v>
      </c>
      <c r="J9" s="90" t="s">
        <v>302</v>
      </c>
      <c r="K9" s="48">
        <f>SUMIFS($G$5:$G$321,$D$5:$D$321,J9)</f>
        <v>0.99590000000000001</v>
      </c>
    </row>
    <row r="10" spans="1:12" ht="12.75" customHeight="1" x14ac:dyDescent="0.2">
      <c r="A10">
        <f>+MAX($A$7:A9)+1</f>
        <v>3</v>
      </c>
      <c r="B10" t="s">
        <v>421</v>
      </c>
      <c r="C10" t="s">
        <v>284</v>
      </c>
      <c r="D10" t="s">
        <v>302</v>
      </c>
      <c r="E10" s="28">
        <v>61917.860500000003</v>
      </c>
      <c r="F10" s="13">
        <v>39.3859511</v>
      </c>
      <c r="G10" s="14">
        <f>+ROUND(F10/VLOOKUP("Grand Total",$B$4:$F$294,5,0),4)</f>
        <v>0.15920000000000001</v>
      </c>
      <c r="H10" s="15" t="s">
        <v>346</v>
      </c>
      <c r="J10" s="14" t="s">
        <v>62</v>
      </c>
      <c r="K10" s="48">
        <f>+SUMIFS($G$5:$G$998,$B$5:$B$998,"CBLO / Reverse Repo Investments")+SUMIFS($G$5:$G$998,$B$5:$B$998,"Net Receivable/Payable")</f>
        <v>4.1000000000000003E-3</v>
      </c>
    </row>
    <row r="11" spans="1:12" ht="12.75" customHeight="1" x14ac:dyDescent="0.2">
      <c r="B11" s="18" t="s">
        <v>83</v>
      </c>
      <c r="C11" s="18"/>
      <c r="D11" s="18"/>
      <c r="E11" s="29"/>
      <c r="F11" s="19">
        <f>SUM(F8:F10)</f>
        <v>246.3427179</v>
      </c>
      <c r="G11" s="20">
        <f>SUM(G8:G10)</f>
        <v>0.99590000000000001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1</v>
      </c>
    </row>
    <row r="13" spans="1:12" ht="12.75" customHeight="1" x14ac:dyDescent="0.2">
      <c r="B13" s="16" t="s">
        <v>91</v>
      </c>
      <c r="C13" s="16"/>
      <c r="F13" s="13">
        <v>1.09114</v>
      </c>
      <c r="G13" s="14">
        <f>+ROUND(F13/VLOOKUP("Grand Total",$B$4:$F$294,5,0),4)</f>
        <v>4.4000000000000003E-3</v>
      </c>
      <c r="H13" s="15">
        <v>43222</v>
      </c>
    </row>
    <row r="14" spans="1:12" ht="12.75" customHeight="1" x14ac:dyDescent="0.2">
      <c r="B14" s="18" t="s">
        <v>83</v>
      </c>
      <c r="C14" s="18"/>
      <c r="D14" s="18"/>
      <c r="E14" s="29"/>
      <c r="F14" s="19">
        <f>SUM(F13)</f>
        <v>1.09114</v>
      </c>
      <c r="G14" s="20">
        <f>SUM(G13)</f>
        <v>4.4000000000000003E-3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92</v>
      </c>
      <c r="C16" s="16"/>
      <c r="F16" s="13"/>
      <c r="G16" s="14"/>
      <c r="H16" s="15"/>
    </row>
    <row r="17" spans="2:12" ht="12.75" customHeight="1" x14ac:dyDescent="0.2">
      <c r="B17" s="16" t="s">
        <v>93</v>
      </c>
      <c r="C17" s="16"/>
      <c r="F17" s="43">
        <v>-9.0347200000024941E-2</v>
      </c>
      <c r="G17" s="122">
        <f>+ROUND(F17/VLOOKUP("Grand Total",$B$4:$F$294,5,0),4)+0.01%</f>
        <v>-3.0000000000000003E-4</v>
      </c>
      <c r="H17" s="15"/>
      <c r="J17" s="14"/>
      <c r="L17" s="54"/>
    </row>
    <row r="18" spans="2:12" ht="12.75" customHeight="1" x14ac:dyDescent="0.2">
      <c r="B18" s="18" t="s">
        <v>83</v>
      </c>
      <c r="C18" s="18"/>
      <c r="D18" s="18"/>
      <c r="E18" s="29"/>
      <c r="F18" s="50">
        <f>SUM(F17:F17)</f>
        <v>-9.0347200000024941E-2</v>
      </c>
      <c r="G18" s="123">
        <f>SUM(G17:G17)</f>
        <v>-3.0000000000000003E-4</v>
      </c>
      <c r="H18" s="21"/>
    </row>
    <row r="19" spans="2:12" ht="12.75" customHeight="1" x14ac:dyDescent="0.2">
      <c r="B19" s="22" t="s">
        <v>94</v>
      </c>
      <c r="C19" s="22"/>
      <c r="D19" s="22"/>
      <c r="E19" s="30"/>
      <c r="F19" s="23">
        <f>+SUMIF($B$5:B18,"Total",$F$5:F18)</f>
        <v>247.34351069999997</v>
      </c>
      <c r="G19" s="24">
        <f>+SUMIF($B$5:B18,"Total",$G$5:G18)</f>
        <v>1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366</v>
      </c>
      <c r="B1" s="128" t="s">
        <v>449</v>
      </c>
      <c r="C1" s="129"/>
      <c r="D1" s="129"/>
      <c r="E1" s="129"/>
      <c r="F1" s="129"/>
      <c r="G1" s="129"/>
      <c r="H1" s="130"/>
    </row>
    <row r="2" spans="1:12" x14ac:dyDescent="0.2">
      <c r="A2" s="96" t="s">
        <v>0</v>
      </c>
      <c r="B2" s="3" t="s">
        <v>650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90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421</v>
      </c>
      <c r="C8" t="s">
        <v>284</v>
      </c>
      <c r="D8" t="s">
        <v>302</v>
      </c>
      <c r="E8" s="28">
        <v>140426.65549999999</v>
      </c>
      <c r="F8" s="13">
        <v>89.325395600000007</v>
      </c>
      <c r="G8" s="14">
        <f>+ROUND(F8/VLOOKUP("Grand Total",$B$4:$F$295,5,0),4)</f>
        <v>0.54420000000000002</v>
      </c>
      <c r="H8" s="15" t="s">
        <v>346</v>
      </c>
      <c r="J8" s="17" t="s">
        <v>586</v>
      </c>
      <c r="K8" s="37" t="s">
        <v>11</v>
      </c>
    </row>
    <row r="9" spans="1:12" ht="12.75" customHeight="1" x14ac:dyDescent="0.2">
      <c r="A9">
        <f>+MAX($A$7:A8)+1</f>
        <v>2</v>
      </c>
      <c r="B9" t="s">
        <v>287</v>
      </c>
      <c r="C9" t="s">
        <v>286</v>
      </c>
      <c r="D9" t="s">
        <v>302</v>
      </c>
      <c r="E9" s="28">
        <v>31396.867999999999</v>
      </c>
      <c r="F9" s="13">
        <v>36.668402100000002</v>
      </c>
      <c r="G9" s="14">
        <f>+ROUND(F9/VLOOKUP("Grand Total",$B$4:$F$295,5,0),4)</f>
        <v>0.22339999999999999</v>
      </c>
      <c r="H9" s="15" t="s">
        <v>346</v>
      </c>
      <c r="J9" s="14" t="s">
        <v>302</v>
      </c>
      <c r="K9" s="48">
        <f>SUMIFS($G$5:$G$321,$D$5:$D$321,J9)</f>
        <v>0.99500000000000011</v>
      </c>
    </row>
    <row r="10" spans="1:12" ht="12.75" customHeight="1" x14ac:dyDescent="0.2">
      <c r="A10">
        <f>+MAX($A$7:A9)+1</f>
        <v>3</v>
      </c>
      <c r="B10" t="s">
        <v>420</v>
      </c>
      <c r="C10" t="s">
        <v>283</v>
      </c>
      <c r="D10" t="s">
        <v>302</v>
      </c>
      <c r="E10" s="28">
        <v>79897.353199999998</v>
      </c>
      <c r="F10" s="13">
        <v>25.2736102</v>
      </c>
      <c r="G10" s="14">
        <f>+ROUND(F10/VLOOKUP("Grand Total",$B$4:$F$295,5,0),4)</f>
        <v>0.154</v>
      </c>
      <c r="H10" s="15" t="s">
        <v>346</v>
      </c>
      <c r="J10" s="14" t="s">
        <v>62</v>
      </c>
      <c r="K10" s="48">
        <f>+SUMIFS($G$5:$G$998,$B$5:$B$998,"CBLO / Reverse Repo Investments")+SUMIFS($G$5:$G$998,$B$5:$B$998,"Net Receivable/Payable")</f>
        <v>5.0000000000000001E-3</v>
      </c>
    </row>
    <row r="11" spans="1:12" ht="12.75" customHeight="1" x14ac:dyDescent="0.2">
      <c r="A11">
        <f>+MAX($A$7:A10)+1</f>
        <v>4</v>
      </c>
      <c r="B11" t="s">
        <v>314</v>
      </c>
      <c r="C11" t="s">
        <v>285</v>
      </c>
      <c r="D11" t="s">
        <v>302</v>
      </c>
      <c r="E11" s="28">
        <v>419.59899999999999</v>
      </c>
      <c r="F11" s="13">
        <v>12.044239399999999</v>
      </c>
      <c r="G11" s="14">
        <f>+ROUND(F11/VLOOKUP("Grand Total",$B$4:$F$295,5,0),4)</f>
        <v>7.3400000000000007E-2</v>
      </c>
      <c r="H11" s="15" t="s">
        <v>346</v>
      </c>
      <c r="J11" s="14"/>
    </row>
    <row r="12" spans="1:12" ht="12.75" customHeight="1" x14ac:dyDescent="0.2">
      <c r="B12" s="18" t="s">
        <v>83</v>
      </c>
      <c r="C12" s="18"/>
      <c r="D12" s="18"/>
      <c r="E12" s="29"/>
      <c r="F12" s="19">
        <f>SUM(F8:F11)</f>
        <v>163.31164730000003</v>
      </c>
      <c r="G12" s="20">
        <f>SUM(G8:G11)</f>
        <v>0.99500000000000011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5.0000000000000001E-3</v>
      </c>
    </row>
    <row r="14" spans="1:12" ht="12.75" customHeight="1" x14ac:dyDescent="0.2">
      <c r="A14" s="95" t="s">
        <v>345</v>
      </c>
      <c r="B14" s="16" t="s">
        <v>91</v>
      </c>
      <c r="C14" s="16"/>
      <c r="F14" s="13">
        <v>0.89275369999999998</v>
      </c>
      <c r="G14" s="14">
        <f>+ROUND(F14/VLOOKUP("Grand Total",$B$4:$F$288,5,0),4)</f>
        <v>5.4000000000000003E-3</v>
      </c>
      <c r="H14" s="15">
        <v>43222</v>
      </c>
    </row>
    <row r="15" spans="1:12" ht="12.75" customHeight="1" x14ac:dyDescent="0.2">
      <c r="B15" s="18" t="s">
        <v>83</v>
      </c>
      <c r="C15" s="18"/>
      <c r="D15" s="18"/>
      <c r="E15" s="29"/>
      <c r="F15" s="19">
        <f>SUM(F14:F14)</f>
        <v>0.89275369999999998</v>
      </c>
      <c r="G15" s="20">
        <f>SUM(G14:G14)</f>
        <v>5.4000000000000003E-3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92</v>
      </c>
      <c r="C17" s="16"/>
      <c r="F17" s="13"/>
      <c r="G17" s="14"/>
      <c r="H17" s="15"/>
    </row>
    <row r="18" spans="2:9" ht="12.75" customHeight="1" x14ac:dyDescent="0.2">
      <c r="B18" s="16" t="s">
        <v>93</v>
      </c>
      <c r="C18" s="16"/>
      <c r="F18" s="13">
        <v>-6.4626000000032491E-2</v>
      </c>
      <c r="G18" s="122">
        <f>+ROUND(F18/VLOOKUP("Grand Total",$B$4:$F$295,5,0),4)</f>
        <v>-4.0000000000000002E-4</v>
      </c>
      <c r="H18" s="15"/>
    </row>
    <row r="19" spans="2:9" ht="12.75" customHeight="1" x14ac:dyDescent="0.2">
      <c r="B19" s="18" t="s">
        <v>83</v>
      </c>
      <c r="C19" s="18"/>
      <c r="D19" s="18"/>
      <c r="E19" s="29"/>
      <c r="F19" s="19">
        <f>SUM(F18:F18)</f>
        <v>-6.4626000000032491E-2</v>
      </c>
      <c r="G19" s="123">
        <f>SUM(G18:G18)</f>
        <v>-4.0000000000000002E-4</v>
      </c>
      <c r="H19" s="21"/>
      <c r="I19" s="35"/>
    </row>
    <row r="20" spans="2:9" ht="12.75" customHeight="1" x14ac:dyDescent="0.2">
      <c r="B20" s="22" t="s">
        <v>94</v>
      </c>
      <c r="C20" s="22"/>
      <c r="D20" s="22"/>
      <c r="E20" s="30"/>
      <c r="F20" s="23">
        <f>+SUMIF($B$5:B19,"Total",$F$5:F19)</f>
        <v>164.13977499999999</v>
      </c>
      <c r="G20" s="24">
        <f>+SUMIF($B$5:B19,"Total",$G$5:G19)</f>
        <v>1.0000000000000002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3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5703125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367</v>
      </c>
      <c r="B1" s="128" t="s">
        <v>309</v>
      </c>
      <c r="C1" s="129"/>
      <c r="D1" s="129"/>
      <c r="E1" s="129"/>
      <c r="F1" s="129"/>
      <c r="G1" s="129"/>
      <c r="H1" s="66"/>
      <c r="I1" s="66"/>
    </row>
    <row r="2" spans="1:13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126" t="s">
        <v>739</v>
      </c>
      <c r="I4" s="32" t="s">
        <v>6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8</v>
      </c>
      <c r="C7" s="16"/>
      <c r="F7" s="13"/>
      <c r="G7" s="14"/>
      <c r="H7" s="14"/>
      <c r="I7" s="15"/>
      <c r="K7" s="17" t="s">
        <v>586</v>
      </c>
      <c r="L7" s="37" t="s">
        <v>11</v>
      </c>
    </row>
    <row r="8" spans="1:13" ht="12.75" customHeight="1" x14ac:dyDescent="0.2">
      <c r="B8" s="16" t="s">
        <v>600</v>
      </c>
      <c r="C8" s="16"/>
      <c r="F8" s="13"/>
      <c r="G8" s="14"/>
      <c r="H8" s="14"/>
      <c r="I8" s="15"/>
      <c r="K8" s="106" t="s">
        <v>22</v>
      </c>
      <c r="L8" s="103">
        <f t="shared" ref="L8:L24" si="0">SUMIFS($G$5:$G$338,$D$5:$D$338,K8)</f>
        <v>0.18470000000000003</v>
      </c>
    </row>
    <row r="9" spans="1:13" s="77" customFormat="1" ht="12.75" customHeight="1" x14ac:dyDescent="0.2">
      <c r="A9" s="77">
        <f>+MAX($A$7:A8)+1</f>
        <v>1</v>
      </c>
      <c r="B9" s="77" t="s">
        <v>229</v>
      </c>
      <c r="C9" s="77" t="s">
        <v>102</v>
      </c>
      <c r="D9" s="77" t="s">
        <v>21</v>
      </c>
      <c r="E9" s="74">
        <v>10800</v>
      </c>
      <c r="F9" s="80">
        <v>87.647400000000005</v>
      </c>
      <c r="G9" s="76">
        <f>+ROUND(F9/VLOOKUP("Grand Total",$B$4:$F$238,5,0),4)</f>
        <v>8.0600000000000005E-2</v>
      </c>
      <c r="H9" s="76"/>
      <c r="I9" s="104"/>
      <c r="J9" s="105"/>
      <c r="K9" s="106" t="s">
        <v>21</v>
      </c>
      <c r="L9" s="48">
        <f t="shared" si="0"/>
        <v>0.1338</v>
      </c>
      <c r="M9" s="75"/>
    </row>
    <row r="10" spans="1:13" s="77" customFormat="1" ht="12.75" customHeight="1" x14ac:dyDescent="0.2">
      <c r="A10" s="77">
        <f>+A9+1</f>
        <v>2</v>
      </c>
      <c r="B10" s="77" t="s">
        <v>229</v>
      </c>
      <c r="C10" s="121" t="s">
        <v>695</v>
      </c>
      <c r="D10" s="77" t="s">
        <v>305</v>
      </c>
      <c r="E10" s="74">
        <v>-10800</v>
      </c>
      <c r="F10" s="80">
        <v>-88.279200000000003</v>
      </c>
      <c r="G10" s="76"/>
      <c r="H10" s="76">
        <f>+ROUND(F10/VLOOKUP("Grand Total",$B$4:$F$238,5,0),4)</f>
        <v>-8.1100000000000005E-2</v>
      </c>
      <c r="I10" s="104">
        <v>43251</v>
      </c>
      <c r="J10" s="105"/>
      <c r="K10" s="106" t="s">
        <v>302</v>
      </c>
      <c r="L10" s="103">
        <f t="shared" si="0"/>
        <v>0.1011</v>
      </c>
      <c r="M10" s="75"/>
    </row>
    <row r="11" spans="1:13" s="77" customFormat="1" ht="12.75" customHeight="1" x14ac:dyDescent="0.2">
      <c r="A11" s="77">
        <f t="shared" ref="A11:A44" si="1">+A10+1</f>
        <v>3</v>
      </c>
      <c r="B11" s="77" t="s">
        <v>691</v>
      </c>
      <c r="C11" s="77" t="s">
        <v>692</v>
      </c>
      <c r="D11" s="77" t="s">
        <v>22</v>
      </c>
      <c r="E11" s="74">
        <v>9000</v>
      </c>
      <c r="F11" s="80">
        <v>70.114500000000007</v>
      </c>
      <c r="G11" s="76">
        <f>+ROUND(F11/VLOOKUP("Grand Total",$B$4:$F$238,5,0),4)</f>
        <v>6.4399999999999999E-2</v>
      </c>
      <c r="H11" s="76"/>
      <c r="I11" s="104"/>
      <c r="J11" s="105"/>
      <c r="K11" s="106" t="s">
        <v>274</v>
      </c>
      <c r="L11" s="103">
        <f t="shared" si="0"/>
        <v>7.3300000000000004E-2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691</v>
      </c>
      <c r="C12" s="121" t="s">
        <v>695</v>
      </c>
      <c r="D12" s="77" t="s">
        <v>305</v>
      </c>
      <c r="E12" s="74">
        <v>-9000</v>
      </c>
      <c r="F12" s="80">
        <v>-70.433999999999997</v>
      </c>
      <c r="G12" s="76"/>
      <c r="H12" s="76">
        <f>+ROUND(F12/VLOOKUP("Grand Total",$B$4:$F$238,5,0),4)</f>
        <v>-6.4699999999999994E-2</v>
      </c>
      <c r="I12" s="104">
        <v>43251</v>
      </c>
      <c r="J12" s="105"/>
      <c r="K12" s="106" t="s">
        <v>32</v>
      </c>
      <c r="L12" s="103">
        <f t="shared" si="0"/>
        <v>6.4000000000000001E-2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315</v>
      </c>
      <c r="C13" s="77" t="s">
        <v>316</v>
      </c>
      <c r="D13" s="77" t="s">
        <v>22</v>
      </c>
      <c r="E13" s="74">
        <v>118800</v>
      </c>
      <c r="F13" s="80">
        <v>69.735600000000005</v>
      </c>
      <c r="G13" s="76">
        <f>+ROUND(F13/VLOOKUP("Grand Total",$B$4:$F$238,5,0),4)</f>
        <v>6.4100000000000004E-2</v>
      </c>
      <c r="H13" s="76"/>
      <c r="I13" s="104"/>
      <c r="J13" s="105"/>
      <c r="K13" s="106" t="s">
        <v>513</v>
      </c>
      <c r="L13" s="103">
        <f t="shared" si="0"/>
        <v>6.3899999999999998E-2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315</v>
      </c>
      <c r="C14" s="121" t="s">
        <v>695</v>
      </c>
      <c r="D14" s="77" t="s">
        <v>305</v>
      </c>
      <c r="E14" s="74">
        <v>-118800</v>
      </c>
      <c r="F14" s="80">
        <v>-70.091999999999999</v>
      </c>
      <c r="G14" s="76"/>
      <c r="H14" s="76">
        <f>+ROUND(F14/VLOOKUP("Grand Total",$B$4:$F$238,5,0),4)</f>
        <v>-6.4399999999999999E-2</v>
      </c>
      <c r="I14" s="104">
        <v>43251</v>
      </c>
      <c r="J14" s="105"/>
      <c r="K14" s="106" t="s">
        <v>17</v>
      </c>
      <c r="L14" s="103">
        <f t="shared" si="0"/>
        <v>4.7300000000000002E-2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208</v>
      </c>
      <c r="C15" s="77" t="s">
        <v>63</v>
      </c>
      <c r="D15" s="77" t="s">
        <v>32</v>
      </c>
      <c r="E15" s="74">
        <v>17000</v>
      </c>
      <c r="F15" s="80">
        <v>69.623500000000007</v>
      </c>
      <c r="G15" s="76">
        <f>+ROUND(F15/VLOOKUP("Grand Total",$B$4:$F$238,5,0),4)</f>
        <v>6.4000000000000001E-2</v>
      </c>
      <c r="H15" s="76"/>
      <c r="I15" s="104"/>
      <c r="J15" s="105"/>
      <c r="K15" s="106" t="s">
        <v>9</v>
      </c>
      <c r="L15" s="103">
        <f t="shared" si="0"/>
        <v>4.6600000000000003E-2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208</v>
      </c>
      <c r="C16" s="121" t="s">
        <v>695</v>
      </c>
      <c r="D16" s="77" t="s">
        <v>305</v>
      </c>
      <c r="E16" s="74">
        <v>-17000</v>
      </c>
      <c r="F16" s="80">
        <v>-69.929500000000004</v>
      </c>
      <c r="G16" s="76"/>
      <c r="H16" s="76">
        <f>+ROUND(F16/VLOOKUP("Grand Total",$B$4:$F$238,5,0),4)</f>
        <v>-6.4299999999999996E-2</v>
      </c>
      <c r="I16" s="104">
        <v>43251</v>
      </c>
      <c r="J16" s="105"/>
      <c r="K16" s="106" t="s">
        <v>30</v>
      </c>
      <c r="L16" s="103">
        <f t="shared" si="0"/>
        <v>4.53E-2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294</v>
      </c>
      <c r="C17" s="77" t="s">
        <v>65</v>
      </c>
      <c r="D17" s="77" t="s">
        <v>17</v>
      </c>
      <c r="E17" s="74">
        <v>35000</v>
      </c>
      <c r="F17" s="80">
        <v>51.467500000000001</v>
      </c>
      <c r="G17" s="76">
        <f>+ROUND(F17/VLOOKUP("Grand Total",$B$4:$F$238,5,0),4)</f>
        <v>4.7300000000000002E-2</v>
      </c>
      <c r="H17" s="76"/>
      <c r="I17" s="104"/>
      <c r="J17" s="105"/>
      <c r="K17" s="106" t="s">
        <v>34</v>
      </c>
      <c r="L17" s="103">
        <f t="shared" si="0"/>
        <v>4.2900000000000001E-2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294</v>
      </c>
      <c r="C18" s="121" t="s">
        <v>695</v>
      </c>
      <c r="D18" s="77" t="s">
        <v>305</v>
      </c>
      <c r="E18" s="74">
        <v>-35000</v>
      </c>
      <c r="F18" s="80">
        <v>-51.87</v>
      </c>
      <c r="G18" s="76"/>
      <c r="H18" s="76">
        <f>+ROUND(F18/VLOOKUP("Grand Total",$B$4:$F$238,5,0),4)</f>
        <v>-4.7699999999999999E-2</v>
      </c>
      <c r="I18" s="104">
        <v>43251</v>
      </c>
      <c r="J18" s="105"/>
      <c r="K18" s="106" t="s">
        <v>104</v>
      </c>
      <c r="L18" s="103">
        <f t="shared" si="0"/>
        <v>4.2799999999999998E-2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238</v>
      </c>
      <c r="C19" s="77" t="s">
        <v>495</v>
      </c>
      <c r="D19" s="77" t="s">
        <v>9</v>
      </c>
      <c r="E19" s="74">
        <v>14000</v>
      </c>
      <c r="F19" s="80">
        <v>50.68</v>
      </c>
      <c r="G19" s="76">
        <f>+ROUND(F19/VLOOKUP("Grand Total",$B$4:$F$238,5,0),4)</f>
        <v>4.6600000000000003E-2</v>
      </c>
      <c r="H19" s="76"/>
      <c r="I19" s="104"/>
      <c r="J19" s="105"/>
      <c r="K19" s="106" t="s">
        <v>520</v>
      </c>
      <c r="L19" s="103">
        <f t="shared" si="0"/>
        <v>3.5700000000000003E-2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238</v>
      </c>
      <c r="C20" s="121" t="s">
        <v>695</v>
      </c>
      <c r="D20" s="77" t="s">
        <v>305</v>
      </c>
      <c r="E20" s="74">
        <v>-14000</v>
      </c>
      <c r="F20" s="80">
        <v>-50.911000000000001</v>
      </c>
      <c r="G20" s="76"/>
      <c r="H20" s="76">
        <f>+ROUND(F20/VLOOKUP("Grand Total",$B$4:$F$238,5,0),4)</f>
        <v>-4.6800000000000001E-2</v>
      </c>
      <c r="I20" s="104">
        <v>43279</v>
      </c>
      <c r="J20" s="105"/>
      <c r="K20" s="106" t="s">
        <v>35</v>
      </c>
      <c r="L20" s="103">
        <f t="shared" si="0"/>
        <v>2.8400000000000002E-2</v>
      </c>
      <c r="M20" s="75"/>
    </row>
    <row r="21" spans="1:13" s="77" customFormat="1" ht="12.75" customHeight="1" x14ac:dyDescent="0.2">
      <c r="A21" s="77">
        <f t="shared" si="1"/>
        <v>13</v>
      </c>
      <c r="B21" s="77" t="s">
        <v>212</v>
      </c>
      <c r="C21" s="77" t="s">
        <v>71</v>
      </c>
      <c r="D21" s="77" t="s">
        <v>30</v>
      </c>
      <c r="E21" s="74">
        <v>17500</v>
      </c>
      <c r="F21" s="80">
        <v>49.28875</v>
      </c>
      <c r="G21" s="76">
        <f>+ROUND(F21/VLOOKUP("Grand Total",$B$4:$F$238,5,0),4)</f>
        <v>4.53E-2</v>
      </c>
      <c r="H21" s="76"/>
      <c r="I21" s="104"/>
      <c r="J21" s="105"/>
      <c r="K21" s="106" t="s">
        <v>45</v>
      </c>
      <c r="L21" s="103">
        <f t="shared" si="0"/>
        <v>1.2500000000000001E-2</v>
      </c>
      <c r="M21" s="75"/>
    </row>
    <row r="22" spans="1:13" s="77" customFormat="1" ht="12.75" customHeight="1" x14ac:dyDescent="0.2">
      <c r="A22" s="77">
        <f t="shared" si="1"/>
        <v>14</v>
      </c>
      <c r="B22" s="77" t="s">
        <v>212</v>
      </c>
      <c r="C22" s="121" t="s">
        <v>695</v>
      </c>
      <c r="D22" s="77" t="s">
        <v>305</v>
      </c>
      <c r="E22" s="74">
        <v>-17500</v>
      </c>
      <c r="F22" s="80">
        <v>-49.647500000000001</v>
      </c>
      <c r="G22" s="76"/>
      <c r="H22" s="76">
        <f>+ROUND(F22/VLOOKUP("Grand Total",$B$4:$F$238,5,0),4)</f>
        <v>-4.5600000000000002E-2</v>
      </c>
      <c r="I22" s="104">
        <v>43251</v>
      </c>
      <c r="J22" s="105"/>
      <c r="K22" s="106" t="s">
        <v>100</v>
      </c>
      <c r="L22" s="103">
        <f t="shared" si="0"/>
        <v>0.01</v>
      </c>
      <c r="M22" s="75"/>
    </row>
    <row r="23" spans="1:13" s="77" customFormat="1" ht="12.75" customHeight="1" x14ac:dyDescent="0.2">
      <c r="A23" s="77">
        <f t="shared" si="1"/>
        <v>15</v>
      </c>
      <c r="B23" s="77" t="s">
        <v>196</v>
      </c>
      <c r="C23" s="77" t="s">
        <v>42</v>
      </c>
      <c r="D23" s="77" t="s">
        <v>22</v>
      </c>
      <c r="E23" s="74">
        <v>7500</v>
      </c>
      <c r="F23" s="80">
        <v>48.075000000000003</v>
      </c>
      <c r="G23" s="76">
        <f>+ROUND(F23/VLOOKUP("Grand Total",$B$4:$F$238,5,0),4)</f>
        <v>4.4200000000000003E-2</v>
      </c>
      <c r="H23" s="76"/>
      <c r="I23" s="104"/>
      <c r="J23" s="105"/>
      <c r="K23" s="106" t="s">
        <v>28</v>
      </c>
      <c r="L23" s="103">
        <f t="shared" si="0"/>
        <v>8.8999999999999999E-3</v>
      </c>
      <c r="M23" s="75"/>
    </row>
    <row r="24" spans="1:13" s="77" customFormat="1" ht="12.75" customHeight="1" x14ac:dyDescent="0.2">
      <c r="A24" s="77">
        <f t="shared" si="1"/>
        <v>16</v>
      </c>
      <c r="B24" s="77" t="s">
        <v>196</v>
      </c>
      <c r="C24" s="121" t="s">
        <v>695</v>
      </c>
      <c r="D24" s="77" t="s">
        <v>305</v>
      </c>
      <c r="E24" s="74">
        <v>-7500</v>
      </c>
      <c r="F24" s="80">
        <v>-48.375</v>
      </c>
      <c r="G24" s="76"/>
      <c r="H24" s="76">
        <f>+ROUND(F24/VLOOKUP("Grand Total",$B$4:$F$238,5,0),4)</f>
        <v>-4.4499999999999998E-2</v>
      </c>
      <c r="I24" s="104">
        <v>43251</v>
      </c>
      <c r="J24" s="105"/>
      <c r="K24" s="106" t="s">
        <v>103</v>
      </c>
      <c r="L24" s="103">
        <f t="shared" si="0"/>
        <v>8.8000000000000005E-3</v>
      </c>
      <c r="M24" s="75"/>
    </row>
    <row r="25" spans="1:13" s="77" customFormat="1" ht="12.75" customHeight="1" x14ac:dyDescent="0.2">
      <c r="A25" s="77">
        <f t="shared" si="1"/>
        <v>17</v>
      </c>
      <c r="B25" s="77" t="s">
        <v>578</v>
      </c>
      <c r="C25" s="77" t="s">
        <v>579</v>
      </c>
      <c r="D25" s="77" t="s">
        <v>34</v>
      </c>
      <c r="E25" s="74">
        <v>4400</v>
      </c>
      <c r="F25" s="80">
        <v>46.651000000000003</v>
      </c>
      <c r="G25" s="76">
        <f>+ROUND(F25/VLOOKUP("Grand Total",$B$4:$F$238,5,0),4)</f>
        <v>4.2900000000000001E-2</v>
      </c>
      <c r="H25" s="76"/>
      <c r="I25" s="104"/>
      <c r="J25" s="105"/>
      <c r="K25" s="14" t="s">
        <v>62</v>
      </c>
      <c r="L25" s="48">
        <f>+SUMIFS($G$5:$G$998,$B$5:$B$998,"CBLO / Reverse Repo Investments")+SUMIFS($G$5:$G$998,$B$5:$B$998,"Net Receivable/Payable")</f>
        <v>0.05</v>
      </c>
      <c r="M25" s="75"/>
    </row>
    <row r="26" spans="1:13" s="77" customFormat="1" ht="12.75" customHeight="1" x14ac:dyDescent="0.2">
      <c r="A26" s="77">
        <f t="shared" si="1"/>
        <v>18</v>
      </c>
      <c r="B26" s="77" t="s">
        <v>578</v>
      </c>
      <c r="C26" s="121" t="s">
        <v>695</v>
      </c>
      <c r="D26" s="77" t="s">
        <v>305</v>
      </c>
      <c r="E26" s="74">
        <v>-4400</v>
      </c>
      <c r="F26" s="80">
        <v>-46.888599999999997</v>
      </c>
      <c r="G26" s="76"/>
      <c r="H26" s="76">
        <f>+ROUND(F26/VLOOKUP("Grand Total",$B$4:$F$238,5,0),4)</f>
        <v>-4.3099999999999999E-2</v>
      </c>
      <c r="I26" s="104">
        <v>43251</v>
      </c>
      <c r="J26" s="105"/>
      <c r="K26" s="14"/>
      <c r="L26" s="48"/>
      <c r="M26" s="75"/>
    </row>
    <row r="27" spans="1:13" s="77" customFormat="1" ht="12.75" customHeight="1" x14ac:dyDescent="0.2">
      <c r="A27" s="77">
        <f t="shared" si="1"/>
        <v>19</v>
      </c>
      <c r="B27" s="77" t="s">
        <v>529</v>
      </c>
      <c r="C27" s="77" t="s">
        <v>530</v>
      </c>
      <c r="D27" s="77" t="s">
        <v>104</v>
      </c>
      <c r="E27" s="74">
        <v>60000</v>
      </c>
      <c r="F27" s="80">
        <v>46.59</v>
      </c>
      <c r="G27" s="76">
        <f>+ROUND(F27/VLOOKUP("Grand Total",$B$4:$F$238,5,0),4)</f>
        <v>4.2799999999999998E-2</v>
      </c>
      <c r="H27" s="76"/>
      <c r="I27" s="104"/>
      <c r="J27" s="105"/>
      <c r="K27" s="106"/>
      <c r="L27" s="103"/>
      <c r="M27" s="75"/>
    </row>
    <row r="28" spans="1:13" s="77" customFormat="1" ht="12.75" customHeight="1" x14ac:dyDescent="0.2">
      <c r="A28" s="77">
        <f t="shared" si="1"/>
        <v>20</v>
      </c>
      <c r="B28" s="77" t="s">
        <v>529</v>
      </c>
      <c r="C28" s="121" t="s">
        <v>695</v>
      </c>
      <c r="D28" s="77" t="s">
        <v>305</v>
      </c>
      <c r="E28" s="74">
        <v>-60000</v>
      </c>
      <c r="F28" s="80">
        <v>-46.95</v>
      </c>
      <c r="G28" s="76"/>
      <c r="H28" s="76">
        <f>+ROUND(F28/VLOOKUP("Grand Total",$B$4:$F$238,5,0),4)</f>
        <v>-4.3200000000000002E-2</v>
      </c>
      <c r="I28" s="104">
        <v>43251</v>
      </c>
      <c r="J28" s="105"/>
      <c r="K28" s="106"/>
      <c r="L28" s="103"/>
      <c r="M28" s="75"/>
    </row>
    <row r="29" spans="1:13" s="77" customFormat="1" ht="12.75" customHeight="1" x14ac:dyDescent="0.2">
      <c r="A29" s="77">
        <f t="shared" si="1"/>
        <v>21</v>
      </c>
      <c r="B29" s="77" t="s">
        <v>209</v>
      </c>
      <c r="C29" s="77" t="s">
        <v>59</v>
      </c>
      <c r="D29" s="77" t="s">
        <v>21</v>
      </c>
      <c r="E29" s="74">
        <v>7200</v>
      </c>
      <c r="F29" s="80">
        <v>46.223999999999997</v>
      </c>
      <c r="G29" s="76">
        <f>+ROUND(F29/VLOOKUP("Grand Total",$B$4:$F$238,5,0),4)</f>
        <v>4.2500000000000003E-2</v>
      </c>
      <c r="H29" s="76"/>
      <c r="I29" s="104"/>
      <c r="J29" s="105"/>
      <c r="K29" s="106"/>
      <c r="L29" s="103"/>
      <c r="M29" s="75"/>
    </row>
    <row r="30" spans="1:13" s="77" customFormat="1" ht="12.75" customHeight="1" x14ac:dyDescent="0.2">
      <c r="A30" s="77">
        <f t="shared" si="1"/>
        <v>22</v>
      </c>
      <c r="B30" s="77" t="s">
        <v>209</v>
      </c>
      <c r="C30" s="121" t="s">
        <v>695</v>
      </c>
      <c r="D30" s="77" t="s">
        <v>305</v>
      </c>
      <c r="E30" s="74">
        <v>-7200</v>
      </c>
      <c r="F30" s="80">
        <v>-46.443600000000004</v>
      </c>
      <c r="G30" s="76"/>
      <c r="H30" s="76">
        <f>+ROUND(F30/VLOOKUP("Grand Total",$B$4:$F$238,5,0),4)</f>
        <v>-4.2700000000000002E-2</v>
      </c>
      <c r="I30" s="104">
        <v>43251</v>
      </c>
      <c r="J30" s="105"/>
      <c r="K30" s="106"/>
      <c r="L30" s="103"/>
      <c r="M30" s="75"/>
    </row>
    <row r="31" spans="1:13" s="77" customFormat="1" ht="12.75" customHeight="1" x14ac:dyDescent="0.2">
      <c r="A31" s="77">
        <f t="shared" si="1"/>
        <v>23</v>
      </c>
      <c r="B31" s="77" t="s">
        <v>215</v>
      </c>
      <c r="C31" s="77" t="s">
        <v>216</v>
      </c>
      <c r="D31" s="77" t="s">
        <v>35</v>
      </c>
      <c r="E31" s="74">
        <v>4800</v>
      </c>
      <c r="F31" s="80">
        <v>30.876000000000001</v>
      </c>
      <c r="G31" s="76">
        <f>+ROUND(F31/VLOOKUP("Grand Total",$B$4:$F$238,5,0),4)</f>
        <v>2.8400000000000002E-2</v>
      </c>
      <c r="H31" s="76"/>
      <c r="I31" s="104"/>
      <c r="J31" s="105"/>
      <c r="K31" s="106"/>
      <c r="L31" s="103"/>
      <c r="M31" s="75"/>
    </row>
    <row r="32" spans="1:13" s="77" customFormat="1" ht="12.75" customHeight="1" x14ac:dyDescent="0.2">
      <c r="A32" s="77">
        <f t="shared" si="1"/>
        <v>24</v>
      </c>
      <c r="B32" s="77" t="s">
        <v>215</v>
      </c>
      <c r="C32" s="121" t="s">
        <v>695</v>
      </c>
      <c r="D32" s="77" t="s">
        <v>305</v>
      </c>
      <c r="E32" s="74">
        <v>-4800</v>
      </c>
      <c r="F32" s="80">
        <v>-30.995999999999999</v>
      </c>
      <c r="G32" s="76"/>
      <c r="H32" s="76">
        <f>+ROUND(F32/VLOOKUP("Grand Total",$B$4:$F$238,5,0),4)</f>
        <v>-2.8500000000000001E-2</v>
      </c>
      <c r="I32" s="104">
        <v>43251</v>
      </c>
      <c r="J32" s="105"/>
      <c r="K32" s="106"/>
      <c r="L32" s="103"/>
      <c r="M32" s="75"/>
    </row>
    <row r="33" spans="1:13" s="77" customFormat="1" ht="12.75" customHeight="1" x14ac:dyDescent="0.2">
      <c r="A33" s="77">
        <f t="shared" si="1"/>
        <v>25</v>
      </c>
      <c r="B33" s="77" t="s">
        <v>270</v>
      </c>
      <c r="C33" s="77" t="s">
        <v>172</v>
      </c>
      <c r="D33" s="77" t="s">
        <v>45</v>
      </c>
      <c r="E33" s="74">
        <v>6000</v>
      </c>
      <c r="F33" s="80">
        <v>13.608000000000001</v>
      </c>
      <c r="G33" s="76">
        <f>+ROUND(F33/VLOOKUP("Grand Total",$B$4:$F$238,5,0),4)</f>
        <v>1.2500000000000001E-2</v>
      </c>
      <c r="H33" s="76"/>
      <c r="I33" s="104"/>
      <c r="J33" s="105"/>
      <c r="K33" s="106"/>
      <c r="L33" s="103"/>
      <c r="M33" s="75"/>
    </row>
    <row r="34" spans="1:13" s="77" customFormat="1" ht="12.75" customHeight="1" x14ac:dyDescent="0.2">
      <c r="A34" s="77">
        <f t="shared" si="1"/>
        <v>26</v>
      </c>
      <c r="B34" s="77" t="s">
        <v>270</v>
      </c>
      <c r="C34" s="121" t="s">
        <v>695</v>
      </c>
      <c r="D34" s="77" t="s">
        <v>305</v>
      </c>
      <c r="E34" s="74">
        <v>-6000</v>
      </c>
      <c r="F34" s="80">
        <v>-13.698</v>
      </c>
      <c r="G34" s="76"/>
      <c r="H34" s="76">
        <f>+ROUND(F34/VLOOKUP("Grand Total",$B$4:$F$238,5,0),4)</f>
        <v>-1.26E-2</v>
      </c>
      <c r="I34" s="104">
        <v>43251</v>
      </c>
      <c r="J34" s="105"/>
      <c r="K34" s="106"/>
      <c r="L34" s="103"/>
      <c r="M34" s="75"/>
    </row>
    <row r="35" spans="1:13" s="77" customFormat="1" ht="12.75" customHeight="1" x14ac:dyDescent="0.2">
      <c r="A35" s="77">
        <f t="shared" si="1"/>
        <v>27</v>
      </c>
      <c r="B35" s="77" t="s">
        <v>558</v>
      </c>
      <c r="C35" s="77" t="s">
        <v>559</v>
      </c>
      <c r="D35" s="77" t="s">
        <v>22</v>
      </c>
      <c r="E35" s="74">
        <v>3000</v>
      </c>
      <c r="F35" s="80">
        <v>13.060499999999999</v>
      </c>
      <c r="G35" s="76">
        <f>+ROUND(F35/VLOOKUP("Grand Total",$B$4:$F$238,5,0),4)</f>
        <v>1.2E-2</v>
      </c>
      <c r="H35" s="76"/>
      <c r="I35" s="104"/>
      <c r="J35" s="105"/>
      <c r="K35" s="106"/>
      <c r="L35" s="103"/>
      <c r="M35" s="75"/>
    </row>
    <row r="36" spans="1:13" s="77" customFormat="1" ht="12.75" customHeight="1" x14ac:dyDescent="0.2">
      <c r="A36" s="77">
        <f t="shared" si="1"/>
        <v>28</v>
      </c>
      <c r="B36" s="77" t="s">
        <v>558</v>
      </c>
      <c r="C36" s="121" t="s">
        <v>695</v>
      </c>
      <c r="D36" s="77" t="s">
        <v>305</v>
      </c>
      <c r="E36" s="74">
        <v>-3000</v>
      </c>
      <c r="F36" s="80">
        <v>-13.144500000000001</v>
      </c>
      <c r="G36" s="76"/>
      <c r="H36" s="76">
        <f>+ROUND(F36/VLOOKUP("Grand Total",$B$4:$F$238,5,0),4)</f>
        <v>-1.21E-2</v>
      </c>
      <c r="I36" s="104">
        <v>43251</v>
      </c>
      <c r="J36" s="105"/>
      <c r="K36" s="106"/>
      <c r="L36" s="103"/>
      <c r="M36" s="75"/>
    </row>
    <row r="37" spans="1:13" s="77" customFormat="1" ht="12.75" customHeight="1" x14ac:dyDescent="0.2">
      <c r="A37" s="77">
        <f t="shared" si="1"/>
        <v>29</v>
      </c>
      <c r="B37" s="77" t="s">
        <v>398</v>
      </c>
      <c r="C37" s="77" t="s">
        <v>66</v>
      </c>
      <c r="D37" s="77" t="s">
        <v>21</v>
      </c>
      <c r="E37" s="74">
        <v>2200</v>
      </c>
      <c r="F37" s="80">
        <v>11.6248</v>
      </c>
      <c r="G37" s="76">
        <f>+ROUND(F37/VLOOKUP("Grand Total",$B$4:$F$238,5,0),4)</f>
        <v>1.0699999999999999E-2</v>
      </c>
      <c r="H37" s="76"/>
      <c r="I37" s="104"/>
      <c r="J37" s="105"/>
      <c r="K37" s="106"/>
      <c r="L37" s="103"/>
      <c r="M37" s="75"/>
    </row>
    <row r="38" spans="1:13" s="77" customFormat="1" ht="12.75" customHeight="1" x14ac:dyDescent="0.2">
      <c r="A38" s="77">
        <f t="shared" si="1"/>
        <v>30</v>
      </c>
      <c r="B38" s="77" t="s">
        <v>398</v>
      </c>
      <c r="C38" s="121" t="s">
        <v>695</v>
      </c>
      <c r="D38" s="77" t="s">
        <v>305</v>
      </c>
      <c r="E38" s="74">
        <v>-2200</v>
      </c>
      <c r="F38" s="80">
        <v>-11.6974</v>
      </c>
      <c r="G38" s="76"/>
      <c r="H38" s="76">
        <f>+ROUND(F38/VLOOKUP("Grand Total",$B$4:$F$238,5,0),4)</f>
        <v>-1.0800000000000001E-2</v>
      </c>
      <c r="I38" s="104">
        <v>43251</v>
      </c>
      <c r="J38" s="105"/>
      <c r="K38" s="106"/>
      <c r="L38" s="103"/>
      <c r="M38" s="75"/>
    </row>
    <row r="39" spans="1:13" s="77" customFormat="1" ht="12.75" customHeight="1" x14ac:dyDescent="0.2">
      <c r="A39" s="77">
        <f t="shared" si="1"/>
        <v>31</v>
      </c>
      <c r="B39" s="77" t="s">
        <v>693</v>
      </c>
      <c r="C39" s="77" t="s">
        <v>694</v>
      </c>
      <c r="D39" s="77" t="s">
        <v>100</v>
      </c>
      <c r="E39" s="74">
        <v>17000</v>
      </c>
      <c r="F39" s="80">
        <v>10.8545</v>
      </c>
      <c r="G39" s="76">
        <f>+ROUND(F39/VLOOKUP("Grand Total",$B$4:$F$238,5,0),4)</f>
        <v>0.01</v>
      </c>
      <c r="H39" s="76"/>
      <c r="I39" s="104"/>
      <c r="J39" s="105"/>
      <c r="K39" s="106"/>
      <c r="L39" s="103"/>
      <c r="M39" s="75"/>
    </row>
    <row r="40" spans="1:13" s="77" customFormat="1" ht="12.75" customHeight="1" x14ac:dyDescent="0.2">
      <c r="A40" s="77">
        <f t="shared" si="1"/>
        <v>32</v>
      </c>
      <c r="B40" s="77" t="s">
        <v>693</v>
      </c>
      <c r="C40" s="121" t="s">
        <v>695</v>
      </c>
      <c r="D40" s="77" t="s">
        <v>305</v>
      </c>
      <c r="E40" s="74">
        <v>-17000</v>
      </c>
      <c r="F40" s="80">
        <v>-10.939500000000001</v>
      </c>
      <c r="G40" s="76"/>
      <c r="H40" s="76">
        <f>+ROUND(F40/VLOOKUP("Grand Total",$B$4:$F$238,5,0),4)</f>
        <v>-1.01E-2</v>
      </c>
      <c r="I40" s="104">
        <v>43251</v>
      </c>
      <c r="J40" s="105"/>
      <c r="K40" s="106"/>
      <c r="L40" s="103"/>
      <c r="M40" s="75"/>
    </row>
    <row r="41" spans="1:13" s="77" customFormat="1" ht="12.75" customHeight="1" x14ac:dyDescent="0.2">
      <c r="A41" s="77">
        <f t="shared" si="1"/>
        <v>33</v>
      </c>
      <c r="B41" s="77" t="s">
        <v>188</v>
      </c>
      <c r="C41" s="77" t="s">
        <v>29</v>
      </c>
      <c r="D41" s="77" t="s">
        <v>28</v>
      </c>
      <c r="E41" s="74">
        <v>1000</v>
      </c>
      <c r="F41" s="80">
        <v>9.6329999999999991</v>
      </c>
      <c r="G41" s="76">
        <f>+ROUND(F41/VLOOKUP("Grand Total",$B$4:$F$238,5,0),4)</f>
        <v>8.8999999999999999E-3</v>
      </c>
      <c r="H41" s="76"/>
      <c r="I41" s="104"/>
      <c r="J41" s="105"/>
      <c r="K41" s="106"/>
      <c r="L41" s="103"/>
      <c r="M41" s="75"/>
    </row>
    <row r="42" spans="1:13" s="77" customFormat="1" ht="12.75" customHeight="1" x14ac:dyDescent="0.2">
      <c r="A42" s="77">
        <f t="shared" si="1"/>
        <v>34</v>
      </c>
      <c r="B42" s="77" t="s">
        <v>188</v>
      </c>
      <c r="C42" s="121" t="s">
        <v>695</v>
      </c>
      <c r="D42" s="77" t="s">
        <v>305</v>
      </c>
      <c r="E42" s="74">
        <v>-1000</v>
      </c>
      <c r="F42" s="80">
        <v>-9.6850000000000005</v>
      </c>
      <c r="G42" s="76"/>
      <c r="H42" s="76">
        <f>+ROUND(F42/VLOOKUP("Grand Total",$B$4:$F$238,5,0),4)</f>
        <v>-8.8999999999999999E-3</v>
      </c>
      <c r="I42" s="104">
        <v>43251</v>
      </c>
      <c r="J42" s="105"/>
      <c r="K42" s="106"/>
      <c r="L42" s="103"/>
      <c r="M42" s="75"/>
    </row>
    <row r="43" spans="1:13" s="77" customFormat="1" ht="12.75" customHeight="1" x14ac:dyDescent="0.2">
      <c r="A43" s="77">
        <f t="shared" si="1"/>
        <v>35</v>
      </c>
      <c r="B43" s="77" t="s">
        <v>434</v>
      </c>
      <c r="C43" s="77" t="s">
        <v>435</v>
      </c>
      <c r="D43" s="77" t="s">
        <v>103</v>
      </c>
      <c r="E43" s="74">
        <v>900</v>
      </c>
      <c r="F43" s="80">
        <v>9.5962499999999995</v>
      </c>
      <c r="G43" s="76">
        <f>+ROUND(F43/VLOOKUP("Grand Total",$B$4:$F$238,5,0),4)</f>
        <v>8.8000000000000005E-3</v>
      </c>
      <c r="H43" s="76"/>
      <c r="I43" s="104"/>
      <c r="J43" s="105"/>
      <c r="K43" s="90"/>
      <c r="L43" s="103"/>
      <c r="M43" s="75"/>
    </row>
    <row r="44" spans="1:13" s="77" customFormat="1" ht="12.75" customHeight="1" x14ac:dyDescent="0.2">
      <c r="A44" s="77">
        <f t="shared" si="1"/>
        <v>36</v>
      </c>
      <c r="B44" s="77" t="s">
        <v>434</v>
      </c>
      <c r="C44" s="121" t="s">
        <v>695</v>
      </c>
      <c r="D44" s="77" t="s">
        <v>305</v>
      </c>
      <c r="E44" s="74">
        <v>-900</v>
      </c>
      <c r="F44" s="80">
        <v>-9.6641999999999992</v>
      </c>
      <c r="G44" s="76"/>
      <c r="H44" s="76">
        <f>+ROUND(F44/VLOOKUP("Grand Total",$B$4:$F$238,5,0),4)</f>
        <v>-8.8999999999999999E-3</v>
      </c>
      <c r="I44" s="104">
        <v>43251</v>
      </c>
      <c r="J44" s="105"/>
      <c r="K44" s="106"/>
      <c r="L44" s="103"/>
      <c r="M44" s="75"/>
    </row>
    <row r="45" spans="1:13" ht="12.75" customHeight="1" x14ac:dyDescent="0.2">
      <c r="B45" s="18" t="s">
        <v>83</v>
      </c>
      <c r="C45" s="18"/>
      <c r="D45" s="18"/>
      <c r="E45" s="19"/>
      <c r="F45" s="19">
        <f>+F9+F11+F13+F15+F17+F19+F21+F23+F25+F27+F29+F31+F33+F35+F37+F39+F41+F43</f>
        <v>735.35030000000029</v>
      </c>
      <c r="G45" s="20">
        <f>+G9+G11+G13+G15+G17+G19+G21+G23+G25+G27+G29+G31+G33+G35+G37+G39+G41+G43</f>
        <v>0.67600000000000005</v>
      </c>
      <c r="H45" s="20">
        <f>SUM(H8:H44)</f>
        <v>-0.68</v>
      </c>
      <c r="I45" s="21"/>
      <c r="J45" s="55"/>
      <c r="K45" s="46"/>
      <c r="L45" s="48"/>
    </row>
    <row r="46" spans="1:13" s="46" customFormat="1" ht="12.75" customHeight="1" x14ac:dyDescent="0.2">
      <c r="B46" s="67"/>
      <c r="C46" s="67"/>
      <c r="D46" s="67"/>
      <c r="E46" s="68"/>
      <c r="F46" s="69"/>
      <c r="G46" s="70"/>
      <c r="H46" s="70"/>
      <c r="I46" s="33"/>
      <c r="K46" s="14"/>
      <c r="L46" s="48"/>
    </row>
    <row r="47" spans="1:13" ht="12.75" customHeight="1" x14ac:dyDescent="0.2">
      <c r="B47" s="16" t="s">
        <v>89</v>
      </c>
      <c r="C47" s="16"/>
      <c r="F47" s="13"/>
      <c r="G47" s="14"/>
      <c r="H47" s="14"/>
      <c r="I47" s="33"/>
      <c r="J47"/>
      <c r="K47" s="36"/>
      <c r="L47"/>
    </row>
    <row r="48" spans="1:13" ht="12.75" customHeight="1" x14ac:dyDescent="0.2">
      <c r="B48" s="16" t="s">
        <v>290</v>
      </c>
      <c r="C48" s="16"/>
      <c r="F48" s="13"/>
      <c r="G48" s="14"/>
      <c r="H48" s="14"/>
      <c r="I48" s="33"/>
      <c r="J48"/>
      <c r="K48" s="36"/>
      <c r="L48"/>
    </row>
    <row r="49" spans="1:12" ht="12.75" customHeight="1" x14ac:dyDescent="0.2">
      <c r="A49">
        <f>+MAX($A$7:A48)+1</f>
        <v>37</v>
      </c>
      <c r="B49" s="65" t="s">
        <v>512</v>
      </c>
      <c r="C49" t="s">
        <v>595</v>
      </c>
      <c r="D49" t="s">
        <v>513</v>
      </c>
      <c r="E49" s="28">
        <v>14</v>
      </c>
      <c r="F49" s="13">
        <v>69.51952</v>
      </c>
      <c r="G49" s="14">
        <f>+ROUND(F49/VLOOKUP("Grand Total",$B$4:$F$264,5,0),4)</f>
        <v>6.3899999999999998E-2</v>
      </c>
      <c r="H49" s="14"/>
      <c r="I49" s="15">
        <v>43245</v>
      </c>
      <c r="J49"/>
      <c r="K49" s="36"/>
      <c r="L49"/>
    </row>
    <row r="50" spans="1:12" ht="12.75" customHeight="1" x14ac:dyDescent="0.2">
      <c r="A50">
        <f>+MAX($A$7:A49)+1</f>
        <v>38</v>
      </c>
      <c r="B50" s="65" t="s">
        <v>467</v>
      </c>
      <c r="C50" t="s">
        <v>642</v>
      </c>
      <c r="D50" t="s">
        <v>274</v>
      </c>
      <c r="E50" s="28">
        <v>13</v>
      </c>
      <c r="F50" s="13">
        <v>64.690860000000001</v>
      </c>
      <c r="G50" s="14">
        <f>+ROUND(F50/VLOOKUP("Grand Total",$B$4:$F$264,5,0),4)</f>
        <v>5.9499999999999997E-2</v>
      </c>
      <c r="H50" s="14"/>
      <c r="I50" s="15">
        <v>43242</v>
      </c>
      <c r="J50"/>
      <c r="K50" s="36"/>
      <c r="L50"/>
    </row>
    <row r="51" spans="1:12" ht="12.75" customHeight="1" x14ac:dyDescent="0.2">
      <c r="A51">
        <f>+MAX($A$7:A50)+1</f>
        <v>39</v>
      </c>
      <c r="B51" s="65" t="s">
        <v>275</v>
      </c>
      <c r="C51" t="s">
        <v>510</v>
      </c>
      <c r="D51" t="s">
        <v>520</v>
      </c>
      <c r="E51" s="28">
        <v>8</v>
      </c>
      <c r="F51" s="13">
        <v>38.805480000000003</v>
      </c>
      <c r="G51" s="14">
        <f>+ROUND(F51/VLOOKUP("Grand Total",$B$4:$F$264,5,0),4)</f>
        <v>3.5700000000000003E-2</v>
      </c>
      <c r="H51" s="14"/>
      <c r="I51" s="15">
        <v>43350</v>
      </c>
      <c r="J51"/>
      <c r="K51" s="36"/>
      <c r="L51"/>
    </row>
    <row r="52" spans="1:12" ht="12.75" customHeight="1" x14ac:dyDescent="0.2">
      <c r="A52">
        <f>+MAX($A$7:A51)+1</f>
        <v>40</v>
      </c>
      <c r="B52" s="65" t="s">
        <v>592</v>
      </c>
      <c r="C52" t="s">
        <v>593</v>
      </c>
      <c r="D52" t="s">
        <v>274</v>
      </c>
      <c r="E52" s="28">
        <v>3</v>
      </c>
      <c r="F52" s="13">
        <v>14.978475</v>
      </c>
      <c r="G52" s="14">
        <f>+ROUND(F52/VLOOKUP("Grand Total",$B$4:$F$264,5,0),4)</f>
        <v>1.38E-2</v>
      </c>
      <c r="H52" s="14"/>
      <c r="I52" s="15">
        <v>43228</v>
      </c>
      <c r="J52"/>
      <c r="K52" s="36"/>
      <c r="L52"/>
    </row>
    <row r="53" spans="1:12" ht="12.75" customHeight="1" x14ac:dyDescent="0.2">
      <c r="B53" s="18" t="s">
        <v>83</v>
      </c>
      <c r="C53" s="18"/>
      <c r="D53" s="18"/>
      <c r="E53" s="29"/>
      <c r="F53" s="19">
        <f>SUM(F49:F52)</f>
        <v>187.99433499999998</v>
      </c>
      <c r="G53" s="20">
        <f>SUM(G49:G52)</f>
        <v>0.1729</v>
      </c>
      <c r="H53" s="20"/>
      <c r="I53" s="21"/>
      <c r="J53"/>
      <c r="K53" s="36"/>
      <c r="L53"/>
    </row>
    <row r="54" spans="1:12" s="46" customFormat="1" ht="12.75" customHeight="1" x14ac:dyDescent="0.2">
      <c r="B54" s="67"/>
      <c r="C54" s="67"/>
      <c r="D54" s="67"/>
      <c r="E54" s="68"/>
      <c r="F54" s="69"/>
      <c r="G54" s="70"/>
      <c r="H54" s="70"/>
      <c r="I54" s="33"/>
      <c r="K54" s="48"/>
    </row>
    <row r="55" spans="1:12" ht="12.75" customHeight="1" x14ac:dyDescent="0.2">
      <c r="B55" s="16" t="s">
        <v>90</v>
      </c>
      <c r="C55" s="16"/>
      <c r="F55" s="13"/>
      <c r="G55" s="14"/>
      <c r="H55" s="14"/>
      <c r="I55" s="33"/>
      <c r="J55"/>
      <c r="K55" s="36"/>
      <c r="L55"/>
    </row>
    <row r="56" spans="1:12" ht="12.75" customHeight="1" x14ac:dyDescent="0.2">
      <c r="A56">
        <f>+MAX($A$7:A55)+1</f>
        <v>41</v>
      </c>
      <c r="B56" t="s">
        <v>413</v>
      </c>
      <c r="C56" t="s">
        <v>331</v>
      </c>
      <c r="D56" t="s">
        <v>302</v>
      </c>
      <c r="E56" s="28">
        <v>6489.9966000000004</v>
      </c>
      <c r="F56" s="13">
        <v>110.01274359999999</v>
      </c>
      <c r="G56" s="14">
        <f>+ROUND(F56/VLOOKUP("Grand Total",$B$4:$F$273,5,0),4)</f>
        <v>0.1011</v>
      </c>
      <c r="H56" s="14"/>
      <c r="I56" s="33" t="s">
        <v>346</v>
      </c>
      <c r="J56"/>
      <c r="K56" s="36"/>
      <c r="L56"/>
    </row>
    <row r="57" spans="1:12" ht="12.75" customHeight="1" x14ac:dyDescent="0.2">
      <c r="B57" s="18" t="s">
        <v>83</v>
      </c>
      <c r="C57" s="18"/>
      <c r="D57" s="18"/>
      <c r="E57" s="29"/>
      <c r="F57" s="19">
        <f>SUM(F56)</f>
        <v>110.01274359999999</v>
      </c>
      <c r="G57" s="20">
        <f>SUM(G56)</f>
        <v>0.1011</v>
      </c>
      <c r="H57" s="20"/>
      <c r="I57" s="21"/>
      <c r="J57"/>
      <c r="K57" s="36"/>
      <c r="L57"/>
    </row>
    <row r="58" spans="1:12" s="46" customFormat="1" ht="12.75" customHeight="1" x14ac:dyDescent="0.2">
      <c r="B58" s="67"/>
      <c r="C58" s="67"/>
      <c r="D58" s="67"/>
      <c r="E58" s="68"/>
      <c r="F58" s="69"/>
      <c r="G58" s="70"/>
      <c r="H58" s="70"/>
      <c r="I58" s="33"/>
      <c r="K58" s="48"/>
    </row>
    <row r="59" spans="1:12" ht="12.75" customHeight="1" x14ac:dyDescent="0.2">
      <c r="A59" s="95" t="s">
        <v>345</v>
      </c>
      <c r="B59" s="16" t="s">
        <v>91</v>
      </c>
      <c r="C59" s="16"/>
      <c r="F59" s="13">
        <v>6.1529418999999992</v>
      </c>
      <c r="G59" s="14">
        <f>+ROUND(F59/VLOOKUP("Grand Total",$B$4:$F$238,5,0),4)</f>
        <v>5.7000000000000002E-3</v>
      </c>
      <c r="H59" s="14"/>
      <c r="I59" s="15">
        <v>43222</v>
      </c>
      <c r="J59" s="56"/>
      <c r="K59" s="46"/>
      <c r="L59" s="74"/>
    </row>
    <row r="60" spans="1:12" ht="12.75" customHeight="1" x14ac:dyDescent="0.2">
      <c r="B60" s="18" t="s">
        <v>83</v>
      </c>
      <c r="C60" s="18"/>
      <c r="D60" s="18"/>
      <c r="E60" s="29"/>
      <c r="F60" s="19">
        <f>SUM(F59)</f>
        <v>6.1529418999999992</v>
      </c>
      <c r="G60" s="20">
        <f>SUM(G59)</f>
        <v>5.7000000000000002E-3</v>
      </c>
      <c r="H60" s="20"/>
      <c r="I60" s="21"/>
      <c r="J60" s="55"/>
      <c r="K60" s="46"/>
      <c r="L60" s="74"/>
    </row>
    <row r="61" spans="1:12" ht="12.75" customHeight="1" x14ac:dyDescent="0.2">
      <c r="F61" s="13"/>
      <c r="G61" s="14"/>
      <c r="H61" s="14"/>
      <c r="I61" s="15"/>
      <c r="J61" s="56"/>
      <c r="K61" s="46"/>
      <c r="L61" s="74"/>
    </row>
    <row r="62" spans="1:12" ht="12.75" customHeight="1" x14ac:dyDescent="0.2">
      <c r="B62" s="16" t="s">
        <v>92</v>
      </c>
      <c r="C62" s="16"/>
      <c r="F62" s="13"/>
      <c r="G62" s="14"/>
      <c r="H62" s="14"/>
      <c r="I62" s="15"/>
      <c r="J62" s="56"/>
      <c r="K62" s="46"/>
      <c r="L62" s="74"/>
    </row>
    <row r="63" spans="1:12" ht="12.75" customHeight="1" x14ac:dyDescent="0.2">
      <c r="B63" s="16" t="s">
        <v>93</v>
      </c>
      <c r="C63" s="16"/>
      <c r="F63" s="44">
        <f>+F65-SUMIF($B$5:B62,"Total",$F$5:F62)</f>
        <v>48.49732879999965</v>
      </c>
      <c r="G63" s="45">
        <f>+ROUND(F63/VLOOKUP("Grand Total",$B$4:$F$238,5,0),4)-0.03%</f>
        <v>4.4299999999999999E-2</v>
      </c>
      <c r="H63" s="45"/>
      <c r="I63" s="15"/>
      <c r="J63" s="56"/>
      <c r="K63" s="46"/>
      <c r="L63" s="74"/>
    </row>
    <row r="64" spans="1:12" ht="12.75" customHeight="1" x14ac:dyDescent="0.2">
      <c r="B64" s="18" t="s">
        <v>83</v>
      </c>
      <c r="C64" s="18"/>
      <c r="D64" s="18"/>
      <c r="E64" s="29"/>
      <c r="F64" s="19">
        <f>SUM(F63:F63)</f>
        <v>48.49732879999965</v>
      </c>
      <c r="G64" s="20">
        <f>SUM(G63:G63)</f>
        <v>4.4299999999999999E-2</v>
      </c>
      <c r="H64" s="20"/>
      <c r="I64" s="21"/>
      <c r="J64" s="55"/>
      <c r="K64" s="46"/>
      <c r="L64" s="74"/>
    </row>
    <row r="65" spans="2:12" ht="12.75" customHeight="1" x14ac:dyDescent="0.2">
      <c r="B65" s="22" t="s">
        <v>94</v>
      </c>
      <c r="C65" s="22"/>
      <c r="D65" s="22"/>
      <c r="E65" s="30"/>
      <c r="F65" s="23">
        <v>1088.0076492999999</v>
      </c>
      <c r="G65" s="24">
        <f>+SUMIF($B$5:B64,"Total",$G$5:G64)</f>
        <v>1</v>
      </c>
      <c r="H65" s="24"/>
      <c r="I65" s="25"/>
      <c r="J65" s="39"/>
      <c r="K65" s="46"/>
      <c r="L65" s="74"/>
    </row>
    <row r="66" spans="2:12" ht="12.75" customHeight="1" x14ac:dyDescent="0.2">
      <c r="F66" s="40"/>
      <c r="K66" s="46"/>
      <c r="L66" s="74"/>
    </row>
    <row r="67" spans="2:12" ht="12.75" customHeight="1" x14ac:dyDescent="0.2">
      <c r="B67" s="16" t="s">
        <v>565</v>
      </c>
      <c r="C67" s="16"/>
      <c r="K67" s="46"/>
      <c r="L67" s="74"/>
    </row>
    <row r="68" spans="2:12" ht="12.75" customHeight="1" x14ac:dyDescent="0.2">
      <c r="B68" s="16" t="s">
        <v>181</v>
      </c>
      <c r="C68" s="16"/>
      <c r="G68" s="14"/>
      <c r="H68" s="14"/>
    </row>
    <row r="69" spans="2:12" ht="12.75" customHeight="1" x14ac:dyDescent="0.2">
      <c r="B69" s="16"/>
      <c r="C69" s="16"/>
    </row>
    <row r="70" spans="2:12" ht="12.75" customHeight="1" x14ac:dyDescent="0.2">
      <c r="B70" s="16"/>
      <c r="C70" s="16"/>
      <c r="K70" s="46"/>
      <c r="L70" s="48"/>
    </row>
    <row r="71" spans="2:12" x14ac:dyDescent="0.2">
      <c r="E71"/>
      <c r="F71" s="100"/>
      <c r="J71"/>
      <c r="K71" s="46"/>
      <c r="L71" s="48"/>
    </row>
    <row r="72" spans="2:12" x14ac:dyDescent="0.2">
      <c r="E72"/>
      <c r="J72"/>
    </row>
    <row r="73" spans="2:12" x14ac:dyDescent="0.2">
      <c r="E73"/>
      <c r="J73"/>
    </row>
    <row r="74" spans="2:12" x14ac:dyDescent="0.2">
      <c r="E74"/>
      <c r="J74"/>
    </row>
    <row r="75" spans="2:12" x14ac:dyDescent="0.2">
      <c r="E75"/>
      <c r="J75"/>
      <c r="K75" s="36"/>
      <c r="L75"/>
    </row>
    <row r="76" spans="2:12" x14ac:dyDescent="0.2">
      <c r="E76"/>
      <c r="J76"/>
      <c r="K76" s="36"/>
      <c r="L76"/>
    </row>
    <row r="77" spans="2:12" x14ac:dyDescent="0.2">
      <c r="E77"/>
      <c r="J77"/>
      <c r="K77" s="36"/>
      <c r="L77"/>
    </row>
    <row r="78" spans="2:12" x14ac:dyDescent="0.2">
      <c r="E78"/>
      <c r="J78"/>
      <c r="K78" s="36"/>
      <c r="L78"/>
    </row>
    <row r="79" spans="2:12" x14ac:dyDescent="0.2">
      <c r="E79"/>
      <c r="J79"/>
      <c r="K79" s="36"/>
      <c r="L79"/>
    </row>
    <row r="80" spans="2:12" x14ac:dyDescent="0.2">
      <c r="E80"/>
      <c r="J80"/>
      <c r="K80" s="36"/>
      <c r="L80"/>
    </row>
    <row r="81" spans="5:12" x14ac:dyDescent="0.2">
      <c r="E81"/>
      <c r="J81"/>
      <c r="K81" s="36"/>
      <c r="L81"/>
    </row>
    <row r="82" spans="5:12" x14ac:dyDescent="0.2">
      <c r="E82"/>
      <c r="J82"/>
      <c r="K82" s="36"/>
      <c r="L82"/>
    </row>
    <row r="83" spans="5:12" x14ac:dyDescent="0.2">
      <c r="E83"/>
      <c r="J83"/>
      <c r="K83" s="36"/>
      <c r="L83"/>
    </row>
    <row r="84" spans="5:12" x14ac:dyDescent="0.2">
      <c r="E84"/>
      <c r="J84"/>
      <c r="K84" s="36"/>
      <c r="L84"/>
    </row>
    <row r="85" spans="5:12" x14ac:dyDescent="0.2">
      <c r="E85"/>
      <c r="J85"/>
      <c r="K85" s="36"/>
      <c r="L85"/>
    </row>
    <row r="86" spans="5:12" x14ac:dyDescent="0.2">
      <c r="E86"/>
      <c r="J86"/>
      <c r="K86" s="36"/>
      <c r="L86"/>
    </row>
    <row r="87" spans="5:12" x14ac:dyDescent="0.2">
      <c r="E87"/>
      <c r="J87"/>
      <c r="K87" s="36"/>
      <c r="L87"/>
    </row>
    <row r="88" spans="5:12" x14ac:dyDescent="0.2">
      <c r="E88"/>
      <c r="J88"/>
    </row>
    <row r="89" spans="5:12" x14ac:dyDescent="0.2">
      <c r="E89"/>
      <c r="J89"/>
    </row>
    <row r="90" spans="5:12" x14ac:dyDescent="0.2">
      <c r="E90"/>
      <c r="J90"/>
    </row>
    <row r="91" spans="5:12" x14ac:dyDescent="0.2">
      <c r="E91"/>
      <c r="J91"/>
    </row>
    <row r="92" spans="5:12" x14ac:dyDescent="0.2">
      <c r="E92"/>
      <c r="J92"/>
    </row>
    <row r="93" spans="5:12" x14ac:dyDescent="0.2">
      <c r="E93"/>
      <c r="J93"/>
    </row>
    <row r="94" spans="5:12" x14ac:dyDescent="0.2">
      <c r="E94"/>
      <c r="J94"/>
    </row>
    <row r="95" spans="5:12" x14ac:dyDescent="0.2">
      <c r="E95"/>
      <c r="J95"/>
    </row>
    <row r="96" spans="5:12" x14ac:dyDescent="0.2">
      <c r="E96"/>
      <c r="J96"/>
    </row>
    <row r="97" spans="5:12" x14ac:dyDescent="0.2">
      <c r="E97"/>
      <c r="J97"/>
    </row>
    <row r="98" spans="5:12" x14ac:dyDescent="0.2">
      <c r="E98"/>
      <c r="J98"/>
    </row>
    <row r="99" spans="5:12" x14ac:dyDescent="0.2">
      <c r="E99"/>
      <c r="J99"/>
      <c r="L99"/>
    </row>
    <row r="100" spans="5:12" x14ac:dyDescent="0.2">
      <c r="E100"/>
      <c r="J100"/>
      <c r="L100"/>
    </row>
    <row r="101" spans="5:12" x14ac:dyDescent="0.2">
      <c r="E101"/>
      <c r="J101"/>
      <c r="L101"/>
    </row>
    <row r="102" spans="5:12" x14ac:dyDescent="0.2">
      <c r="E102"/>
      <c r="J102"/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L109"/>
    </row>
    <row r="110" spans="5:12" x14ac:dyDescent="0.2">
      <c r="L110"/>
    </row>
    <row r="111" spans="5:12" x14ac:dyDescent="0.2">
      <c r="L111"/>
    </row>
    <row r="112" spans="5:12" x14ac:dyDescent="0.2">
      <c r="L112"/>
    </row>
    <row r="113" spans="5:12" x14ac:dyDescent="0.2">
      <c r="L113"/>
    </row>
    <row r="114" spans="5:12" x14ac:dyDescent="0.2">
      <c r="L114"/>
    </row>
    <row r="115" spans="5:12" x14ac:dyDescent="0.2"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  <row r="126" spans="5:12" x14ac:dyDescent="0.2">
      <c r="E126"/>
      <c r="J126"/>
      <c r="L126"/>
    </row>
    <row r="127" spans="5:12" x14ac:dyDescent="0.2">
      <c r="E127"/>
      <c r="J127"/>
      <c r="L127"/>
    </row>
    <row r="128" spans="5:12" x14ac:dyDescent="0.2">
      <c r="E128"/>
      <c r="J128"/>
      <c r="L128"/>
    </row>
    <row r="129" spans="5:12" x14ac:dyDescent="0.2">
      <c r="E129"/>
      <c r="J129"/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</sheetData>
  <sheetProtection password="EDB3" sheet="1" objects="1" scenarios="1"/>
  <sortState ref="K8:L25">
    <sortCondition descending="1" ref="L8:L25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348</v>
      </c>
      <c r="B1" s="128" t="s">
        <v>123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t="s">
        <v>186</v>
      </c>
      <c r="C9" t="s">
        <v>12</v>
      </c>
      <c r="D9" t="s">
        <v>9</v>
      </c>
      <c r="E9" s="28">
        <v>97268</v>
      </c>
      <c r="F9" s="13">
        <v>1891.181724</v>
      </c>
      <c r="G9" s="14">
        <f t="shared" ref="G9:G40" si="0">+ROUND(F9/VLOOKUP("Grand Total",$B$4:$F$289,5,0),4)</f>
        <v>6.2E-2</v>
      </c>
      <c r="H9" s="15"/>
      <c r="J9" s="14" t="s">
        <v>9</v>
      </c>
      <c r="K9" s="48">
        <f t="shared" ref="K9:K30" si="1">SUMIFS($G$5:$G$322,$D$5:$D$322,J9)</f>
        <v>0.23100000000000001</v>
      </c>
    </row>
    <row r="10" spans="1:16" ht="12.75" customHeight="1" x14ac:dyDescent="0.2">
      <c r="A10">
        <f>+MAX($A$8:A9)+1</f>
        <v>2</v>
      </c>
      <c r="B10" t="s">
        <v>188</v>
      </c>
      <c r="C10" t="s">
        <v>29</v>
      </c>
      <c r="D10" t="s">
        <v>28</v>
      </c>
      <c r="E10" s="28">
        <v>155446</v>
      </c>
      <c r="F10" s="13">
        <v>1497.4113180000002</v>
      </c>
      <c r="G10" s="14">
        <f t="shared" si="0"/>
        <v>4.9099999999999998E-2</v>
      </c>
      <c r="H10" s="15"/>
      <c r="J10" s="14" t="s">
        <v>24</v>
      </c>
      <c r="K10" s="48">
        <f t="shared" si="1"/>
        <v>0.13119999999999998</v>
      </c>
    </row>
    <row r="11" spans="1:16" ht="12.75" customHeight="1" x14ac:dyDescent="0.2">
      <c r="A11">
        <f>+MAX($A$8:A10)+1</f>
        <v>3</v>
      </c>
      <c r="B11" t="s">
        <v>192</v>
      </c>
      <c r="C11" t="s">
        <v>25</v>
      </c>
      <c r="D11" t="s">
        <v>22</v>
      </c>
      <c r="E11" s="28">
        <v>74227</v>
      </c>
      <c r="F11" s="13">
        <v>1397.8799775</v>
      </c>
      <c r="G11" s="14">
        <f t="shared" si="0"/>
        <v>4.5900000000000003E-2</v>
      </c>
      <c r="H11" s="15"/>
      <c r="J11" s="14" t="s">
        <v>13</v>
      </c>
      <c r="K11" s="48">
        <f t="shared" si="1"/>
        <v>0.11700000000000002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203</v>
      </c>
      <c r="C12" t="s">
        <v>47</v>
      </c>
      <c r="D12" t="s">
        <v>19</v>
      </c>
      <c r="E12" s="28">
        <v>15066</v>
      </c>
      <c r="F12" s="13">
        <v>1328.060367</v>
      </c>
      <c r="G12" s="14">
        <f t="shared" si="0"/>
        <v>4.36E-2</v>
      </c>
      <c r="H12" s="15"/>
      <c r="J12" s="14" t="s">
        <v>19</v>
      </c>
      <c r="K12" s="48">
        <f t="shared" si="1"/>
        <v>8.6899999999999991E-2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195</v>
      </c>
      <c r="C13" t="s">
        <v>44</v>
      </c>
      <c r="D13" t="s">
        <v>24</v>
      </c>
      <c r="E13" s="28">
        <v>456000</v>
      </c>
      <c r="F13" s="13">
        <v>1283.412</v>
      </c>
      <c r="G13" s="14">
        <f t="shared" si="0"/>
        <v>4.2099999999999999E-2</v>
      </c>
      <c r="H13" s="15"/>
      <c r="J13" s="14" t="s">
        <v>22</v>
      </c>
      <c r="K13" s="48">
        <f t="shared" si="1"/>
        <v>6.7400000000000002E-2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189</v>
      </c>
      <c r="C14" t="s">
        <v>10</v>
      </c>
      <c r="D14" t="s">
        <v>9</v>
      </c>
      <c r="E14" s="28">
        <v>438708</v>
      </c>
      <c r="F14" s="13">
        <v>1246.8081359999999</v>
      </c>
      <c r="G14" s="14">
        <f t="shared" si="0"/>
        <v>4.0899999999999999E-2</v>
      </c>
      <c r="H14" s="15"/>
      <c r="J14" s="14" t="s">
        <v>28</v>
      </c>
      <c r="K14" s="48">
        <f t="shared" si="1"/>
        <v>5.9899999999999995E-2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226</v>
      </c>
      <c r="C15" t="s">
        <v>99</v>
      </c>
      <c r="D15" t="s">
        <v>24</v>
      </c>
      <c r="E15" s="28">
        <v>81582</v>
      </c>
      <c r="F15" s="13">
        <v>1230.990798</v>
      </c>
      <c r="G15" s="14">
        <f t="shared" si="0"/>
        <v>4.0399999999999998E-2</v>
      </c>
      <c r="H15" s="15"/>
      <c r="J15" s="14" t="s">
        <v>21</v>
      </c>
      <c r="K15" s="48">
        <f t="shared" si="1"/>
        <v>4.5600000000000002E-2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187</v>
      </c>
      <c r="C16" t="s">
        <v>14</v>
      </c>
      <c r="D16" t="s">
        <v>13</v>
      </c>
      <c r="E16" s="28">
        <v>93900</v>
      </c>
      <c r="F16" s="13">
        <v>1126.3305</v>
      </c>
      <c r="G16" s="14">
        <f t="shared" si="0"/>
        <v>3.6999999999999998E-2</v>
      </c>
      <c r="H16" s="15"/>
      <c r="J16" s="14" t="s">
        <v>17</v>
      </c>
      <c r="K16" s="48">
        <f t="shared" si="1"/>
        <v>4.1500000000000002E-2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206</v>
      </c>
      <c r="C17" t="s">
        <v>96</v>
      </c>
      <c r="D17" t="s">
        <v>9</v>
      </c>
      <c r="E17" s="28">
        <v>93000</v>
      </c>
      <c r="F17" s="13">
        <v>1126.3230000000001</v>
      </c>
      <c r="G17" s="14">
        <f t="shared" si="0"/>
        <v>3.6999999999999998E-2</v>
      </c>
      <c r="H17" s="15"/>
      <c r="J17" s="14" t="s">
        <v>26</v>
      </c>
      <c r="K17" s="48">
        <f t="shared" si="1"/>
        <v>3.49E-2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197</v>
      </c>
      <c r="C18" t="s">
        <v>46</v>
      </c>
      <c r="D18" t="s">
        <v>24</v>
      </c>
      <c r="E18" s="28">
        <v>19500</v>
      </c>
      <c r="F18" s="13">
        <v>1075.0740000000001</v>
      </c>
      <c r="G18" s="14">
        <f t="shared" si="0"/>
        <v>3.5299999999999998E-2</v>
      </c>
      <c r="H18" s="15"/>
      <c r="J18" s="14" t="s">
        <v>104</v>
      </c>
      <c r="K18" s="48">
        <f t="shared" si="1"/>
        <v>2.5800000000000003E-2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219</v>
      </c>
      <c r="C19" t="s">
        <v>69</v>
      </c>
      <c r="D19" t="s">
        <v>26</v>
      </c>
      <c r="E19" s="28">
        <v>75900</v>
      </c>
      <c r="F19" s="13">
        <v>1063.2831000000001</v>
      </c>
      <c r="G19" s="14">
        <f t="shared" si="0"/>
        <v>3.49E-2</v>
      </c>
      <c r="H19" s="15"/>
      <c r="J19" s="14" t="s">
        <v>45</v>
      </c>
      <c r="K19" s="48">
        <f t="shared" si="1"/>
        <v>2.18E-2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228</v>
      </c>
      <c r="C20" t="s">
        <v>101</v>
      </c>
      <c r="D20" t="s">
        <v>9</v>
      </c>
      <c r="E20" s="28">
        <v>49617</v>
      </c>
      <c r="F20" s="13">
        <v>941.73065999999994</v>
      </c>
      <c r="G20" s="14">
        <f t="shared" si="0"/>
        <v>3.09E-2</v>
      </c>
      <c r="H20" s="15"/>
      <c r="J20" s="14" t="s">
        <v>100</v>
      </c>
      <c r="K20" s="48">
        <f t="shared" si="1"/>
        <v>2.1600000000000001E-2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235</v>
      </c>
      <c r="C21" t="s">
        <v>110</v>
      </c>
      <c r="D21" t="s">
        <v>19</v>
      </c>
      <c r="E21" s="28">
        <v>21660</v>
      </c>
      <c r="F21" s="13">
        <v>808.40535</v>
      </c>
      <c r="G21" s="14">
        <f t="shared" si="0"/>
        <v>2.6499999999999999E-2</v>
      </c>
      <c r="H21" s="15"/>
      <c r="J21" s="14" t="s">
        <v>130</v>
      </c>
      <c r="K21" s="48">
        <f t="shared" si="1"/>
        <v>1.8800000000000001E-2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191</v>
      </c>
      <c r="C22" t="s">
        <v>23</v>
      </c>
      <c r="D22" t="s">
        <v>13</v>
      </c>
      <c r="E22" s="28">
        <v>75900</v>
      </c>
      <c r="F22" s="13">
        <v>799.03724999999997</v>
      </c>
      <c r="G22" s="14">
        <f t="shared" si="0"/>
        <v>2.6200000000000001E-2</v>
      </c>
      <c r="H22" s="15"/>
      <c r="J22" s="14" t="s">
        <v>36</v>
      </c>
      <c r="K22" s="48">
        <f t="shared" si="1"/>
        <v>1.35E-2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15</v>
      </c>
      <c r="C23" t="s">
        <v>16</v>
      </c>
      <c r="D23" t="s">
        <v>9</v>
      </c>
      <c r="E23" s="28">
        <v>315000</v>
      </c>
      <c r="F23" s="13">
        <v>776.16</v>
      </c>
      <c r="G23" s="14">
        <f t="shared" si="0"/>
        <v>2.5499999999999998E-2</v>
      </c>
      <c r="H23" s="15"/>
      <c r="J23" s="14" t="s">
        <v>34</v>
      </c>
      <c r="K23" s="48">
        <f t="shared" si="1"/>
        <v>1.0800000000000001E-2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566</v>
      </c>
      <c r="C24" t="s">
        <v>124</v>
      </c>
      <c r="D24" t="s">
        <v>17</v>
      </c>
      <c r="E24" s="28">
        <v>4196</v>
      </c>
      <c r="F24" s="13">
        <v>710.96184799999992</v>
      </c>
      <c r="G24" s="14">
        <f t="shared" si="0"/>
        <v>2.3300000000000001E-2</v>
      </c>
      <c r="H24" s="15"/>
      <c r="J24" s="14" t="s">
        <v>30</v>
      </c>
      <c r="K24" s="48">
        <f t="shared" si="1"/>
        <v>1.04E-2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210</v>
      </c>
      <c r="C25" t="s">
        <v>18</v>
      </c>
      <c r="D25" t="s">
        <v>13</v>
      </c>
      <c r="E25" s="28">
        <v>19080</v>
      </c>
      <c r="F25" s="13">
        <v>673.92467999999997</v>
      </c>
      <c r="G25" s="14">
        <f t="shared" si="0"/>
        <v>2.2100000000000002E-2</v>
      </c>
      <c r="H25" s="15"/>
      <c r="J25" s="14" t="s">
        <v>43</v>
      </c>
      <c r="K25" s="48">
        <f t="shared" si="1"/>
        <v>0.01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240</v>
      </c>
      <c r="C26" t="s">
        <v>116</v>
      </c>
      <c r="D26" t="s">
        <v>100</v>
      </c>
      <c r="E26" s="28">
        <v>111900</v>
      </c>
      <c r="F26" s="13">
        <v>658.02795000000003</v>
      </c>
      <c r="G26" s="14">
        <f t="shared" si="0"/>
        <v>2.1600000000000001E-2</v>
      </c>
      <c r="H26" s="15"/>
      <c r="J26" s="14" t="s">
        <v>32</v>
      </c>
      <c r="K26" s="48">
        <f t="shared" si="1"/>
        <v>0.01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455</v>
      </c>
      <c r="C27" t="s">
        <v>456</v>
      </c>
      <c r="D27" t="s">
        <v>13</v>
      </c>
      <c r="E27" s="28">
        <v>43500</v>
      </c>
      <c r="F27" s="13">
        <v>578.37599999999998</v>
      </c>
      <c r="G27" s="14">
        <f t="shared" si="0"/>
        <v>1.9E-2</v>
      </c>
      <c r="H27" s="15"/>
      <c r="J27" s="14" t="s">
        <v>103</v>
      </c>
      <c r="K27" s="48">
        <f t="shared" si="1"/>
        <v>9.7999999999999997E-3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198</v>
      </c>
      <c r="C28" t="s">
        <v>51</v>
      </c>
      <c r="D28" t="s">
        <v>17</v>
      </c>
      <c r="E28" s="28">
        <v>13500</v>
      </c>
      <c r="F28" s="13">
        <v>554.69475</v>
      </c>
      <c r="G28" s="14">
        <f t="shared" si="0"/>
        <v>1.8200000000000001E-2</v>
      </c>
      <c r="H28" s="15"/>
      <c r="J28" t="s">
        <v>41</v>
      </c>
      <c r="K28" s="48">
        <f t="shared" si="1"/>
        <v>9.4999999999999998E-3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190</v>
      </c>
      <c r="C29" t="s">
        <v>20</v>
      </c>
      <c r="D29" t="s">
        <v>19</v>
      </c>
      <c r="E29" s="28">
        <v>150000</v>
      </c>
      <c r="F29" s="13">
        <v>510.6</v>
      </c>
      <c r="G29" s="14">
        <f t="shared" si="0"/>
        <v>1.6799999999999999E-2</v>
      </c>
      <c r="H29" s="15"/>
      <c r="J29" s="14" t="s">
        <v>385</v>
      </c>
      <c r="K29" s="48">
        <f t="shared" si="1"/>
        <v>9.1999999999999998E-3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199</v>
      </c>
      <c r="C30" t="s">
        <v>48</v>
      </c>
      <c r="D30" t="s">
        <v>21</v>
      </c>
      <c r="E30" s="28">
        <v>7800</v>
      </c>
      <c r="F30" s="13">
        <v>482.0127</v>
      </c>
      <c r="G30" s="14">
        <f t="shared" si="0"/>
        <v>1.5800000000000002E-2</v>
      </c>
      <c r="H30" s="15"/>
      <c r="J30" s="14" t="s">
        <v>305</v>
      </c>
      <c r="K30" s="48">
        <f t="shared" si="1"/>
        <v>5.3E-3</v>
      </c>
      <c r="N30" s="36"/>
      <c r="P30" s="14"/>
    </row>
    <row r="31" spans="1:16" ht="12.75" customHeight="1" x14ac:dyDescent="0.2">
      <c r="A31">
        <f>+MAX($A$8:A30)+1</f>
        <v>23</v>
      </c>
      <c r="B31" t="s">
        <v>238</v>
      </c>
      <c r="C31" t="s">
        <v>495</v>
      </c>
      <c r="D31" t="s">
        <v>9</v>
      </c>
      <c r="E31" s="28">
        <v>118800</v>
      </c>
      <c r="F31" s="13">
        <v>430.05599999999998</v>
      </c>
      <c r="G31" s="14">
        <f t="shared" si="0"/>
        <v>1.41E-2</v>
      </c>
      <c r="H31" s="15"/>
      <c r="J31" s="14" t="s">
        <v>62</v>
      </c>
      <c r="K31" s="48">
        <f>+SUMIFS($G$5:$G$998,$B$5:$B$998,"CBLO / Reverse Repo Investments")+SUMIFS($G$5:$G$998,$B$5:$B$998,"Net Receivable/Payable")</f>
        <v>8.0999999999999996E-3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460</v>
      </c>
      <c r="C32" t="s">
        <v>461</v>
      </c>
      <c r="D32" t="s">
        <v>36</v>
      </c>
      <c r="E32" s="28">
        <v>139500</v>
      </c>
      <c r="F32" s="13">
        <v>410.61824999999999</v>
      </c>
      <c r="G32" s="14">
        <f t="shared" si="0"/>
        <v>1.35E-2</v>
      </c>
      <c r="H32" s="15"/>
      <c r="J32" s="14"/>
      <c r="K32" s="48"/>
    </row>
    <row r="33" spans="1:8" ht="12.75" customHeight="1" x14ac:dyDescent="0.2">
      <c r="A33">
        <f>+MAX($A$8:A32)+1</f>
        <v>25</v>
      </c>
      <c r="B33" t="s">
        <v>232</v>
      </c>
      <c r="C33" t="s">
        <v>108</v>
      </c>
      <c r="D33" t="s">
        <v>24</v>
      </c>
      <c r="E33" s="28">
        <v>33907</v>
      </c>
      <c r="F33" s="13">
        <v>407.460419</v>
      </c>
      <c r="G33" s="14">
        <f t="shared" si="0"/>
        <v>1.34E-2</v>
      </c>
      <c r="H33" s="15"/>
    </row>
    <row r="34" spans="1:8" ht="12.75" customHeight="1" x14ac:dyDescent="0.2">
      <c r="A34">
        <f>+MAX($A$8:A33)+1</f>
        <v>26</v>
      </c>
      <c r="B34" t="s">
        <v>254</v>
      </c>
      <c r="C34" t="s">
        <v>80</v>
      </c>
      <c r="D34" t="s">
        <v>13</v>
      </c>
      <c r="E34" s="28">
        <v>51000</v>
      </c>
      <c r="F34" s="13">
        <v>388.05900000000003</v>
      </c>
      <c r="G34" s="14">
        <f t="shared" si="0"/>
        <v>1.2699999999999999E-2</v>
      </c>
      <c r="H34" s="15"/>
    </row>
    <row r="35" spans="1:8" ht="12.75" customHeight="1" x14ac:dyDescent="0.2">
      <c r="A35">
        <f>+MAX($A$8:A34)+1</f>
        <v>27</v>
      </c>
      <c r="B35" t="s">
        <v>296</v>
      </c>
      <c r="C35" t="s">
        <v>459</v>
      </c>
      <c r="D35" t="s">
        <v>130</v>
      </c>
      <c r="E35" s="28">
        <v>45000</v>
      </c>
      <c r="F35" s="13">
        <v>347.4</v>
      </c>
      <c r="G35" s="14">
        <f t="shared" si="0"/>
        <v>1.14E-2</v>
      </c>
      <c r="H35" s="15"/>
    </row>
    <row r="36" spans="1:8" ht="12.75" customHeight="1" x14ac:dyDescent="0.2">
      <c r="A36">
        <f>+MAX($A$8:A35)+1</f>
        <v>28</v>
      </c>
      <c r="B36" t="s">
        <v>416</v>
      </c>
      <c r="C36" t="s">
        <v>417</v>
      </c>
      <c r="D36" t="s">
        <v>22</v>
      </c>
      <c r="E36" s="28">
        <v>198000</v>
      </c>
      <c r="F36" s="13">
        <v>341.35199999999998</v>
      </c>
      <c r="G36" s="14">
        <f t="shared" si="0"/>
        <v>1.12E-2</v>
      </c>
      <c r="H36" s="15"/>
    </row>
    <row r="37" spans="1:8" ht="12.75" customHeight="1" x14ac:dyDescent="0.2">
      <c r="A37">
        <f>+MAX($A$8:A36)+1</f>
        <v>29</v>
      </c>
      <c r="B37" t="s">
        <v>217</v>
      </c>
      <c r="C37" t="s">
        <v>68</v>
      </c>
      <c r="D37" t="s">
        <v>9</v>
      </c>
      <c r="E37" s="28">
        <v>345600</v>
      </c>
      <c r="F37" s="13">
        <v>339.72480000000002</v>
      </c>
      <c r="G37" s="14">
        <f t="shared" si="0"/>
        <v>1.11E-2</v>
      </c>
      <c r="H37" s="15"/>
    </row>
    <row r="38" spans="1:8" ht="12.75" customHeight="1" x14ac:dyDescent="0.2">
      <c r="A38">
        <f>+MAX($A$8:A37)+1</f>
        <v>30</v>
      </c>
      <c r="B38" s="1" t="s">
        <v>234</v>
      </c>
      <c r="C38" t="s">
        <v>112</v>
      </c>
      <c r="D38" t="s">
        <v>34</v>
      </c>
      <c r="E38" s="28">
        <v>159000</v>
      </c>
      <c r="F38" s="13">
        <v>330.48149999999998</v>
      </c>
      <c r="G38" s="14">
        <f t="shared" si="0"/>
        <v>1.0800000000000001E-2</v>
      </c>
      <c r="H38" s="15"/>
    </row>
    <row r="39" spans="1:8" ht="12.75" customHeight="1" x14ac:dyDescent="0.2">
      <c r="A39">
        <f>+MAX($A$8:A38)+1</f>
        <v>31</v>
      </c>
      <c r="B39" t="s">
        <v>223</v>
      </c>
      <c r="C39" t="s">
        <v>78</v>
      </c>
      <c r="D39" t="s">
        <v>28</v>
      </c>
      <c r="E39" s="28">
        <v>108000</v>
      </c>
      <c r="F39" s="13">
        <v>328.86</v>
      </c>
      <c r="G39" s="14">
        <f t="shared" si="0"/>
        <v>1.0800000000000001E-2</v>
      </c>
      <c r="H39" s="15"/>
    </row>
    <row r="40" spans="1:8" ht="12.75" customHeight="1" x14ac:dyDescent="0.2">
      <c r="A40">
        <f>+MAX($A$8:A39)+1</f>
        <v>32</v>
      </c>
      <c r="B40" t="s">
        <v>402</v>
      </c>
      <c r="C40" t="s">
        <v>403</v>
      </c>
      <c r="D40" t="s">
        <v>104</v>
      </c>
      <c r="E40" s="28">
        <v>100800</v>
      </c>
      <c r="F40" s="13">
        <v>327.60000000000002</v>
      </c>
      <c r="G40" s="14">
        <f t="shared" si="0"/>
        <v>1.0699999999999999E-2</v>
      </c>
      <c r="H40" s="15"/>
    </row>
    <row r="41" spans="1:8" ht="12.75" customHeight="1" x14ac:dyDescent="0.2">
      <c r="A41">
        <f>+MAX($A$8:A40)+1</f>
        <v>33</v>
      </c>
      <c r="B41" t="s">
        <v>473</v>
      </c>
      <c r="C41" t="s">
        <v>474</v>
      </c>
      <c r="D41" t="s">
        <v>30</v>
      </c>
      <c r="E41" s="28">
        <v>189000</v>
      </c>
      <c r="F41" s="13">
        <v>316.29149999999998</v>
      </c>
      <c r="G41" s="14">
        <f t="shared" ref="G41:G57" si="2">+ROUND(F41/VLOOKUP("Grand Total",$B$4:$F$289,5,0),4)</f>
        <v>1.04E-2</v>
      </c>
      <c r="H41" s="15"/>
    </row>
    <row r="42" spans="1:8" ht="12.75" customHeight="1" x14ac:dyDescent="0.2">
      <c r="A42">
        <f>+MAX($A$8:A41)+1</f>
        <v>34</v>
      </c>
      <c r="B42" t="s">
        <v>475</v>
      </c>
      <c r="C42" t="s">
        <v>476</v>
      </c>
      <c r="D42" t="s">
        <v>22</v>
      </c>
      <c r="E42" s="28">
        <v>5700</v>
      </c>
      <c r="F42" s="13">
        <v>312.50819999999999</v>
      </c>
      <c r="G42" s="14">
        <f t="shared" si="2"/>
        <v>1.03E-2</v>
      </c>
      <c r="H42" s="15"/>
    </row>
    <row r="43" spans="1:8" ht="12.75" customHeight="1" x14ac:dyDescent="0.2">
      <c r="A43">
        <f>+MAX($A$8:A42)+1</f>
        <v>35</v>
      </c>
      <c r="B43" t="s">
        <v>546</v>
      </c>
      <c r="C43" t="s">
        <v>547</v>
      </c>
      <c r="D43" t="s">
        <v>104</v>
      </c>
      <c r="E43" s="28">
        <v>300000</v>
      </c>
      <c r="F43" s="13">
        <v>311.85000000000002</v>
      </c>
      <c r="G43" s="14">
        <f t="shared" si="2"/>
        <v>1.0200000000000001E-2</v>
      </c>
      <c r="H43" s="15"/>
    </row>
    <row r="44" spans="1:8" ht="12.75" customHeight="1" x14ac:dyDescent="0.2">
      <c r="A44">
        <f>+MAX($A$8:A43)+1</f>
        <v>36</v>
      </c>
      <c r="B44" t="s">
        <v>656</v>
      </c>
      <c r="C44" t="s">
        <v>657</v>
      </c>
      <c r="D44" t="s">
        <v>21</v>
      </c>
      <c r="E44" s="28">
        <v>75600</v>
      </c>
      <c r="F44" s="13">
        <v>311.73660000000001</v>
      </c>
      <c r="G44" s="14">
        <f t="shared" si="2"/>
        <v>1.0200000000000001E-2</v>
      </c>
      <c r="H44" s="15"/>
    </row>
    <row r="45" spans="1:8" ht="12.75" customHeight="1" x14ac:dyDescent="0.2">
      <c r="A45">
        <f>+MAX($A$8:A44)+1</f>
        <v>37</v>
      </c>
      <c r="B45" t="s">
        <v>209</v>
      </c>
      <c r="C45" t="s">
        <v>59</v>
      </c>
      <c r="D45" t="s">
        <v>21</v>
      </c>
      <c r="E45" s="28">
        <v>48000</v>
      </c>
      <c r="F45" s="13">
        <v>308.16000000000003</v>
      </c>
      <c r="G45" s="14">
        <f t="shared" si="2"/>
        <v>1.01E-2</v>
      </c>
      <c r="H45" s="15"/>
    </row>
    <row r="46" spans="1:8" ht="12.75" customHeight="1" x14ac:dyDescent="0.2">
      <c r="A46">
        <f>+MAX($A$8:A45)+1</f>
        <v>38</v>
      </c>
      <c r="B46" t="s">
        <v>208</v>
      </c>
      <c r="C46" t="s">
        <v>63</v>
      </c>
      <c r="D46" t="s">
        <v>32</v>
      </c>
      <c r="E46" s="28">
        <v>74280</v>
      </c>
      <c r="F46" s="13">
        <v>304.21373999999997</v>
      </c>
      <c r="G46" s="14">
        <f t="shared" si="2"/>
        <v>0.01</v>
      </c>
      <c r="H46" s="15"/>
    </row>
    <row r="47" spans="1:8" ht="12.75" customHeight="1" x14ac:dyDescent="0.2">
      <c r="A47">
        <f>+MAX($A$8:A46)+1</f>
        <v>39</v>
      </c>
      <c r="B47" t="s">
        <v>246</v>
      </c>
      <c r="C47" t="s">
        <v>121</v>
      </c>
      <c r="D47" t="s">
        <v>43</v>
      </c>
      <c r="E47" s="28">
        <v>129000</v>
      </c>
      <c r="F47" s="13">
        <v>303.98849999999999</v>
      </c>
      <c r="G47" s="14">
        <f t="shared" si="2"/>
        <v>0.01</v>
      </c>
      <c r="H47" s="15"/>
    </row>
    <row r="48" spans="1:8" ht="12.75" customHeight="1" x14ac:dyDescent="0.2">
      <c r="A48">
        <f>+MAX($A$8:A47)+1</f>
        <v>40</v>
      </c>
      <c r="B48" t="s">
        <v>434</v>
      </c>
      <c r="C48" t="s">
        <v>435</v>
      </c>
      <c r="D48" t="s">
        <v>103</v>
      </c>
      <c r="E48" s="28">
        <v>27900</v>
      </c>
      <c r="F48" s="13">
        <v>297.48374999999999</v>
      </c>
      <c r="G48" s="14">
        <f t="shared" si="2"/>
        <v>9.7999999999999997E-3</v>
      </c>
      <c r="H48" s="15"/>
    </row>
    <row r="49" spans="1:11" ht="12.75" customHeight="1" x14ac:dyDescent="0.2">
      <c r="A49">
        <f>+MAX($A$8:A48)+1</f>
        <v>41</v>
      </c>
      <c r="B49" t="s">
        <v>451</v>
      </c>
      <c r="C49" t="s">
        <v>452</v>
      </c>
      <c r="D49" t="s">
        <v>41</v>
      </c>
      <c r="E49" s="28">
        <v>26160</v>
      </c>
      <c r="F49" s="13">
        <v>290.91228000000001</v>
      </c>
      <c r="G49" s="14">
        <f t="shared" si="2"/>
        <v>9.4999999999999998E-3</v>
      </c>
      <c r="H49" s="15"/>
    </row>
    <row r="50" spans="1:11" ht="12.75" customHeight="1" x14ac:dyDescent="0.2">
      <c r="A50">
        <f>+MAX($A$8:A49)+1</f>
        <v>42</v>
      </c>
      <c r="B50" t="s">
        <v>207</v>
      </c>
      <c r="C50" t="s">
        <v>57</v>
      </c>
      <c r="D50" t="s">
        <v>21</v>
      </c>
      <c r="E50" s="28">
        <v>36000</v>
      </c>
      <c r="F50" s="13">
        <v>290.82600000000002</v>
      </c>
      <c r="G50" s="14">
        <f t="shared" si="2"/>
        <v>9.4999999999999998E-3</v>
      </c>
      <c r="H50" s="15"/>
    </row>
    <row r="51" spans="1:11" ht="12.75" customHeight="1" x14ac:dyDescent="0.2">
      <c r="A51">
        <f>+MAX($A$8:A50)+1</f>
        <v>43</v>
      </c>
      <c r="B51" t="s">
        <v>211</v>
      </c>
      <c r="C51" t="s">
        <v>27</v>
      </c>
      <c r="D51" t="s">
        <v>9</v>
      </c>
      <c r="E51" s="28">
        <v>55800</v>
      </c>
      <c r="F51" s="13">
        <v>288.65339999999998</v>
      </c>
      <c r="G51" s="14">
        <f t="shared" si="2"/>
        <v>9.4999999999999998E-3</v>
      </c>
      <c r="H51" s="15"/>
    </row>
    <row r="52" spans="1:11" ht="12.75" customHeight="1" x14ac:dyDescent="0.2">
      <c r="A52">
        <f>+MAX($A$8:A51)+1</f>
        <v>44</v>
      </c>
      <c r="B52" t="s">
        <v>393</v>
      </c>
      <c r="C52" t="s">
        <v>394</v>
      </c>
      <c r="D52" t="s">
        <v>385</v>
      </c>
      <c r="E52" s="28">
        <v>58800</v>
      </c>
      <c r="F52" s="13">
        <v>279.59399999999999</v>
      </c>
      <c r="G52" s="14">
        <f t="shared" si="2"/>
        <v>9.1999999999999998E-3</v>
      </c>
      <c r="H52" s="15"/>
    </row>
    <row r="53" spans="1:11" ht="12.75" customHeight="1" x14ac:dyDescent="0.2">
      <c r="A53">
        <f>+MAX($A$8:A52)+1</f>
        <v>45</v>
      </c>
      <c r="B53" t="s">
        <v>242</v>
      </c>
      <c r="C53" t="s">
        <v>117</v>
      </c>
      <c r="D53" t="s">
        <v>45</v>
      </c>
      <c r="E53" s="28">
        <v>85339</v>
      </c>
      <c r="F53" s="13">
        <v>277.43708899999996</v>
      </c>
      <c r="G53" s="14">
        <f t="shared" si="2"/>
        <v>9.1000000000000004E-3</v>
      </c>
      <c r="H53" s="15"/>
    </row>
    <row r="54" spans="1:11" ht="12.75" customHeight="1" x14ac:dyDescent="0.2">
      <c r="A54">
        <f>+MAX($A$8:A53)+1</f>
        <v>46</v>
      </c>
      <c r="B54" t="s">
        <v>270</v>
      </c>
      <c r="C54" t="s">
        <v>172</v>
      </c>
      <c r="D54" t="s">
        <v>45</v>
      </c>
      <c r="E54" s="28">
        <v>108000</v>
      </c>
      <c r="F54" s="13">
        <v>244.94399999999999</v>
      </c>
      <c r="G54" s="14">
        <f t="shared" si="2"/>
        <v>8.0000000000000002E-3</v>
      </c>
      <c r="H54" s="15"/>
    </row>
    <row r="55" spans="1:11" ht="12.75" customHeight="1" x14ac:dyDescent="0.2">
      <c r="A55">
        <f>+MAX($A$8:A54)+1</f>
        <v>47</v>
      </c>
      <c r="B55" t="s">
        <v>497</v>
      </c>
      <c r="C55" t="s">
        <v>498</v>
      </c>
      <c r="D55" t="s">
        <v>130</v>
      </c>
      <c r="E55" s="28">
        <v>70800</v>
      </c>
      <c r="F55" s="13">
        <v>226.3476</v>
      </c>
      <c r="G55" s="14">
        <f t="shared" si="2"/>
        <v>7.4000000000000003E-3</v>
      </c>
      <c r="H55" s="15"/>
    </row>
    <row r="56" spans="1:11" ht="12.75" customHeight="1" x14ac:dyDescent="0.2">
      <c r="A56">
        <f>+MAX($A$8:A55)+1</f>
        <v>48</v>
      </c>
      <c r="B56" t="s">
        <v>567</v>
      </c>
      <c r="C56" t="s">
        <v>568</v>
      </c>
      <c r="D56" t="s">
        <v>104</v>
      </c>
      <c r="E56" s="28">
        <v>78000</v>
      </c>
      <c r="F56" s="13">
        <v>148.19999999999999</v>
      </c>
      <c r="G56" s="14">
        <f t="shared" si="2"/>
        <v>4.8999999999999998E-3</v>
      </c>
      <c r="H56" s="15"/>
    </row>
    <row r="57" spans="1:11" ht="12.75" customHeight="1" x14ac:dyDescent="0.2">
      <c r="A57">
        <f>+MAX($A$8:A56)+1</f>
        <v>49</v>
      </c>
      <c r="B57" t="s">
        <v>658</v>
      </c>
      <c r="C57" t="s">
        <v>659</v>
      </c>
      <c r="D57" t="s">
        <v>45</v>
      </c>
      <c r="E57" s="28">
        <v>16200</v>
      </c>
      <c r="F57" s="13">
        <v>144.08279999999999</v>
      </c>
      <c r="G57" s="14">
        <f t="shared" si="2"/>
        <v>4.7000000000000002E-3</v>
      </c>
      <c r="H57" s="15"/>
    </row>
    <row r="58" spans="1:11" ht="12.75" customHeight="1" x14ac:dyDescent="0.2">
      <c r="B58" s="18" t="s">
        <v>83</v>
      </c>
      <c r="C58" s="18"/>
      <c r="D58" s="18"/>
      <c r="E58" s="29"/>
      <c r="F58" s="19">
        <f>SUM(F9:F57)</f>
        <v>30069.527536499998</v>
      </c>
      <c r="G58" s="20">
        <f>SUM(G9:G57)</f>
        <v>0.98659999999999981</v>
      </c>
      <c r="H58" s="21"/>
      <c r="I58" s="35"/>
    </row>
    <row r="59" spans="1:11" s="46" customFormat="1" ht="12.75" customHeight="1" x14ac:dyDescent="0.2">
      <c r="B59" s="67"/>
      <c r="C59" s="67"/>
      <c r="D59" s="67"/>
      <c r="E59" s="68"/>
      <c r="F59" s="69"/>
      <c r="G59" s="70"/>
      <c r="H59" s="71"/>
      <c r="I59" s="35"/>
      <c r="K59" s="48"/>
    </row>
    <row r="60" spans="1:11" ht="12.75" customHeight="1" x14ac:dyDescent="0.2">
      <c r="B60" s="16" t="s">
        <v>137</v>
      </c>
      <c r="C60" s="16"/>
      <c r="F60" s="13"/>
      <c r="G60" s="14"/>
      <c r="H60" s="15"/>
      <c r="J60" s="17"/>
      <c r="K60" s="37"/>
    </row>
    <row r="61" spans="1:11" ht="12.75" customHeight="1" x14ac:dyDescent="0.2">
      <c r="A61">
        <f>+MAX($A$8:A60)+1</f>
        <v>50</v>
      </c>
      <c r="B61" t="s">
        <v>658</v>
      </c>
      <c r="C61" s="125" t="s">
        <v>695</v>
      </c>
      <c r="D61" t="s">
        <v>305</v>
      </c>
      <c r="E61" s="28">
        <v>18000</v>
      </c>
      <c r="F61" s="13">
        <v>161.34299999999999</v>
      </c>
      <c r="G61" s="14">
        <f>+ROUND(F61/VLOOKUP("Grand Total",$B$4:$F$289,5,0),4)</f>
        <v>5.3E-3</v>
      </c>
      <c r="H61" s="15">
        <v>43251</v>
      </c>
      <c r="J61" s="14"/>
      <c r="K61" s="48"/>
    </row>
    <row r="62" spans="1:11" ht="12.75" customHeight="1" x14ac:dyDescent="0.2">
      <c r="B62" s="18" t="s">
        <v>83</v>
      </c>
      <c r="C62" s="18"/>
      <c r="D62" s="18"/>
      <c r="E62" s="29"/>
      <c r="F62" s="19">
        <f>SUM(F61:F61)</f>
        <v>161.34299999999999</v>
      </c>
      <c r="G62" s="20">
        <f>SUM(G61:G61)</f>
        <v>5.3E-3</v>
      </c>
      <c r="H62" s="21"/>
      <c r="I62" s="35"/>
    </row>
    <row r="63" spans="1:11" s="46" customFormat="1" ht="12.75" customHeight="1" x14ac:dyDescent="0.2">
      <c r="B63" s="67"/>
      <c r="C63" s="67"/>
      <c r="D63" s="67"/>
      <c r="E63" s="68"/>
      <c r="F63" s="69"/>
      <c r="G63" s="70"/>
      <c r="H63" s="71"/>
      <c r="I63" s="35"/>
      <c r="K63" s="48"/>
    </row>
    <row r="64" spans="1:11" ht="12.75" customHeight="1" x14ac:dyDescent="0.2">
      <c r="A64" s="95" t="s">
        <v>345</v>
      </c>
      <c r="B64" s="16" t="s">
        <v>91</v>
      </c>
      <c r="C64" s="16"/>
      <c r="F64" s="13">
        <v>332.26045600000003</v>
      </c>
      <c r="G64" s="14">
        <f>+ROUND(F64/VLOOKUP("Grand Total",$B$4:$F$289,5,0),4)</f>
        <v>1.09E-2</v>
      </c>
      <c r="H64" s="15">
        <v>43222</v>
      </c>
    </row>
    <row r="65" spans="2:11" ht="12.75" customHeight="1" x14ac:dyDescent="0.2">
      <c r="B65" s="18" t="s">
        <v>83</v>
      </c>
      <c r="C65" s="18"/>
      <c r="D65" s="18"/>
      <c r="E65" s="29"/>
      <c r="F65" s="19">
        <f>SUM(F64)</f>
        <v>332.26045600000003</v>
      </c>
      <c r="G65" s="20">
        <f>SUM(G64)</f>
        <v>1.09E-2</v>
      </c>
      <c r="H65" s="21"/>
    </row>
    <row r="66" spans="2:11" ht="12.75" customHeight="1" x14ac:dyDescent="0.2">
      <c r="F66" s="13"/>
      <c r="G66" s="14"/>
      <c r="H66" s="15"/>
      <c r="I66" s="35"/>
    </row>
    <row r="67" spans="2:11" ht="12.75" customHeight="1" x14ac:dyDescent="0.2">
      <c r="B67" s="16" t="s">
        <v>92</v>
      </c>
      <c r="C67" s="16"/>
      <c r="F67" s="13"/>
      <c r="G67" s="14"/>
      <c r="H67" s="15"/>
      <c r="I67" s="35"/>
    </row>
    <row r="68" spans="2:11" ht="12.75" customHeight="1" x14ac:dyDescent="0.2">
      <c r="B68" s="16" t="s">
        <v>93</v>
      </c>
      <c r="C68" s="16"/>
      <c r="F68" s="13">
        <v>-82.000376699998014</v>
      </c>
      <c r="G68" s="122">
        <f>+ROUND(F68/VLOOKUP("Grand Total",$B$4:$F$289,5,0),4)-0.01%</f>
        <v>-2.8E-3</v>
      </c>
      <c r="H68" s="15"/>
    </row>
    <row r="69" spans="2:11" ht="12.75" customHeight="1" x14ac:dyDescent="0.2">
      <c r="B69" s="18" t="s">
        <v>83</v>
      </c>
      <c r="C69" s="18"/>
      <c r="D69" s="18"/>
      <c r="E69" s="29"/>
      <c r="F69" s="19">
        <f>SUM(F68)</f>
        <v>-82.000376699998014</v>
      </c>
      <c r="G69" s="123">
        <f>SUM(G68)</f>
        <v>-2.8E-3</v>
      </c>
      <c r="H69" s="21"/>
    </row>
    <row r="70" spans="2:11" ht="12.75" customHeight="1" x14ac:dyDescent="0.2">
      <c r="B70" s="22" t="s">
        <v>94</v>
      </c>
      <c r="C70" s="22"/>
      <c r="D70" s="22"/>
      <c r="E70" s="30"/>
      <c r="F70" s="23">
        <f>+SUMIF($B$5:B69,"Total",$F$5:F69)</f>
        <v>30481.130615800001</v>
      </c>
      <c r="G70" s="24">
        <f>+SUMIF($B$5:B69,"Total",$G$5:G69)</f>
        <v>0.99999999999999967</v>
      </c>
      <c r="H70" s="25"/>
    </row>
    <row r="71" spans="2:11" ht="12.75" customHeight="1" x14ac:dyDescent="0.2">
      <c r="I71"/>
      <c r="K71"/>
    </row>
    <row r="72" spans="2:11" ht="12.75" customHeight="1" x14ac:dyDescent="0.2">
      <c r="B72" s="16" t="s">
        <v>736</v>
      </c>
      <c r="C72" s="16"/>
      <c r="F72" s="13"/>
      <c r="G72" s="14"/>
      <c r="I72"/>
      <c r="K72"/>
    </row>
    <row r="73" spans="2:11" ht="12.75" customHeight="1" x14ac:dyDescent="0.2">
      <c r="B73" s="16"/>
      <c r="C73" s="16"/>
      <c r="F73" s="13"/>
      <c r="G73" s="14"/>
      <c r="I73"/>
      <c r="K73"/>
    </row>
    <row r="74" spans="2:11" ht="12.75" customHeight="1" x14ac:dyDescent="0.2">
      <c r="B74" s="16"/>
      <c r="C74" s="16"/>
      <c r="F74" s="13"/>
      <c r="G74" s="14"/>
      <c r="I74"/>
      <c r="K74"/>
    </row>
    <row r="75" spans="2:11" ht="12.75" customHeight="1" x14ac:dyDescent="0.2">
      <c r="I75"/>
      <c r="K75"/>
    </row>
    <row r="76" spans="2:11" ht="12.75" customHeight="1" x14ac:dyDescent="0.2">
      <c r="F76" s="13"/>
      <c r="I76"/>
      <c r="K76"/>
    </row>
    <row r="77" spans="2:11" ht="12.75" customHeight="1" x14ac:dyDescent="0.2">
      <c r="I77"/>
      <c r="K77"/>
    </row>
    <row r="78" spans="2:11" ht="12.75" customHeight="1" x14ac:dyDescent="0.2">
      <c r="I78"/>
      <c r="K78"/>
    </row>
    <row r="79" spans="2:11" ht="12.75" customHeight="1" x14ac:dyDescent="0.2">
      <c r="I79"/>
      <c r="K79"/>
    </row>
    <row r="80" spans="2:11" ht="12.75" customHeight="1" x14ac:dyDescent="0.2"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</sheetData>
  <sheetProtection password="EDB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5703125" bestFit="1" customWidth="1"/>
    <col min="11" max="11" width="8" style="36" customWidth="1"/>
  </cols>
  <sheetData>
    <row r="1" spans="1:16" ht="18.75" x14ac:dyDescent="0.2">
      <c r="A1" s="94" t="s">
        <v>349</v>
      </c>
      <c r="B1" s="128" t="s">
        <v>127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+MAX($A$7:A8)+1</f>
        <v>1</v>
      </c>
      <c r="B9" t="s">
        <v>226</v>
      </c>
      <c r="C9" t="s">
        <v>99</v>
      </c>
      <c r="D9" t="s">
        <v>24</v>
      </c>
      <c r="E9" s="28">
        <v>75280</v>
      </c>
      <c r="F9" s="13">
        <v>1135.8999200000001</v>
      </c>
      <c r="G9" s="14">
        <f t="shared" ref="G9:G40" si="0">+ROUND(F9/VLOOKUP("Grand Total",$B$4:$F$306,5,0),4)</f>
        <v>8.3699999999999997E-2</v>
      </c>
      <c r="H9" s="15"/>
      <c r="J9" s="65" t="s">
        <v>24</v>
      </c>
      <c r="K9" s="103">
        <f t="shared" ref="K9:K35" si="1">SUMIFS($G$5:$G$330,$D$5:$D$330,J9)</f>
        <v>0.1749</v>
      </c>
    </row>
    <row r="10" spans="1:16" s="65" customFormat="1" ht="12.75" customHeight="1" x14ac:dyDescent="0.2">
      <c r="A10" s="65">
        <f>+MAX($A$7:A9)+1</f>
        <v>2</v>
      </c>
      <c r="B10" s="65" t="s">
        <v>195</v>
      </c>
      <c r="C10" s="65" t="s">
        <v>44</v>
      </c>
      <c r="D10" s="65" t="s">
        <v>24</v>
      </c>
      <c r="E10" s="85">
        <v>255108</v>
      </c>
      <c r="F10" s="86">
        <v>718.00146599999994</v>
      </c>
      <c r="G10" s="90">
        <f t="shared" si="0"/>
        <v>5.2900000000000003E-2</v>
      </c>
      <c r="H10" s="89"/>
      <c r="I10" s="73"/>
      <c r="J10" s="14" t="s">
        <v>13</v>
      </c>
      <c r="K10" s="103">
        <f t="shared" si="1"/>
        <v>0.1268</v>
      </c>
      <c r="L10" s="84"/>
      <c r="M10" s="90"/>
    </row>
    <row r="11" spans="1:16" ht="12.75" customHeight="1" x14ac:dyDescent="0.2">
      <c r="A11">
        <f>+MAX($A$7:A10)+1</f>
        <v>3</v>
      </c>
      <c r="B11" t="s">
        <v>203</v>
      </c>
      <c r="C11" t="s">
        <v>47</v>
      </c>
      <c r="D11" t="s">
        <v>19</v>
      </c>
      <c r="E11" s="28">
        <v>7350</v>
      </c>
      <c r="F11" s="13">
        <v>647.89882499999999</v>
      </c>
      <c r="G11" s="14">
        <f t="shared" si="0"/>
        <v>4.7699999999999999E-2</v>
      </c>
      <c r="H11" s="15"/>
      <c r="J11" s="14" t="s">
        <v>9</v>
      </c>
      <c r="K11" s="103">
        <f t="shared" si="1"/>
        <v>0.1176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187</v>
      </c>
      <c r="C12" t="s">
        <v>14</v>
      </c>
      <c r="D12" t="s">
        <v>13</v>
      </c>
      <c r="E12" s="28">
        <v>50850</v>
      </c>
      <c r="F12" s="13">
        <v>609.94574999999998</v>
      </c>
      <c r="G12" s="14">
        <f t="shared" si="0"/>
        <v>4.4900000000000002E-2</v>
      </c>
      <c r="H12" s="15"/>
      <c r="J12" s="14" t="s">
        <v>19</v>
      </c>
      <c r="K12" s="103">
        <f t="shared" si="1"/>
        <v>0.10400000000000001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235</v>
      </c>
      <c r="C13" t="s">
        <v>110</v>
      </c>
      <c r="D13" t="s">
        <v>19</v>
      </c>
      <c r="E13" s="28">
        <v>13500</v>
      </c>
      <c r="F13" s="13">
        <v>503.85374999999999</v>
      </c>
      <c r="G13" s="14">
        <f t="shared" si="0"/>
        <v>3.7100000000000001E-2</v>
      </c>
      <c r="H13" s="15"/>
      <c r="J13" s="14" t="s">
        <v>17</v>
      </c>
      <c r="K13" s="103">
        <f t="shared" si="1"/>
        <v>5.4099999999999995E-2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188</v>
      </c>
      <c r="C14" t="s">
        <v>29</v>
      </c>
      <c r="D14" t="s">
        <v>28</v>
      </c>
      <c r="E14" s="28">
        <v>50490</v>
      </c>
      <c r="F14" s="13">
        <v>486.37016999999997</v>
      </c>
      <c r="G14" s="14">
        <f t="shared" si="0"/>
        <v>3.5799999999999998E-2</v>
      </c>
      <c r="H14" s="15"/>
      <c r="J14" s="14" t="s">
        <v>28</v>
      </c>
      <c r="K14" s="103">
        <f t="shared" si="1"/>
        <v>5.3800000000000001E-2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186</v>
      </c>
      <c r="C15" t="s">
        <v>12</v>
      </c>
      <c r="D15" t="s">
        <v>9</v>
      </c>
      <c r="E15" s="28">
        <v>24800</v>
      </c>
      <c r="F15" s="13">
        <v>482.18639999999999</v>
      </c>
      <c r="G15" s="14">
        <f t="shared" si="0"/>
        <v>3.5499999999999997E-2</v>
      </c>
      <c r="H15" s="15"/>
      <c r="J15" s="14" t="s">
        <v>45</v>
      </c>
      <c r="K15" s="103">
        <f t="shared" si="1"/>
        <v>5.0800000000000005E-2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249</v>
      </c>
      <c r="C16" t="s">
        <v>131</v>
      </c>
      <c r="D16" t="s">
        <v>17</v>
      </c>
      <c r="E16" s="28">
        <v>13569</v>
      </c>
      <c r="F16" s="13">
        <v>413.7663015</v>
      </c>
      <c r="G16" s="14">
        <f t="shared" si="0"/>
        <v>3.0499999999999999E-2</v>
      </c>
      <c r="H16" s="15"/>
      <c r="J16" s="14" t="s">
        <v>130</v>
      </c>
      <c r="K16" s="103">
        <f t="shared" si="1"/>
        <v>3.9E-2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210</v>
      </c>
      <c r="C17" t="s">
        <v>18</v>
      </c>
      <c r="D17" t="s">
        <v>13</v>
      </c>
      <c r="E17" s="28">
        <v>10800</v>
      </c>
      <c r="F17" s="13">
        <v>381.46679999999998</v>
      </c>
      <c r="G17" s="14">
        <f t="shared" si="0"/>
        <v>2.81E-2</v>
      </c>
      <c r="H17" s="15"/>
      <c r="J17" s="14" t="s">
        <v>36</v>
      </c>
      <c r="K17" s="103">
        <f t="shared" si="1"/>
        <v>3.4200000000000001E-2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189</v>
      </c>
      <c r="C18" t="s">
        <v>10</v>
      </c>
      <c r="D18" t="s">
        <v>9</v>
      </c>
      <c r="E18" s="28">
        <v>129000</v>
      </c>
      <c r="F18" s="13">
        <v>366.61799999999999</v>
      </c>
      <c r="G18" s="14">
        <f t="shared" si="0"/>
        <v>2.7E-2</v>
      </c>
      <c r="H18" s="15"/>
      <c r="J18" s="14" t="s">
        <v>41</v>
      </c>
      <c r="K18" s="103">
        <f t="shared" si="1"/>
        <v>3.0800000000000001E-2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198</v>
      </c>
      <c r="C19" t="s">
        <v>51</v>
      </c>
      <c r="D19" t="s">
        <v>17</v>
      </c>
      <c r="E19" s="28">
        <v>7800</v>
      </c>
      <c r="F19" s="13">
        <v>320.49029999999999</v>
      </c>
      <c r="G19" s="14">
        <f t="shared" si="0"/>
        <v>2.3599999999999999E-2</v>
      </c>
      <c r="H19" s="15"/>
      <c r="J19" s="14" t="s">
        <v>26</v>
      </c>
      <c r="K19" s="103">
        <f t="shared" si="1"/>
        <v>2.6799999999999997E-2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254</v>
      </c>
      <c r="C20" t="s">
        <v>80</v>
      </c>
      <c r="D20" t="s">
        <v>13</v>
      </c>
      <c r="E20" s="28">
        <v>40500</v>
      </c>
      <c r="F20" s="13">
        <v>308.16449999999998</v>
      </c>
      <c r="G20" s="14">
        <f t="shared" si="0"/>
        <v>2.2700000000000001E-2</v>
      </c>
      <c r="H20" s="15"/>
      <c r="J20" s="14" t="s">
        <v>43</v>
      </c>
      <c r="K20" s="103">
        <f t="shared" si="1"/>
        <v>2.3600000000000003E-2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250</v>
      </c>
      <c r="C21" t="s">
        <v>132</v>
      </c>
      <c r="D21" t="s">
        <v>24</v>
      </c>
      <c r="E21" s="28">
        <v>10080</v>
      </c>
      <c r="F21" s="13">
        <v>307.48032000000001</v>
      </c>
      <c r="G21" s="14">
        <f t="shared" si="0"/>
        <v>2.2700000000000001E-2</v>
      </c>
      <c r="H21" s="15"/>
      <c r="J21" s="14" t="s">
        <v>39</v>
      </c>
      <c r="K21" s="103">
        <f t="shared" si="1"/>
        <v>2.0199999999999999E-2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15</v>
      </c>
      <c r="C22" t="s">
        <v>16</v>
      </c>
      <c r="D22" t="s">
        <v>9</v>
      </c>
      <c r="E22" s="28">
        <v>112800</v>
      </c>
      <c r="F22" s="13">
        <v>277.93920000000003</v>
      </c>
      <c r="G22" s="14">
        <f t="shared" si="0"/>
        <v>2.0500000000000001E-2</v>
      </c>
      <c r="H22" s="15"/>
      <c r="J22" s="14" t="s">
        <v>104</v>
      </c>
      <c r="K22" s="103">
        <f t="shared" si="1"/>
        <v>1.44E-2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372</v>
      </c>
      <c r="C23" t="s">
        <v>373</v>
      </c>
      <c r="D23" t="s">
        <v>130</v>
      </c>
      <c r="E23" s="28">
        <v>19608</v>
      </c>
      <c r="F23" s="13">
        <v>263.423676</v>
      </c>
      <c r="G23" s="14">
        <f t="shared" si="0"/>
        <v>1.9400000000000001E-2</v>
      </c>
      <c r="H23" s="15"/>
      <c r="J23" s="14" t="s">
        <v>22</v>
      </c>
      <c r="K23" s="103">
        <f t="shared" si="1"/>
        <v>1.38E-2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548</v>
      </c>
      <c r="C24" t="s">
        <v>549</v>
      </c>
      <c r="D24" t="s">
        <v>13</v>
      </c>
      <c r="E24" s="28">
        <v>24900</v>
      </c>
      <c r="F24" s="13">
        <v>243.60915</v>
      </c>
      <c r="G24" s="14">
        <f t="shared" si="0"/>
        <v>1.7899999999999999E-2</v>
      </c>
      <c r="H24" s="15"/>
      <c r="J24" s="14" t="s">
        <v>34</v>
      </c>
      <c r="K24" s="103">
        <f t="shared" si="1"/>
        <v>1.23E-2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221</v>
      </c>
      <c r="C25" t="s">
        <v>531</v>
      </c>
      <c r="D25" t="s">
        <v>45</v>
      </c>
      <c r="E25" s="28">
        <v>78000</v>
      </c>
      <c r="F25" s="13">
        <v>224.40600000000001</v>
      </c>
      <c r="G25" s="14">
        <f t="shared" si="0"/>
        <v>1.6500000000000001E-2</v>
      </c>
      <c r="H25" s="15"/>
      <c r="J25" s="14" t="s">
        <v>140</v>
      </c>
      <c r="K25" s="103">
        <f t="shared" si="1"/>
        <v>1.21E-2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247</v>
      </c>
      <c r="C26" t="s">
        <v>125</v>
      </c>
      <c r="D26" t="s">
        <v>24</v>
      </c>
      <c r="E26" s="28">
        <v>18900</v>
      </c>
      <c r="F26" s="13">
        <v>212.28479999999999</v>
      </c>
      <c r="G26" s="14">
        <f t="shared" si="0"/>
        <v>1.5599999999999999E-2</v>
      </c>
      <c r="H26" s="15"/>
      <c r="J26" s="14" t="s">
        <v>129</v>
      </c>
      <c r="K26" s="103">
        <f t="shared" si="1"/>
        <v>1.0699999999999999E-2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228</v>
      </c>
      <c r="C27" t="s">
        <v>101</v>
      </c>
      <c r="D27" t="s">
        <v>9</v>
      </c>
      <c r="E27" s="28">
        <v>9900</v>
      </c>
      <c r="F27" s="13">
        <v>187.90199999999999</v>
      </c>
      <c r="G27" s="14">
        <f t="shared" si="0"/>
        <v>1.38E-2</v>
      </c>
      <c r="H27" s="15"/>
      <c r="J27" s="14" t="s">
        <v>464</v>
      </c>
      <c r="K27" s="103">
        <f t="shared" si="1"/>
        <v>1.06E-2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295</v>
      </c>
      <c r="C28" t="s">
        <v>128</v>
      </c>
      <c r="D28" t="s">
        <v>22</v>
      </c>
      <c r="E28" s="28">
        <v>6900</v>
      </c>
      <c r="F28" s="13">
        <v>186.68985000000001</v>
      </c>
      <c r="G28" s="14">
        <f t="shared" si="0"/>
        <v>1.38E-2</v>
      </c>
      <c r="H28" s="15"/>
      <c r="J28" s="14" t="s">
        <v>97</v>
      </c>
      <c r="K28" s="103">
        <f t="shared" si="1"/>
        <v>1.0200000000000001E-2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218</v>
      </c>
      <c r="C29" t="s">
        <v>64</v>
      </c>
      <c r="D29" t="s">
        <v>26</v>
      </c>
      <c r="E29" s="28">
        <v>45600</v>
      </c>
      <c r="F29" s="13">
        <v>185.20439999999999</v>
      </c>
      <c r="G29" s="14">
        <f t="shared" si="0"/>
        <v>1.3599999999999999E-2</v>
      </c>
      <c r="H29" s="15"/>
      <c r="J29" t="s">
        <v>30</v>
      </c>
      <c r="K29" s="103">
        <f t="shared" si="1"/>
        <v>8.8000000000000005E-3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242</v>
      </c>
      <c r="C30" t="s">
        <v>117</v>
      </c>
      <c r="D30" t="s">
        <v>45</v>
      </c>
      <c r="E30" s="28">
        <v>55002</v>
      </c>
      <c r="F30" s="13">
        <v>178.81150199999999</v>
      </c>
      <c r="G30" s="14">
        <f t="shared" si="0"/>
        <v>1.32E-2</v>
      </c>
      <c r="H30" s="15"/>
      <c r="J30" s="14" t="s">
        <v>21</v>
      </c>
      <c r="K30" s="103">
        <f t="shared" si="1"/>
        <v>8.5000000000000006E-3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191</v>
      </c>
      <c r="C31" t="s">
        <v>23</v>
      </c>
      <c r="D31" t="s">
        <v>13</v>
      </c>
      <c r="E31" s="28">
        <v>16980</v>
      </c>
      <c r="F31" s="13">
        <v>178.75694999999999</v>
      </c>
      <c r="G31" s="14">
        <f t="shared" si="0"/>
        <v>1.32E-2</v>
      </c>
      <c r="H31" s="15"/>
      <c r="J31" s="14" t="s">
        <v>103</v>
      </c>
      <c r="K31" s="103">
        <f t="shared" si="1"/>
        <v>8.3999999999999995E-3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219</v>
      </c>
      <c r="C32" t="s">
        <v>69</v>
      </c>
      <c r="D32" t="s">
        <v>26</v>
      </c>
      <c r="E32" s="28">
        <v>12750</v>
      </c>
      <c r="F32" s="13">
        <v>178.61474999999999</v>
      </c>
      <c r="G32" s="14">
        <f t="shared" si="0"/>
        <v>1.32E-2</v>
      </c>
      <c r="H32" s="15"/>
      <c r="J32" s="14" t="s">
        <v>32</v>
      </c>
      <c r="K32" s="103">
        <f t="shared" si="1"/>
        <v>8.0999999999999996E-3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224</v>
      </c>
      <c r="C33" t="s">
        <v>79</v>
      </c>
      <c r="D33" t="s">
        <v>43</v>
      </c>
      <c r="E33" s="28">
        <v>51900</v>
      </c>
      <c r="F33" s="13">
        <v>169.63515000000001</v>
      </c>
      <c r="G33" s="14">
        <f t="shared" si="0"/>
        <v>1.2500000000000001E-2</v>
      </c>
      <c r="H33" s="15"/>
      <c r="J33" s="14" t="s">
        <v>305</v>
      </c>
      <c r="K33" s="103">
        <f t="shared" si="1"/>
        <v>7.1999999999999998E-3</v>
      </c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204</v>
      </c>
      <c r="C34" t="s">
        <v>53</v>
      </c>
      <c r="D34" t="s">
        <v>41</v>
      </c>
      <c r="E34" s="28">
        <v>7080</v>
      </c>
      <c r="F34" s="13">
        <v>169.38545999999999</v>
      </c>
      <c r="G34" s="14">
        <f t="shared" si="0"/>
        <v>1.2500000000000001E-2</v>
      </c>
      <c r="H34" s="15"/>
      <c r="J34" t="s">
        <v>450</v>
      </c>
      <c r="K34" s="103">
        <f t="shared" si="1"/>
        <v>5.1000000000000004E-3</v>
      </c>
    </row>
    <row r="35" spans="1:16" ht="12.75" customHeight="1" x14ac:dyDescent="0.2">
      <c r="A35">
        <f>+MAX($A$7:A34)+1</f>
        <v>27</v>
      </c>
      <c r="B35" t="s">
        <v>270</v>
      </c>
      <c r="C35" t="s">
        <v>172</v>
      </c>
      <c r="D35" t="s">
        <v>45</v>
      </c>
      <c r="E35" s="28">
        <v>73800</v>
      </c>
      <c r="F35" s="13">
        <v>167.3784</v>
      </c>
      <c r="G35" s="14">
        <f t="shared" si="0"/>
        <v>1.23E-2</v>
      </c>
      <c r="H35" s="15"/>
      <c r="J35" t="s">
        <v>302</v>
      </c>
      <c r="K35" s="103">
        <f t="shared" si="1"/>
        <v>1.6000000000000001E-3</v>
      </c>
    </row>
    <row r="36" spans="1:16" ht="12.75" customHeight="1" x14ac:dyDescent="0.2">
      <c r="A36">
        <f>+MAX($A$7:A35)+1</f>
        <v>28</v>
      </c>
      <c r="B36" t="s">
        <v>258</v>
      </c>
      <c r="C36" t="s">
        <v>142</v>
      </c>
      <c r="D36" t="s">
        <v>36</v>
      </c>
      <c r="E36" s="28">
        <v>207</v>
      </c>
      <c r="F36" s="13">
        <v>165.4622415</v>
      </c>
      <c r="G36" s="14">
        <f t="shared" si="0"/>
        <v>1.2200000000000001E-2</v>
      </c>
      <c r="H36" s="15"/>
      <c r="J36" s="14" t="s">
        <v>62</v>
      </c>
      <c r="K36" s="48">
        <f>+SUMIFS($G$5:$G$998,$B$5:$B$998,"CBLO / Reverse Repo Investments")+SUMIFS($G$5:$G$998,$B$5:$B$998,"Net Receivable/Payable")</f>
        <v>1.1600000000000001E-2</v>
      </c>
    </row>
    <row r="37" spans="1:16" ht="12.75" customHeight="1" x14ac:dyDescent="0.2">
      <c r="A37">
        <f>+MAX($A$7:A36)+1</f>
        <v>29</v>
      </c>
      <c r="B37" t="s">
        <v>280</v>
      </c>
      <c r="C37" t="s">
        <v>173</v>
      </c>
      <c r="D37" t="s">
        <v>36</v>
      </c>
      <c r="E37" s="28">
        <v>64800</v>
      </c>
      <c r="F37" s="13">
        <v>160.89840000000001</v>
      </c>
      <c r="G37" s="14">
        <f t="shared" si="0"/>
        <v>1.1900000000000001E-2</v>
      </c>
      <c r="H37" s="15"/>
    </row>
    <row r="38" spans="1:16" ht="12.75" customHeight="1" x14ac:dyDescent="0.2">
      <c r="A38">
        <f>+MAX($A$7:A37)+1</f>
        <v>30</v>
      </c>
      <c r="B38" t="s">
        <v>206</v>
      </c>
      <c r="C38" t="s">
        <v>96</v>
      </c>
      <c r="D38" t="s">
        <v>9</v>
      </c>
      <c r="E38" s="28">
        <v>12600</v>
      </c>
      <c r="F38" s="13">
        <v>152.5986</v>
      </c>
      <c r="G38" s="14">
        <f t="shared" si="0"/>
        <v>1.12E-2</v>
      </c>
      <c r="H38" s="15"/>
    </row>
    <row r="39" spans="1:16" ht="12.75" customHeight="1" x14ac:dyDescent="0.2">
      <c r="A39">
        <f>+MAX($A$7:A38)+1</f>
        <v>31</v>
      </c>
      <c r="B39" t="s">
        <v>246</v>
      </c>
      <c r="C39" t="s">
        <v>121</v>
      </c>
      <c r="D39" t="s">
        <v>43</v>
      </c>
      <c r="E39" s="28">
        <v>63900</v>
      </c>
      <c r="F39" s="13">
        <v>150.58035000000001</v>
      </c>
      <c r="G39" s="14">
        <f t="shared" si="0"/>
        <v>1.11E-2</v>
      </c>
      <c r="H39" s="15"/>
    </row>
    <row r="40" spans="1:16" ht="12.75" customHeight="1" x14ac:dyDescent="0.2">
      <c r="A40">
        <f>+MAX($A$7:A39)+1</f>
        <v>32</v>
      </c>
      <c r="B40" t="s">
        <v>252</v>
      </c>
      <c r="C40" t="s">
        <v>134</v>
      </c>
      <c r="D40" t="s">
        <v>129</v>
      </c>
      <c r="E40" s="28">
        <v>16800</v>
      </c>
      <c r="F40" s="13">
        <v>145.79040000000001</v>
      </c>
      <c r="G40" s="14">
        <f t="shared" si="0"/>
        <v>1.0699999999999999E-2</v>
      </c>
      <c r="H40" s="15"/>
    </row>
    <row r="41" spans="1:16" ht="12.75" customHeight="1" x14ac:dyDescent="0.2">
      <c r="A41">
        <f>+MAX($A$7:A40)+1</f>
        <v>33</v>
      </c>
      <c r="B41" t="s">
        <v>451</v>
      </c>
      <c r="C41" t="s">
        <v>452</v>
      </c>
      <c r="D41" t="s">
        <v>41</v>
      </c>
      <c r="E41" s="28">
        <v>12900</v>
      </c>
      <c r="F41" s="13">
        <v>143.45445000000001</v>
      </c>
      <c r="G41" s="14">
        <f t="shared" ref="G41:G66" si="2">+ROUND(F41/VLOOKUP("Grand Total",$B$4:$F$306,5,0),4)</f>
        <v>1.06E-2</v>
      </c>
      <c r="H41" s="15"/>
    </row>
    <row r="42" spans="1:16" ht="12.75" customHeight="1" x14ac:dyDescent="0.2">
      <c r="A42">
        <f>+MAX($A$7:A41)+1</f>
        <v>34</v>
      </c>
      <c r="B42" t="s">
        <v>462</v>
      </c>
      <c r="C42" t="s">
        <v>463</v>
      </c>
      <c r="D42" t="s">
        <v>464</v>
      </c>
      <c r="E42" s="28">
        <v>40500</v>
      </c>
      <c r="F42" s="13">
        <v>143.39025000000001</v>
      </c>
      <c r="G42" s="14">
        <f t="shared" si="2"/>
        <v>1.06E-2</v>
      </c>
      <c r="H42" s="15"/>
    </row>
    <row r="43" spans="1:16" ht="12.75" customHeight="1" x14ac:dyDescent="0.2">
      <c r="A43">
        <f>+MAX($A$7:A42)+1</f>
        <v>35</v>
      </c>
      <c r="B43" t="s">
        <v>324</v>
      </c>
      <c r="C43" t="s">
        <v>651</v>
      </c>
      <c r="D43" t="s">
        <v>130</v>
      </c>
      <c r="E43" s="28">
        <v>54000</v>
      </c>
      <c r="F43" s="13">
        <v>140.83199999999999</v>
      </c>
      <c r="G43" s="14">
        <f t="shared" si="2"/>
        <v>1.04E-2</v>
      </c>
      <c r="H43" s="15"/>
    </row>
    <row r="44" spans="1:16" ht="12.75" customHeight="1" x14ac:dyDescent="0.2">
      <c r="A44">
        <f>+MAX($A$7:A43)+1</f>
        <v>36</v>
      </c>
      <c r="B44" t="s">
        <v>223</v>
      </c>
      <c r="C44" t="s">
        <v>78</v>
      </c>
      <c r="D44" t="s">
        <v>28</v>
      </c>
      <c r="E44" s="28">
        <v>45900</v>
      </c>
      <c r="F44" s="13">
        <v>139.7655</v>
      </c>
      <c r="G44" s="14">
        <f t="shared" si="2"/>
        <v>1.03E-2</v>
      </c>
      <c r="H44" s="15"/>
    </row>
    <row r="45" spans="1:16" ht="12.75" customHeight="1" x14ac:dyDescent="0.2">
      <c r="A45">
        <f>+MAX($A$7:A44)+1</f>
        <v>37</v>
      </c>
      <c r="B45" t="s">
        <v>477</v>
      </c>
      <c r="C45" t="s">
        <v>478</v>
      </c>
      <c r="D45" t="s">
        <v>97</v>
      </c>
      <c r="E45" s="28">
        <v>59850</v>
      </c>
      <c r="F45" s="13">
        <v>139.12132500000001</v>
      </c>
      <c r="G45" s="14">
        <f t="shared" si="2"/>
        <v>1.0200000000000001E-2</v>
      </c>
      <c r="H45" s="15"/>
    </row>
    <row r="46" spans="1:16" ht="12.75" customHeight="1" x14ac:dyDescent="0.2">
      <c r="A46">
        <f>+MAX($A$7:A45)+1</f>
        <v>38</v>
      </c>
      <c r="B46" t="s">
        <v>479</v>
      </c>
      <c r="C46" t="s">
        <v>480</v>
      </c>
      <c r="D46" t="s">
        <v>39</v>
      </c>
      <c r="E46" s="28">
        <v>4938</v>
      </c>
      <c r="F46" s="13">
        <v>137.70847499999999</v>
      </c>
      <c r="G46" s="14">
        <f t="shared" si="2"/>
        <v>1.01E-2</v>
      </c>
      <c r="H46" s="15"/>
    </row>
    <row r="47" spans="1:16" ht="12.75" customHeight="1" x14ac:dyDescent="0.2">
      <c r="A47">
        <f>+MAX($A$7:A46)+1</f>
        <v>39</v>
      </c>
      <c r="B47" t="s">
        <v>436</v>
      </c>
      <c r="C47" t="s">
        <v>437</v>
      </c>
      <c r="D47" t="s">
        <v>39</v>
      </c>
      <c r="E47" s="28">
        <v>40500</v>
      </c>
      <c r="F47" s="13">
        <v>137.19374999999999</v>
      </c>
      <c r="G47" s="14">
        <f t="shared" si="2"/>
        <v>1.01E-2</v>
      </c>
      <c r="H47" s="15"/>
    </row>
    <row r="48" spans="1:16" ht="12.75" customHeight="1" x14ac:dyDescent="0.2">
      <c r="A48">
        <f>+MAX($A$7:A47)+1</f>
        <v>40</v>
      </c>
      <c r="B48" t="s">
        <v>293</v>
      </c>
      <c r="C48" t="s">
        <v>74</v>
      </c>
      <c r="D48" t="s">
        <v>36</v>
      </c>
      <c r="E48" s="28">
        <v>37608</v>
      </c>
      <c r="F48" s="13">
        <v>136.629864</v>
      </c>
      <c r="G48" s="14">
        <f t="shared" si="2"/>
        <v>1.01E-2</v>
      </c>
      <c r="H48" s="15"/>
    </row>
    <row r="49" spans="1:8" ht="12.75" customHeight="1" x14ac:dyDescent="0.2">
      <c r="A49">
        <f>+MAX($A$7:A48)+1</f>
        <v>41</v>
      </c>
      <c r="B49" t="s">
        <v>234</v>
      </c>
      <c r="C49" t="s">
        <v>112</v>
      </c>
      <c r="D49" t="s">
        <v>34</v>
      </c>
      <c r="E49" s="28">
        <v>64800</v>
      </c>
      <c r="F49" s="13">
        <v>134.68680000000001</v>
      </c>
      <c r="G49" s="14">
        <f t="shared" si="2"/>
        <v>9.9000000000000008E-3</v>
      </c>
      <c r="H49" s="15"/>
    </row>
    <row r="50" spans="1:8" ht="12.75" customHeight="1" x14ac:dyDescent="0.2">
      <c r="A50">
        <f>+MAX($A$7:A49)+1</f>
        <v>42</v>
      </c>
      <c r="B50" t="s">
        <v>546</v>
      </c>
      <c r="C50" t="s">
        <v>547</v>
      </c>
      <c r="D50" t="s">
        <v>104</v>
      </c>
      <c r="E50" s="28">
        <v>128393</v>
      </c>
      <c r="F50" s="13">
        <v>133.46452349999998</v>
      </c>
      <c r="G50" s="14">
        <f t="shared" si="2"/>
        <v>9.7999999999999997E-3</v>
      </c>
      <c r="H50" s="15"/>
    </row>
    <row r="51" spans="1:8" ht="12.75" customHeight="1" x14ac:dyDescent="0.2">
      <c r="A51">
        <f>+MAX($A$7:A50)+1</f>
        <v>43</v>
      </c>
      <c r="B51" t="s">
        <v>193</v>
      </c>
      <c r="C51" t="s">
        <v>37</v>
      </c>
      <c r="D51" t="s">
        <v>19</v>
      </c>
      <c r="E51" s="28">
        <v>4500</v>
      </c>
      <c r="F51" s="13">
        <v>132.86699999999999</v>
      </c>
      <c r="G51" s="14">
        <f t="shared" si="2"/>
        <v>9.7999999999999997E-3</v>
      </c>
      <c r="H51" s="15"/>
    </row>
    <row r="52" spans="1:8" ht="12.75" customHeight="1" x14ac:dyDescent="0.2">
      <c r="A52">
        <f>+MAX($A$7:A51)+1</f>
        <v>44</v>
      </c>
      <c r="B52" t="s">
        <v>303</v>
      </c>
      <c r="C52" t="s">
        <v>304</v>
      </c>
      <c r="D52" t="s">
        <v>9</v>
      </c>
      <c r="E52" s="28">
        <v>70590</v>
      </c>
      <c r="F52" s="13">
        <v>129.77971500000001</v>
      </c>
      <c r="G52" s="14">
        <f t="shared" si="2"/>
        <v>9.5999999999999992E-3</v>
      </c>
      <c r="H52" s="15"/>
    </row>
    <row r="53" spans="1:8" ht="12.75" customHeight="1" x14ac:dyDescent="0.2">
      <c r="A53">
        <f>+MAX($A$7:A52)+1</f>
        <v>45</v>
      </c>
      <c r="B53" t="s">
        <v>321</v>
      </c>
      <c r="C53" t="s">
        <v>322</v>
      </c>
      <c r="D53" t="s">
        <v>19</v>
      </c>
      <c r="E53" s="28">
        <v>77400</v>
      </c>
      <c r="F53" s="13">
        <v>127.2843</v>
      </c>
      <c r="G53" s="14">
        <f t="shared" si="2"/>
        <v>9.4000000000000004E-3</v>
      </c>
      <c r="H53" s="15"/>
    </row>
    <row r="54" spans="1:8" ht="12.75" customHeight="1" x14ac:dyDescent="0.2">
      <c r="A54">
        <f>+MAX($A$7:A53)+1</f>
        <v>46</v>
      </c>
      <c r="B54" t="s">
        <v>411</v>
      </c>
      <c r="C54" t="s">
        <v>412</v>
      </c>
      <c r="D54" t="s">
        <v>130</v>
      </c>
      <c r="E54" s="28">
        <v>84900</v>
      </c>
      <c r="F54" s="13">
        <v>125.22750000000001</v>
      </c>
      <c r="G54" s="14">
        <f t="shared" si="2"/>
        <v>9.1999999999999998E-3</v>
      </c>
      <c r="H54" s="15"/>
    </row>
    <row r="55" spans="1:8" ht="12.75" customHeight="1" x14ac:dyDescent="0.2">
      <c r="A55">
        <f>+MAX($A$7:A54)+1</f>
        <v>47</v>
      </c>
      <c r="B55" t="s">
        <v>658</v>
      </c>
      <c r="C55" t="s">
        <v>659</v>
      </c>
      <c r="D55" t="s">
        <v>45</v>
      </c>
      <c r="E55" s="28">
        <v>13500</v>
      </c>
      <c r="F55" s="13">
        <v>120.069</v>
      </c>
      <c r="G55" s="14">
        <f t="shared" si="2"/>
        <v>8.8000000000000005E-3</v>
      </c>
      <c r="H55" s="15"/>
    </row>
    <row r="56" spans="1:8" ht="12.75" customHeight="1" x14ac:dyDescent="0.2">
      <c r="A56">
        <f>+MAX($A$7:A55)+1</f>
        <v>48</v>
      </c>
      <c r="B56" t="s">
        <v>319</v>
      </c>
      <c r="C56" t="s">
        <v>660</v>
      </c>
      <c r="D56" t="s">
        <v>30</v>
      </c>
      <c r="E56" s="28">
        <v>114000</v>
      </c>
      <c r="F56" s="13">
        <v>119.586</v>
      </c>
      <c r="G56" s="14">
        <f t="shared" si="2"/>
        <v>8.8000000000000005E-3</v>
      </c>
      <c r="H56" s="15"/>
    </row>
    <row r="57" spans="1:8" ht="12.75" customHeight="1" x14ac:dyDescent="0.2">
      <c r="A57">
        <f>+MAX($A$7:A56)+1</f>
        <v>49</v>
      </c>
      <c r="B57" t="s">
        <v>656</v>
      </c>
      <c r="C57" t="s">
        <v>657</v>
      </c>
      <c r="D57" t="s">
        <v>21</v>
      </c>
      <c r="E57" s="28">
        <v>27900</v>
      </c>
      <c r="F57" s="13">
        <v>115.04564999999999</v>
      </c>
      <c r="G57" s="14">
        <f t="shared" si="2"/>
        <v>8.5000000000000006E-3</v>
      </c>
      <c r="H57" s="15"/>
    </row>
    <row r="58" spans="1:8" ht="12.75" customHeight="1" x14ac:dyDescent="0.2">
      <c r="A58">
        <f>+MAX($A$7:A57)+1</f>
        <v>50</v>
      </c>
      <c r="B58" t="s">
        <v>571</v>
      </c>
      <c r="C58" t="s">
        <v>572</v>
      </c>
      <c r="D58" t="s">
        <v>103</v>
      </c>
      <c r="E58" s="28">
        <v>135000</v>
      </c>
      <c r="F58" s="13">
        <v>114.21</v>
      </c>
      <c r="G58" s="14">
        <f t="shared" si="2"/>
        <v>8.3999999999999995E-3</v>
      </c>
      <c r="H58" s="15"/>
    </row>
    <row r="59" spans="1:8" ht="12.75" customHeight="1" x14ac:dyDescent="0.2">
      <c r="A59">
        <f>+MAX($A$7:A58)+1</f>
        <v>51</v>
      </c>
      <c r="B59" t="s">
        <v>569</v>
      </c>
      <c r="C59" t="s">
        <v>570</v>
      </c>
      <c r="D59" t="s">
        <v>140</v>
      </c>
      <c r="E59" s="28">
        <v>118800</v>
      </c>
      <c r="F59" s="13">
        <v>113.62032000000001</v>
      </c>
      <c r="G59" s="14">
        <f t="shared" si="2"/>
        <v>8.3999999999999995E-3</v>
      </c>
      <c r="H59" s="15"/>
    </row>
    <row r="60" spans="1:8" ht="12.75" customHeight="1" x14ac:dyDescent="0.2">
      <c r="A60">
        <f>+MAX($A$7:A59)+1</f>
        <v>52</v>
      </c>
      <c r="B60" t="s">
        <v>208</v>
      </c>
      <c r="C60" t="s">
        <v>63</v>
      </c>
      <c r="D60" t="s">
        <v>32</v>
      </c>
      <c r="E60" s="28">
        <v>27000</v>
      </c>
      <c r="F60" s="13">
        <v>110.57850000000001</v>
      </c>
      <c r="G60" s="14">
        <f t="shared" si="2"/>
        <v>8.0999999999999996E-3</v>
      </c>
      <c r="H60" s="15"/>
    </row>
    <row r="61" spans="1:8" ht="12.75" customHeight="1" x14ac:dyDescent="0.2">
      <c r="A61">
        <f>+MAX($A$7:A60)+1</f>
        <v>53</v>
      </c>
      <c r="B61" t="s">
        <v>272</v>
      </c>
      <c r="C61" t="s">
        <v>171</v>
      </c>
      <c r="D61" t="s">
        <v>28</v>
      </c>
      <c r="E61" s="28">
        <v>64800</v>
      </c>
      <c r="F61" s="13">
        <v>105.1704</v>
      </c>
      <c r="G61" s="14">
        <f t="shared" si="2"/>
        <v>7.7000000000000002E-3</v>
      </c>
      <c r="H61" s="15"/>
    </row>
    <row r="62" spans="1:8" ht="12.75" customHeight="1" x14ac:dyDescent="0.2">
      <c r="A62">
        <f>+MAX($A$7:A61)+1</f>
        <v>54</v>
      </c>
      <c r="B62" t="s">
        <v>374</v>
      </c>
      <c r="C62" t="s">
        <v>375</v>
      </c>
      <c r="D62" t="s">
        <v>41</v>
      </c>
      <c r="E62" s="28">
        <v>27000</v>
      </c>
      <c r="F62" s="13">
        <v>105.13800000000001</v>
      </c>
      <c r="G62" s="14">
        <f t="shared" si="2"/>
        <v>7.7000000000000002E-3</v>
      </c>
      <c r="H62" s="15"/>
    </row>
    <row r="63" spans="1:8" ht="12.75" customHeight="1" x14ac:dyDescent="0.2">
      <c r="A63">
        <f>+MAX($A$7:A62)+1</f>
        <v>55</v>
      </c>
      <c r="B63" t="s">
        <v>205</v>
      </c>
      <c r="C63" t="s">
        <v>72</v>
      </c>
      <c r="D63" t="s">
        <v>450</v>
      </c>
      <c r="E63" s="28">
        <v>47100</v>
      </c>
      <c r="F63" s="13">
        <v>69.684449999999998</v>
      </c>
      <c r="G63" s="14">
        <f t="shared" si="2"/>
        <v>5.1000000000000004E-3</v>
      </c>
      <c r="H63" s="15"/>
    </row>
    <row r="64" spans="1:8" ht="12.75" customHeight="1" x14ac:dyDescent="0.2">
      <c r="A64">
        <f>+MAX($A$7:A63)+1</f>
        <v>56</v>
      </c>
      <c r="B64" t="s">
        <v>567</v>
      </c>
      <c r="C64" t="s">
        <v>568</v>
      </c>
      <c r="D64" t="s">
        <v>104</v>
      </c>
      <c r="E64" s="28">
        <v>33000</v>
      </c>
      <c r="F64" s="13">
        <v>62.7</v>
      </c>
      <c r="G64" s="14">
        <f t="shared" si="2"/>
        <v>4.5999999999999999E-3</v>
      </c>
      <c r="H64" s="15"/>
    </row>
    <row r="65" spans="1:11" ht="12.75" customHeight="1" x14ac:dyDescent="0.2">
      <c r="A65">
        <f>+MAX($A$7:A64)+1</f>
        <v>57</v>
      </c>
      <c r="B65" t="s">
        <v>332</v>
      </c>
      <c r="C65" t="s">
        <v>333</v>
      </c>
      <c r="D65" t="s">
        <v>140</v>
      </c>
      <c r="E65" s="28">
        <v>118800</v>
      </c>
      <c r="F65" s="13">
        <v>50.668199999999999</v>
      </c>
      <c r="G65" s="14">
        <f t="shared" si="2"/>
        <v>3.7000000000000002E-3</v>
      </c>
      <c r="H65" s="15"/>
    </row>
    <row r="66" spans="1:11" ht="12.75" customHeight="1" x14ac:dyDescent="0.2">
      <c r="A66">
        <f>+MAX($A$7:A65)+1</f>
        <v>58</v>
      </c>
      <c r="B66" t="s">
        <v>237</v>
      </c>
      <c r="C66" t="s">
        <v>113</v>
      </c>
      <c r="D66" t="s">
        <v>34</v>
      </c>
      <c r="E66" s="28">
        <v>18700</v>
      </c>
      <c r="F66" s="13">
        <v>32.192050000000002</v>
      </c>
      <c r="G66" s="14">
        <f t="shared" si="2"/>
        <v>2.3999999999999998E-3</v>
      </c>
      <c r="H66" s="15"/>
    </row>
    <row r="67" spans="1:11" ht="12.75" customHeight="1" x14ac:dyDescent="0.2">
      <c r="A67">
        <f>+MAX($A$7:A66)+1</f>
        <v>59</v>
      </c>
      <c r="B67" t="s">
        <v>423</v>
      </c>
      <c r="C67" s="121" t="s">
        <v>695</v>
      </c>
      <c r="D67" t="s">
        <v>36</v>
      </c>
      <c r="E67" s="28">
        <v>16500</v>
      </c>
      <c r="F67" s="13">
        <v>0</v>
      </c>
      <c r="G67" s="108" t="s">
        <v>494</v>
      </c>
      <c r="H67" s="15"/>
    </row>
    <row r="68" spans="1:11" ht="12.75" customHeight="1" x14ac:dyDescent="0.2">
      <c r="B68" s="18" t="s">
        <v>83</v>
      </c>
      <c r="C68" s="18"/>
      <c r="D68" s="18"/>
      <c r="E68" s="29"/>
      <c r="F68" s="19">
        <f>SUM(F9:F67)</f>
        <v>13301.581804500003</v>
      </c>
      <c r="G68" s="20">
        <f>SUM(G9:G67)</f>
        <v>0.97960000000000003</v>
      </c>
      <c r="H68" s="21"/>
      <c r="I68" s="49"/>
    </row>
    <row r="69" spans="1:11" ht="12.75" customHeight="1" x14ac:dyDescent="0.2">
      <c r="F69" s="13"/>
      <c r="G69" s="14"/>
      <c r="H69" s="15"/>
    </row>
    <row r="70" spans="1:11" ht="12.75" customHeight="1" x14ac:dyDescent="0.2">
      <c r="B70" s="16" t="s">
        <v>288</v>
      </c>
      <c r="C70" s="16"/>
      <c r="F70" s="13"/>
      <c r="G70" s="14"/>
      <c r="H70" s="15"/>
      <c r="J70" s="65"/>
    </row>
    <row r="71" spans="1:11" ht="12.75" customHeight="1" x14ac:dyDescent="0.2">
      <c r="A71">
        <f>+MAX($A$8:A70)+1</f>
        <v>60</v>
      </c>
      <c r="B71" s="65" t="s">
        <v>747</v>
      </c>
      <c r="C71" s="121" t="s">
        <v>695</v>
      </c>
      <c r="D71" t="s">
        <v>30</v>
      </c>
      <c r="E71" s="28">
        <v>900</v>
      </c>
      <c r="F71" s="13">
        <v>0</v>
      </c>
      <c r="G71" s="108" t="s">
        <v>494</v>
      </c>
      <c r="H71" s="15"/>
    </row>
    <row r="72" spans="1:11" ht="12.75" customHeight="1" x14ac:dyDescent="0.2">
      <c r="A72">
        <f>+MAX($A$8:A71)+1</f>
        <v>61</v>
      </c>
      <c r="B72" s="65" t="s">
        <v>748</v>
      </c>
      <c r="C72" s="121" t="s">
        <v>695</v>
      </c>
      <c r="D72" t="s">
        <v>22</v>
      </c>
      <c r="E72" s="28">
        <v>20</v>
      </c>
      <c r="F72" s="13">
        <v>0</v>
      </c>
      <c r="G72" s="108" t="s">
        <v>494</v>
      </c>
      <c r="H72" s="15"/>
    </row>
    <row r="73" spans="1:11" ht="12.75" customHeight="1" x14ac:dyDescent="0.2">
      <c r="A73">
        <f>+MAX($A$8:A72)+1</f>
        <v>62</v>
      </c>
      <c r="B73" s="65" t="s">
        <v>749</v>
      </c>
      <c r="C73" t="s">
        <v>136</v>
      </c>
      <c r="D73" t="s">
        <v>32</v>
      </c>
      <c r="E73" s="28">
        <v>50000</v>
      </c>
      <c r="F73" s="13">
        <v>0</v>
      </c>
      <c r="G73" s="108" t="s">
        <v>494</v>
      </c>
      <c r="H73" s="15"/>
    </row>
    <row r="74" spans="1:11" ht="12.75" customHeight="1" x14ac:dyDescent="0.2">
      <c r="A74">
        <f>+MAX($A$8:A73)+1</f>
        <v>63</v>
      </c>
      <c r="B74" s="65" t="s">
        <v>750</v>
      </c>
      <c r="C74" s="121" t="s">
        <v>695</v>
      </c>
      <c r="D74" t="s">
        <v>26</v>
      </c>
      <c r="E74" s="28">
        <v>200000</v>
      </c>
      <c r="F74" s="13">
        <v>0</v>
      </c>
      <c r="G74" s="108" t="s">
        <v>494</v>
      </c>
      <c r="H74" s="15"/>
    </row>
    <row r="75" spans="1:11" ht="12.75" customHeight="1" x14ac:dyDescent="0.2">
      <c r="A75">
        <f>+MAX($A$8:A74)+1</f>
        <v>64</v>
      </c>
      <c r="B75" s="65" t="s">
        <v>751</v>
      </c>
      <c r="C75" s="121" t="s">
        <v>695</v>
      </c>
      <c r="D75" t="s">
        <v>24</v>
      </c>
      <c r="E75" s="28">
        <v>50000</v>
      </c>
      <c r="F75" s="13">
        <v>0</v>
      </c>
      <c r="G75" s="108" t="s">
        <v>494</v>
      </c>
      <c r="H75" s="15"/>
    </row>
    <row r="76" spans="1:11" ht="12.75" customHeight="1" x14ac:dyDescent="0.2">
      <c r="B76" s="18" t="s">
        <v>83</v>
      </c>
      <c r="C76" s="18"/>
      <c r="D76" s="18"/>
      <c r="E76" s="29"/>
      <c r="F76" s="19">
        <f>SUM(F71:F75)</f>
        <v>0</v>
      </c>
      <c r="G76" s="51" t="s">
        <v>494</v>
      </c>
      <c r="H76" s="21"/>
      <c r="I76" s="49"/>
    </row>
    <row r="77" spans="1:11" ht="12.75" customHeight="1" x14ac:dyDescent="0.2">
      <c r="F77" s="13"/>
      <c r="G77" s="14"/>
      <c r="H77" s="15"/>
      <c r="J77" s="46"/>
      <c r="K77" s="48"/>
    </row>
    <row r="78" spans="1:11" ht="12.75" customHeight="1" x14ac:dyDescent="0.2">
      <c r="B78" s="16" t="s">
        <v>137</v>
      </c>
      <c r="C78" s="16"/>
      <c r="F78" s="13"/>
      <c r="G78" s="14"/>
      <c r="H78" s="15"/>
      <c r="I78" s="73"/>
    </row>
    <row r="79" spans="1:11" ht="12.75" customHeight="1" x14ac:dyDescent="0.2">
      <c r="A79">
        <f>+MAX($A$8:A78)+1</f>
        <v>65</v>
      </c>
      <c r="B79" t="s">
        <v>237</v>
      </c>
      <c r="C79" s="125" t="s">
        <v>695</v>
      </c>
      <c r="D79" t="s">
        <v>305</v>
      </c>
      <c r="E79" s="28">
        <v>56000</v>
      </c>
      <c r="F79" s="13">
        <v>97.075999999999993</v>
      </c>
      <c r="G79" s="14">
        <f>+ROUND(F79/VLOOKUP("Grand Total",$B$4:$F$297,5,0),4)</f>
        <v>7.1999999999999998E-3</v>
      </c>
      <c r="H79" s="15">
        <v>43251</v>
      </c>
      <c r="I79" s="73"/>
    </row>
    <row r="80" spans="1:11" ht="12.75" customHeight="1" x14ac:dyDescent="0.2">
      <c r="B80" s="18" t="s">
        <v>83</v>
      </c>
      <c r="C80" s="18"/>
      <c r="D80" s="18"/>
      <c r="E80" s="29"/>
      <c r="F80" s="19">
        <f>SUM(F79)</f>
        <v>97.075999999999993</v>
      </c>
      <c r="G80" s="20">
        <f>SUM(G79)</f>
        <v>7.1999999999999998E-3</v>
      </c>
      <c r="H80" s="21"/>
      <c r="I80" s="35"/>
    </row>
    <row r="81" spans="1:12" ht="12.75" customHeight="1" x14ac:dyDescent="0.2">
      <c r="F81" s="13"/>
      <c r="G81" s="14"/>
      <c r="H81" s="15"/>
      <c r="J81" s="46"/>
      <c r="K81" s="48"/>
    </row>
    <row r="82" spans="1:12" ht="12.75" customHeight="1" x14ac:dyDescent="0.2">
      <c r="B82" s="16" t="s">
        <v>90</v>
      </c>
      <c r="C82" s="16"/>
      <c r="F82" s="13"/>
      <c r="G82" s="14"/>
      <c r="H82" s="15"/>
      <c r="I82" s="73"/>
    </row>
    <row r="83" spans="1:12" ht="12.75" customHeight="1" x14ac:dyDescent="0.2">
      <c r="A83">
        <f>+MAX($A$8:A82)+1</f>
        <v>66</v>
      </c>
      <c r="B83" t="s">
        <v>413</v>
      </c>
      <c r="C83" t="s">
        <v>331</v>
      </c>
      <c r="D83" t="s">
        <v>302</v>
      </c>
      <c r="E83" s="28">
        <v>1317.8731</v>
      </c>
      <c r="F83" s="13">
        <v>22.339431699999999</v>
      </c>
      <c r="G83" s="14">
        <f>+ROUND(F83/VLOOKUP("Grand Total",$B$4:$F$297,5,0),4)</f>
        <v>1.6000000000000001E-3</v>
      </c>
      <c r="H83" s="15" t="s">
        <v>346</v>
      </c>
      <c r="I83" s="73"/>
    </row>
    <row r="84" spans="1:12" ht="12.75" customHeight="1" x14ac:dyDescent="0.2">
      <c r="B84" s="18" t="s">
        <v>83</v>
      </c>
      <c r="C84" s="18"/>
      <c r="D84" s="18"/>
      <c r="E84" s="29"/>
      <c r="F84" s="19">
        <f>SUM(F83)</f>
        <v>22.339431699999999</v>
      </c>
      <c r="G84" s="20">
        <f>SUM(G83)</f>
        <v>1.6000000000000001E-3</v>
      </c>
      <c r="H84" s="21"/>
      <c r="I84" s="35"/>
    </row>
    <row r="85" spans="1:12" s="46" customFormat="1" ht="12.75" customHeight="1" x14ac:dyDescent="0.2">
      <c r="B85" s="67"/>
      <c r="C85" s="67"/>
      <c r="D85" s="67"/>
      <c r="E85" s="68"/>
      <c r="F85" s="69"/>
      <c r="G85" s="70"/>
      <c r="H85" s="35"/>
      <c r="I85" s="35"/>
      <c r="K85" s="48"/>
      <c r="L85"/>
    </row>
    <row r="86" spans="1:12" ht="12.75" customHeight="1" x14ac:dyDescent="0.2">
      <c r="A86" s="95" t="s">
        <v>345</v>
      </c>
      <c r="B86" s="16" t="s">
        <v>91</v>
      </c>
      <c r="C86" s="16"/>
      <c r="F86" s="13">
        <v>315.7849478</v>
      </c>
      <c r="G86" s="14">
        <f>+ROUND(F86/VLOOKUP("Grand Total",$B$4:$F$306,5,0),4)</f>
        <v>2.3300000000000001E-2</v>
      </c>
      <c r="H86" s="15">
        <v>43222</v>
      </c>
      <c r="L86" s="46"/>
    </row>
    <row r="87" spans="1:12" ht="12.75" customHeight="1" x14ac:dyDescent="0.2">
      <c r="B87" s="18" t="s">
        <v>83</v>
      </c>
      <c r="C87" s="18"/>
      <c r="D87" s="18"/>
      <c r="E87" s="29"/>
      <c r="F87" s="19">
        <f>SUM(F86)</f>
        <v>315.7849478</v>
      </c>
      <c r="G87" s="20">
        <f>SUM(G86)</f>
        <v>2.3300000000000001E-2</v>
      </c>
      <c r="H87" s="21"/>
      <c r="I87" s="49"/>
    </row>
    <row r="88" spans="1:12" ht="12.75" customHeight="1" x14ac:dyDescent="0.2">
      <c r="F88" s="13"/>
      <c r="G88" s="14"/>
      <c r="H88" s="15"/>
    </row>
    <row r="89" spans="1:12" ht="12.75" customHeight="1" x14ac:dyDescent="0.2">
      <c r="B89" s="16" t="s">
        <v>92</v>
      </c>
      <c r="C89" s="16"/>
      <c r="F89" s="13"/>
      <c r="G89" s="14"/>
      <c r="H89" s="15"/>
    </row>
    <row r="90" spans="1:12" ht="12.75" customHeight="1" x14ac:dyDescent="0.2">
      <c r="B90" s="16" t="s">
        <v>93</v>
      </c>
      <c r="C90" s="16"/>
      <c r="F90" s="13">
        <v>-162.21639880000112</v>
      </c>
      <c r="G90" s="122">
        <f>+ROUND(F90/VLOOKUP("Grand Total",$B$4:$F$306,5,0),4)+0.03%</f>
        <v>-1.17E-2</v>
      </c>
      <c r="H90" s="15"/>
    </row>
    <row r="91" spans="1:12" ht="12.75" customHeight="1" x14ac:dyDescent="0.2">
      <c r="B91" s="18" t="s">
        <v>83</v>
      </c>
      <c r="C91" s="18"/>
      <c r="D91" s="18"/>
      <c r="E91" s="29"/>
      <c r="F91" s="19">
        <f>SUM(F90)</f>
        <v>-162.21639880000112</v>
      </c>
      <c r="G91" s="123">
        <f>SUM(G90)</f>
        <v>-1.17E-2</v>
      </c>
      <c r="H91" s="21"/>
      <c r="I91" s="49"/>
    </row>
    <row r="92" spans="1:12" ht="12.75" customHeight="1" x14ac:dyDescent="0.2">
      <c r="B92" s="22" t="s">
        <v>94</v>
      </c>
      <c r="C92" s="22"/>
      <c r="D92" s="22"/>
      <c r="E92" s="30"/>
      <c r="F92" s="23">
        <f>+SUMIF($B$5:B91,"Total",$F$5:F91)</f>
        <v>13574.565785200002</v>
      </c>
      <c r="G92" s="24">
        <f>+SUMIF($B$5:B91,"Total",$G$5:G91)</f>
        <v>1</v>
      </c>
      <c r="H92" s="25"/>
      <c r="I92" s="49"/>
    </row>
    <row r="93" spans="1:12" ht="12.75" customHeight="1" x14ac:dyDescent="0.2">
      <c r="F93" s="13"/>
    </row>
    <row r="94" spans="1:12" ht="12.75" customHeight="1" x14ac:dyDescent="0.2">
      <c r="B94" s="16" t="s">
        <v>181</v>
      </c>
    </row>
    <row r="95" spans="1:12" ht="12.75" customHeight="1" x14ac:dyDescent="0.2">
      <c r="B95" s="16" t="s">
        <v>182</v>
      </c>
      <c r="C95" s="16"/>
    </row>
    <row r="96" spans="1:12" ht="12.75" customHeight="1" x14ac:dyDescent="0.2">
      <c r="B96" s="53" t="s">
        <v>291</v>
      </c>
      <c r="C96" s="16"/>
    </row>
    <row r="97" spans="2:3" ht="12.75" customHeight="1" x14ac:dyDescent="0.2">
      <c r="B97" s="16" t="s">
        <v>183</v>
      </c>
      <c r="C97" s="16"/>
    </row>
    <row r="98" spans="2:3" ht="12.75" customHeight="1" x14ac:dyDescent="0.2">
      <c r="B98" s="16" t="s">
        <v>184</v>
      </c>
      <c r="C98" s="16"/>
    </row>
    <row r="99" spans="2:3" ht="12.75" customHeight="1" x14ac:dyDescent="0.2">
      <c r="B99" s="16"/>
    </row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</sheetData>
  <sheetProtection password="EDB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350</v>
      </c>
      <c r="B1" s="128" t="s">
        <v>138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t="s">
        <v>255</v>
      </c>
      <c r="C9" t="s">
        <v>139</v>
      </c>
      <c r="D9" t="s">
        <v>19</v>
      </c>
      <c r="E9" s="28">
        <v>15516</v>
      </c>
      <c r="F9" s="13">
        <v>4839.2231760000004</v>
      </c>
      <c r="G9" s="14">
        <f t="shared" ref="G9:G40" si="0">+ROUND(F9/VLOOKUP("Grand Total",$B$4:$F$302,5,0),4)</f>
        <v>2.63E-2</v>
      </c>
      <c r="H9" s="15"/>
      <c r="J9" s="14" t="s">
        <v>9</v>
      </c>
      <c r="K9" s="48">
        <f t="shared" ref="K9:K37" si="1">SUMIFS($G$5:$G$334,$D$5:$D$334,J9)</f>
        <v>0.11830000000000002</v>
      </c>
    </row>
    <row r="10" spans="1:16" s="65" customFormat="1" ht="12.75" customHeight="1" x14ac:dyDescent="0.2">
      <c r="A10" s="65">
        <f>+MAX($A$8:A9)+1</f>
        <v>2</v>
      </c>
      <c r="B10" s="65" t="s">
        <v>197</v>
      </c>
      <c r="C10" s="65" t="s">
        <v>46</v>
      </c>
      <c r="D10" s="65" t="s">
        <v>24</v>
      </c>
      <c r="E10" s="85">
        <v>78900</v>
      </c>
      <c r="F10" s="86">
        <v>4349.9147999999996</v>
      </c>
      <c r="G10" s="14">
        <f t="shared" si="0"/>
        <v>2.3599999999999999E-2</v>
      </c>
      <c r="H10" s="91"/>
      <c r="I10" s="73"/>
      <c r="J10" s="14" t="s">
        <v>39</v>
      </c>
      <c r="K10" s="48">
        <f t="shared" si="1"/>
        <v>8.4400000000000003E-2</v>
      </c>
    </row>
    <row r="11" spans="1:16" ht="12.75" customHeight="1" x14ac:dyDescent="0.2">
      <c r="A11">
        <f>+MAX($A$8:A10)+1</f>
        <v>3</v>
      </c>
      <c r="B11" t="s">
        <v>228</v>
      </c>
      <c r="C11" t="s">
        <v>101</v>
      </c>
      <c r="D11" t="s">
        <v>9</v>
      </c>
      <c r="E11" s="28">
        <v>177900</v>
      </c>
      <c r="F11" s="13">
        <v>3376.5419999999999</v>
      </c>
      <c r="G11" s="14">
        <f t="shared" si="0"/>
        <v>1.83E-2</v>
      </c>
      <c r="H11" s="15"/>
      <c r="J11" s="14" t="s">
        <v>22</v>
      </c>
      <c r="K11" s="48">
        <f t="shared" si="1"/>
        <v>7.1299999999999988E-2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266</v>
      </c>
      <c r="C12" t="s">
        <v>152</v>
      </c>
      <c r="D12" t="s">
        <v>39</v>
      </c>
      <c r="E12" s="28">
        <v>219900</v>
      </c>
      <c r="F12" s="13">
        <v>3175.0261500000001</v>
      </c>
      <c r="G12" s="14">
        <f t="shared" si="0"/>
        <v>1.72E-2</v>
      </c>
      <c r="H12" s="15"/>
      <c r="J12" s="14" t="s">
        <v>130</v>
      </c>
      <c r="K12" s="48">
        <f t="shared" si="1"/>
        <v>6.2E-2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186</v>
      </c>
      <c r="C13" t="s">
        <v>12</v>
      </c>
      <c r="D13" t="s">
        <v>9</v>
      </c>
      <c r="E13" s="28">
        <v>159000</v>
      </c>
      <c r="F13" s="13">
        <v>3091.4369999999999</v>
      </c>
      <c r="G13" s="14">
        <f t="shared" si="0"/>
        <v>1.6799999999999999E-2</v>
      </c>
      <c r="H13" s="15"/>
      <c r="J13" s="14" t="s">
        <v>13</v>
      </c>
      <c r="K13" s="48">
        <f t="shared" si="1"/>
        <v>5.57E-2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258</v>
      </c>
      <c r="C14" t="s">
        <v>142</v>
      </c>
      <c r="D14" t="s">
        <v>36</v>
      </c>
      <c r="E14" s="28">
        <v>3537</v>
      </c>
      <c r="F14" s="13">
        <v>2827.2461264999997</v>
      </c>
      <c r="G14" s="14">
        <f t="shared" si="0"/>
        <v>1.54E-2</v>
      </c>
      <c r="H14" s="15"/>
      <c r="J14" s="14" t="s">
        <v>24</v>
      </c>
      <c r="K14" s="48">
        <f t="shared" si="1"/>
        <v>5.5500000000000001E-2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299</v>
      </c>
      <c r="C15" t="s">
        <v>300</v>
      </c>
      <c r="D15" t="s">
        <v>140</v>
      </c>
      <c r="E15" s="28">
        <v>414000</v>
      </c>
      <c r="F15" s="13">
        <v>2716.4609999999998</v>
      </c>
      <c r="G15" s="14">
        <f t="shared" si="0"/>
        <v>1.4800000000000001E-2</v>
      </c>
      <c r="H15" s="15"/>
      <c r="J15" s="14" t="s">
        <v>36</v>
      </c>
      <c r="K15" s="48">
        <f t="shared" si="1"/>
        <v>5.4199999999999998E-2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257</v>
      </c>
      <c r="C16" t="s">
        <v>339</v>
      </c>
      <c r="D16" t="s">
        <v>22</v>
      </c>
      <c r="E16" s="28">
        <v>141900</v>
      </c>
      <c r="F16" s="13">
        <v>2707.0263</v>
      </c>
      <c r="G16" s="14">
        <f t="shared" si="0"/>
        <v>1.47E-2</v>
      </c>
      <c r="H16" s="15"/>
      <c r="J16" s="14" t="s">
        <v>140</v>
      </c>
      <c r="K16" s="48">
        <f t="shared" si="1"/>
        <v>4.9799999999999997E-2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254</v>
      </c>
      <c r="C17" t="s">
        <v>80</v>
      </c>
      <c r="D17" t="s">
        <v>13</v>
      </c>
      <c r="E17" s="28">
        <v>354900</v>
      </c>
      <c r="F17" s="13">
        <v>2700.4340999999999</v>
      </c>
      <c r="G17" s="14">
        <f t="shared" si="0"/>
        <v>1.47E-2</v>
      </c>
      <c r="H17" s="15"/>
      <c r="J17" s="14" t="s">
        <v>17</v>
      </c>
      <c r="K17" s="48">
        <f t="shared" si="1"/>
        <v>4.5499999999999999E-2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210</v>
      </c>
      <c r="C18" t="s">
        <v>18</v>
      </c>
      <c r="D18" t="s">
        <v>13</v>
      </c>
      <c r="E18" s="28">
        <v>75900</v>
      </c>
      <c r="F18" s="13">
        <v>2680.8638999999998</v>
      </c>
      <c r="G18" s="14">
        <f t="shared" si="0"/>
        <v>1.46E-2</v>
      </c>
      <c r="H18" s="15"/>
      <c r="J18" s="14" t="s">
        <v>19</v>
      </c>
      <c r="K18" s="48">
        <f t="shared" si="1"/>
        <v>3.7400000000000003E-2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189</v>
      </c>
      <c r="C19" t="s">
        <v>10</v>
      </c>
      <c r="D19" t="s">
        <v>9</v>
      </c>
      <c r="E19" s="28">
        <v>927090</v>
      </c>
      <c r="F19" s="13">
        <v>2634.7897800000001</v>
      </c>
      <c r="G19" s="14">
        <f t="shared" si="0"/>
        <v>1.43E-2</v>
      </c>
      <c r="H19" s="15"/>
      <c r="J19" s="14" t="s">
        <v>26</v>
      </c>
      <c r="K19" s="48">
        <f t="shared" si="1"/>
        <v>3.6400000000000002E-2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187</v>
      </c>
      <c r="C20" t="s">
        <v>14</v>
      </c>
      <c r="D20" t="s">
        <v>13</v>
      </c>
      <c r="E20" s="28">
        <v>219108</v>
      </c>
      <c r="F20" s="13">
        <v>2628.20046</v>
      </c>
      <c r="G20" s="14">
        <f t="shared" si="0"/>
        <v>1.43E-2</v>
      </c>
      <c r="H20" s="15"/>
      <c r="J20" s="14" t="s">
        <v>21</v>
      </c>
      <c r="K20" s="48">
        <f t="shared" si="1"/>
        <v>3.3799999999999997E-2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465</v>
      </c>
      <c r="C21" t="s">
        <v>466</v>
      </c>
      <c r="D21" t="s">
        <v>22</v>
      </c>
      <c r="E21" s="28">
        <v>486900</v>
      </c>
      <c r="F21" s="13">
        <v>2571.5623500000002</v>
      </c>
      <c r="G21" s="14">
        <f t="shared" si="0"/>
        <v>1.4E-2</v>
      </c>
      <c r="H21" s="15"/>
      <c r="J21" s="14" t="s">
        <v>45</v>
      </c>
      <c r="K21" s="48">
        <f t="shared" si="1"/>
        <v>3.3099999999999997E-2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482</v>
      </c>
      <c r="C22" t="s">
        <v>483</v>
      </c>
      <c r="D22" t="s">
        <v>484</v>
      </c>
      <c r="E22" s="28">
        <v>201900</v>
      </c>
      <c r="F22" s="13">
        <v>2547.47325</v>
      </c>
      <c r="G22" s="14">
        <f t="shared" si="0"/>
        <v>1.38E-2</v>
      </c>
      <c r="H22" s="15"/>
      <c r="J22" s="14" t="s">
        <v>35</v>
      </c>
      <c r="K22" s="48">
        <f t="shared" si="1"/>
        <v>2.9100000000000001E-2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566</v>
      </c>
      <c r="C23" t="s">
        <v>124</v>
      </c>
      <c r="D23" t="s">
        <v>17</v>
      </c>
      <c r="E23" s="28">
        <v>15000</v>
      </c>
      <c r="F23" s="13">
        <v>2541.5700000000002</v>
      </c>
      <c r="G23" s="14">
        <f t="shared" si="0"/>
        <v>1.38E-2</v>
      </c>
      <c r="H23" s="15"/>
      <c r="J23" s="14" t="s">
        <v>41</v>
      </c>
      <c r="K23" s="48">
        <f t="shared" si="1"/>
        <v>2.8999999999999998E-2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296</v>
      </c>
      <c r="C24" t="s">
        <v>459</v>
      </c>
      <c r="D24" t="s">
        <v>130</v>
      </c>
      <c r="E24" s="28">
        <v>318900</v>
      </c>
      <c r="F24" s="13">
        <v>2461.9079999999999</v>
      </c>
      <c r="G24" s="14">
        <f t="shared" si="0"/>
        <v>1.34E-2</v>
      </c>
      <c r="H24" s="15"/>
      <c r="J24" s="14" t="s">
        <v>30</v>
      </c>
      <c r="K24" s="48">
        <f t="shared" si="1"/>
        <v>2.4399999999999998E-2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218</v>
      </c>
      <c r="C25" t="s">
        <v>64</v>
      </c>
      <c r="D25" t="s">
        <v>26</v>
      </c>
      <c r="E25" s="28">
        <v>600900</v>
      </c>
      <c r="F25" s="13">
        <v>2440.5553500000001</v>
      </c>
      <c r="G25" s="14">
        <f t="shared" si="0"/>
        <v>1.3299999999999999E-2</v>
      </c>
      <c r="H25" s="15"/>
      <c r="J25" s="14" t="s">
        <v>104</v>
      </c>
      <c r="K25" s="48">
        <f t="shared" si="1"/>
        <v>2.1500000000000002E-2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260</v>
      </c>
      <c r="C26" t="s">
        <v>146</v>
      </c>
      <c r="D26" t="s">
        <v>26</v>
      </c>
      <c r="E26" s="28">
        <v>378900</v>
      </c>
      <c r="F26" s="13">
        <v>2434.4324999999999</v>
      </c>
      <c r="G26" s="14">
        <f t="shared" si="0"/>
        <v>1.32E-2</v>
      </c>
      <c r="H26" s="15"/>
      <c r="J26" s="14" t="s">
        <v>28</v>
      </c>
      <c r="K26" s="48">
        <f t="shared" si="1"/>
        <v>2.0200000000000003E-2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221</v>
      </c>
      <c r="C27" t="s">
        <v>531</v>
      </c>
      <c r="D27" t="s">
        <v>45</v>
      </c>
      <c r="E27" s="28">
        <v>840900</v>
      </c>
      <c r="F27" s="13">
        <v>2419.2692999999999</v>
      </c>
      <c r="G27" s="14">
        <f t="shared" si="0"/>
        <v>1.3100000000000001E-2</v>
      </c>
      <c r="H27" s="15"/>
      <c r="J27" s="14" t="s">
        <v>100</v>
      </c>
      <c r="K27" s="48">
        <f t="shared" si="1"/>
        <v>1.9200000000000002E-2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280</v>
      </c>
      <c r="C28" t="s">
        <v>173</v>
      </c>
      <c r="D28" t="s">
        <v>36</v>
      </c>
      <c r="E28" s="28">
        <v>969900</v>
      </c>
      <c r="F28" s="13">
        <v>2408.2617</v>
      </c>
      <c r="G28" s="14">
        <f t="shared" si="0"/>
        <v>1.3100000000000001E-2</v>
      </c>
      <c r="H28" s="15"/>
      <c r="J28" s="14" t="s">
        <v>103</v>
      </c>
      <c r="K28" s="48">
        <f t="shared" si="1"/>
        <v>1.5099999999999999E-2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270</v>
      </c>
      <c r="C29" t="s">
        <v>172</v>
      </c>
      <c r="D29" t="s">
        <v>45</v>
      </c>
      <c r="E29" s="28">
        <v>1054890</v>
      </c>
      <c r="F29" s="13">
        <v>2392.4905199999998</v>
      </c>
      <c r="G29" s="14">
        <f t="shared" si="0"/>
        <v>1.2999999999999999E-2</v>
      </c>
      <c r="H29" s="15"/>
      <c r="J29" s="14" t="s">
        <v>484</v>
      </c>
      <c r="K29" s="48">
        <f t="shared" si="1"/>
        <v>1.38E-2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206</v>
      </c>
      <c r="C30" t="s">
        <v>96</v>
      </c>
      <c r="D30" t="s">
        <v>9</v>
      </c>
      <c r="E30" s="28">
        <v>192900</v>
      </c>
      <c r="F30" s="13">
        <v>2336.2118999999998</v>
      </c>
      <c r="G30" s="14">
        <f t="shared" si="0"/>
        <v>1.2699999999999999E-2</v>
      </c>
      <c r="H30" s="15"/>
      <c r="J30" s="14" t="s">
        <v>43</v>
      </c>
      <c r="K30" s="48">
        <f t="shared" si="1"/>
        <v>1.32E-2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188</v>
      </c>
      <c r="C31" t="s">
        <v>29</v>
      </c>
      <c r="D31" t="s">
        <v>28</v>
      </c>
      <c r="E31" s="28">
        <v>234000</v>
      </c>
      <c r="F31" s="13">
        <v>2254.1219999999998</v>
      </c>
      <c r="G31" s="14">
        <f t="shared" si="0"/>
        <v>1.2200000000000001E-2</v>
      </c>
      <c r="H31" s="15"/>
      <c r="J31" s="14" t="s">
        <v>323</v>
      </c>
      <c r="K31" s="48">
        <f t="shared" si="1"/>
        <v>9.9000000000000008E-3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455</v>
      </c>
      <c r="C32" t="s">
        <v>456</v>
      </c>
      <c r="D32" t="s">
        <v>13</v>
      </c>
      <c r="E32" s="28">
        <v>168000</v>
      </c>
      <c r="F32" s="13">
        <v>2233.7280000000001</v>
      </c>
      <c r="G32" s="14">
        <f t="shared" si="0"/>
        <v>1.21E-2</v>
      </c>
      <c r="H32" s="15"/>
      <c r="J32" s="14" t="s">
        <v>34</v>
      </c>
      <c r="K32" s="48">
        <f t="shared" si="1"/>
        <v>9.5999999999999992E-3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256</v>
      </c>
      <c r="C33" t="s">
        <v>141</v>
      </c>
      <c r="D33" t="s">
        <v>21</v>
      </c>
      <c r="E33" s="28">
        <v>156000</v>
      </c>
      <c r="F33" s="13">
        <v>2212.86</v>
      </c>
      <c r="G33" s="14">
        <f t="shared" si="0"/>
        <v>1.2E-2</v>
      </c>
      <c r="H33" s="15"/>
      <c r="J33" s="14" t="s">
        <v>144</v>
      </c>
      <c r="K33" s="48">
        <f t="shared" si="1"/>
        <v>9.2999999999999992E-3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253</v>
      </c>
      <c r="C34" t="s">
        <v>135</v>
      </c>
      <c r="D34" t="s">
        <v>130</v>
      </c>
      <c r="E34" s="28">
        <v>288000</v>
      </c>
      <c r="F34" s="13">
        <v>2199.6</v>
      </c>
      <c r="G34" s="14">
        <f t="shared" si="0"/>
        <v>1.1900000000000001E-2</v>
      </c>
      <c r="H34" s="15"/>
      <c r="J34" s="14" t="s">
        <v>129</v>
      </c>
      <c r="K34" s="48">
        <f t="shared" si="1"/>
        <v>9.2999999999999992E-3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249</v>
      </c>
      <c r="C35" t="s">
        <v>131</v>
      </c>
      <c r="D35" t="s">
        <v>17</v>
      </c>
      <c r="E35" s="28">
        <v>72108</v>
      </c>
      <c r="F35" s="13">
        <v>2198.8252980000002</v>
      </c>
      <c r="G35" s="14">
        <f t="shared" si="0"/>
        <v>1.1900000000000001E-2</v>
      </c>
      <c r="H35" s="15"/>
      <c r="J35" s="14" t="s">
        <v>440</v>
      </c>
      <c r="K35" s="48">
        <f t="shared" si="1"/>
        <v>7.4999999999999997E-3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485</v>
      </c>
      <c r="C36" t="s">
        <v>503</v>
      </c>
      <c r="D36" t="s">
        <v>35</v>
      </c>
      <c r="E36" s="28">
        <v>168108</v>
      </c>
      <c r="F36" s="13">
        <v>2191.960212</v>
      </c>
      <c r="G36" s="14">
        <f t="shared" si="0"/>
        <v>1.1900000000000001E-2</v>
      </c>
      <c r="H36" s="15"/>
      <c r="J36" s="14" t="s">
        <v>302</v>
      </c>
      <c r="K36" s="48">
        <f t="shared" si="1"/>
        <v>3.7999999999999996E-3</v>
      </c>
      <c r="L36" s="54">
        <f>+SUM($K$9:K33)</f>
        <v>0.95169999999999999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225</v>
      </c>
      <c r="C37" t="s">
        <v>76</v>
      </c>
      <c r="D37" t="s">
        <v>24</v>
      </c>
      <c r="E37" s="28">
        <v>59808</v>
      </c>
      <c r="F37" s="13">
        <v>2166.3653759999997</v>
      </c>
      <c r="G37" s="14">
        <f t="shared" si="0"/>
        <v>1.18E-2</v>
      </c>
      <c r="H37" s="15"/>
      <c r="J37" s="14" t="s">
        <v>305</v>
      </c>
      <c r="K37" s="48">
        <f t="shared" si="1"/>
        <v>3.3E-3</v>
      </c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220</v>
      </c>
      <c r="C38" t="s">
        <v>75</v>
      </c>
      <c r="D38" t="s">
        <v>36</v>
      </c>
      <c r="E38" s="28">
        <v>609090</v>
      </c>
      <c r="F38" s="13">
        <v>2148.2604299999998</v>
      </c>
      <c r="G38" s="14">
        <f t="shared" si="0"/>
        <v>1.17E-2</v>
      </c>
      <c r="H38" s="15"/>
      <c r="J38" s="14" t="s">
        <v>62</v>
      </c>
      <c r="K38" s="48">
        <f>+SUMIFS($G$5:$G$998,$B$5:$B$998,"CBLO / Reverse Repo Investments")+SUMIFS($G$5:$G$998,$B$5:$B$998,"Net Receivable/Payable")</f>
        <v>2.4399999999999998E-2</v>
      </c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196</v>
      </c>
      <c r="C39" t="s">
        <v>42</v>
      </c>
      <c r="D39" t="s">
        <v>22</v>
      </c>
      <c r="E39" s="28">
        <v>334800</v>
      </c>
      <c r="F39" s="13">
        <v>2146.0680000000002</v>
      </c>
      <c r="G39" s="14">
        <f t="shared" si="0"/>
        <v>1.17E-2</v>
      </c>
      <c r="H39" s="15"/>
    </row>
    <row r="40" spans="1:16" ht="12.75" customHeight="1" x14ac:dyDescent="0.2">
      <c r="A40">
        <f>+MAX($A$8:A39)+1</f>
        <v>32</v>
      </c>
      <c r="B40" t="s">
        <v>209</v>
      </c>
      <c r="C40" t="s">
        <v>59</v>
      </c>
      <c r="D40" t="s">
        <v>21</v>
      </c>
      <c r="E40" s="28">
        <v>327900</v>
      </c>
      <c r="F40" s="13">
        <v>2105.1179999999999</v>
      </c>
      <c r="G40" s="14">
        <f t="shared" si="0"/>
        <v>1.14E-2</v>
      </c>
      <c r="H40" s="15"/>
    </row>
    <row r="41" spans="1:16" ht="12.75" customHeight="1" x14ac:dyDescent="0.2">
      <c r="A41">
        <f>+MAX($A$8:A40)+1</f>
        <v>33</v>
      </c>
      <c r="B41" t="s">
        <v>325</v>
      </c>
      <c r="C41" t="s">
        <v>151</v>
      </c>
      <c r="D41" t="s">
        <v>22</v>
      </c>
      <c r="E41" s="28">
        <v>178890</v>
      </c>
      <c r="F41" s="13">
        <v>2082.8162699999998</v>
      </c>
      <c r="G41" s="14">
        <f t="shared" ref="G41:G72" si="2">+ROUND(F41/VLOOKUP("Grand Total",$B$4:$F$302,5,0),4)</f>
        <v>1.1299999999999999E-2</v>
      </c>
      <c r="H41" s="15"/>
    </row>
    <row r="42" spans="1:16" ht="12.75" customHeight="1" x14ac:dyDescent="0.2">
      <c r="A42">
        <f>+MAX($A$8:A41)+1</f>
        <v>34</v>
      </c>
      <c r="B42" t="s">
        <v>227</v>
      </c>
      <c r="C42" t="s">
        <v>98</v>
      </c>
      <c r="D42" t="s">
        <v>19</v>
      </c>
      <c r="E42" s="28">
        <v>234000</v>
      </c>
      <c r="F42" s="13">
        <v>2043.5219999999999</v>
      </c>
      <c r="G42" s="14">
        <f t="shared" si="2"/>
        <v>1.11E-2</v>
      </c>
      <c r="H42" s="15"/>
    </row>
    <row r="43" spans="1:16" ht="12.75" customHeight="1" x14ac:dyDescent="0.2">
      <c r="A43">
        <f>+MAX($A$8:A42)+1</f>
        <v>35</v>
      </c>
      <c r="B43" t="s">
        <v>204</v>
      </c>
      <c r="C43" t="s">
        <v>53</v>
      </c>
      <c r="D43" t="s">
        <v>41</v>
      </c>
      <c r="E43" s="28">
        <v>84708</v>
      </c>
      <c r="F43" s="13">
        <v>2026.596546</v>
      </c>
      <c r="G43" s="14">
        <f t="shared" si="2"/>
        <v>1.0999999999999999E-2</v>
      </c>
      <c r="H43" s="15"/>
    </row>
    <row r="44" spans="1:16" ht="12.75" customHeight="1" x14ac:dyDescent="0.2">
      <c r="A44">
        <f>+MAX($A$8:A43)+1</f>
        <v>36</v>
      </c>
      <c r="B44" t="s">
        <v>268</v>
      </c>
      <c r="C44" t="s">
        <v>269</v>
      </c>
      <c r="D44" t="s">
        <v>39</v>
      </c>
      <c r="E44" s="28">
        <v>308700</v>
      </c>
      <c r="F44" s="13">
        <v>2023.5284999999999</v>
      </c>
      <c r="G44" s="14">
        <f t="shared" si="2"/>
        <v>1.0999999999999999E-2</v>
      </c>
      <c r="H44" s="15"/>
    </row>
    <row r="45" spans="1:16" ht="12.75" customHeight="1" x14ac:dyDescent="0.2">
      <c r="A45">
        <f>+MAX($A$8:A44)+1</f>
        <v>37</v>
      </c>
      <c r="B45" t="s">
        <v>273</v>
      </c>
      <c r="C45" t="s">
        <v>145</v>
      </c>
      <c r="D45" t="s">
        <v>39</v>
      </c>
      <c r="E45" s="28">
        <v>279900</v>
      </c>
      <c r="F45" s="13">
        <v>1958.88015</v>
      </c>
      <c r="G45" s="14">
        <f t="shared" si="2"/>
        <v>1.06E-2</v>
      </c>
      <c r="H45" s="15"/>
    </row>
    <row r="46" spans="1:16" ht="12.75" customHeight="1" x14ac:dyDescent="0.2">
      <c r="A46">
        <f>+MAX($A$8:A45)+1</f>
        <v>38</v>
      </c>
      <c r="B46" t="s">
        <v>238</v>
      </c>
      <c r="C46" t="s">
        <v>495</v>
      </c>
      <c r="D46" t="s">
        <v>9</v>
      </c>
      <c r="E46" s="28">
        <v>540000</v>
      </c>
      <c r="F46" s="13">
        <v>1954.8</v>
      </c>
      <c r="G46" s="14">
        <f t="shared" si="2"/>
        <v>1.06E-2</v>
      </c>
      <c r="H46" s="15"/>
    </row>
    <row r="47" spans="1:16" ht="12.75" customHeight="1" x14ac:dyDescent="0.2">
      <c r="A47">
        <f>+MAX($A$8:A46)+1</f>
        <v>39</v>
      </c>
      <c r="B47" t="s">
        <v>475</v>
      </c>
      <c r="C47" t="s">
        <v>476</v>
      </c>
      <c r="D47" t="s">
        <v>22</v>
      </c>
      <c r="E47" s="28">
        <v>35640</v>
      </c>
      <c r="F47" s="13">
        <v>1953.99864</v>
      </c>
      <c r="G47" s="14">
        <f t="shared" si="2"/>
        <v>1.06E-2</v>
      </c>
      <c r="H47" s="15"/>
    </row>
    <row r="48" spans="1:16" ht="12.75" customHeight="1" x14ac:dyDescent="0.2">
      <c r="A48">
        <f>+MAX($A$8:A47)+1</f>
        <v>40</v>
      </c>
      <c r="B48" t="s">
        <v>207</v>
      </c>
      <c r="C48" t="s">
        <v>57</v>
      </c>
      <c r="D48" t="s">
        <v>21</v>
      </c>
      <c r="E48" s="28">
        <v>237900</v>
      </c>
      <c r="F48" s="13">
        <v>1921.8751500000001</v>
      </c>
      <c r="G48" s="14">
        <f t="shared" si="2"/>
        <v>1.04E-2</v>
      </c>
      <c r="H48" s="15"/>
    </row>
    <row r="49" spans="1:8" ht="12.75" customHeight="1" x14ac:dyDescent="0.2">
      <c r="A49">
        <f>+MAX($A$8:A48)+1</f>
        <v>41</v>
      </c>
      <c r="B49" t="s">
        <v>195</v>
      </c>
      <c r="C49" t="s">
        <v>44</v>
      </c>
      <c r="D49" t="s">
        <v>24</v>
      </c>
      <c r="E49" s="28">
        <v>678000</v>
      </c>
      <c r="F49" s="13">
        <v>1908.231</v>
      </c>
      <c r="G49" s="14">
        <f t="shared" si="2"/>
        <v>1.04E-2</v>
      </c>
      <c r="H49" s="15"/>
    </row>
    <row r="50" spans="1:8" ht="12.75" customHeight="1" x14ac:dyDescent="0.2">
      <c r="A50">
        <f>+MAX($A$8:A49)+1</f>
        <v>42</v>
      </c>
      <c r="B50" t="s">
        <v>15</v>
      </c>
      <c r="C50" t="s">
        <v>16</v>
      </c>
      <c r="D50" t="s">
        <v>9</v>
      </c>
      <c r="E50" s="28">
        <v>766800</v>
      </c>
      <c r="F50" s="13">
        <v>1889.3951999999999</v>
      </c>
      <c r="G50" s="14">
        <f t="shared" si="2"/>
        <v>1.03E-2</v>
      </c>
      <c r="H50" s="15"/>
    </row>
    <row r="51" spans="1:8" ht="12.75" customHeight="1" x14ac:dyDescent="0.2">
      <c r="A51">
        <f>+MAX($A$8:A50)+1</f>
        <v>43</v>
      </c>
      <c r="B51" t="s">
        <v>411</v>
      </c>
      <c r="C51" t="s">
        <v>412</v>
      </c>
      <c r="D51" t="s">
        <v>130</v>
      </c>
      <c r="E51" s="28">
        <v>1266000</v>
      </c>
      <c r="F51" s="13">
        <v>1867.35</v>
      </c>
      <c r="G51" s="14">
        <f t="shared" si="2"/>
        <v>1.01E-2</v>
      </c>
      <c r="H51" s="15"/>
    </row>
    <row r="52" spans="1:8" ht="12.75" customHeight="1" x14ac:dyDescent="0.2">
      <c r="A52">
        <f>+MAX($A$8:A51)+1</f>
        <v>44</v>
      </c>
      <c r="B52" t="s">
        <v>427</v>
      </c>
      <c r="C52" t="s">
        <v>428</v>
      </c>
      <c r="D52" t="s">
        <v>30</v>
      </c>
      <c r="E52" s="28">
        <v>324000</v>
      </c>
      <c r="F52" s="13">
        <v>1859.4359999999999</v>
      </c>
      <c r="G52" s="14">
        <f t="shared" si="2"/>
        <v>1.01E-2</v>
      </c>
      <c r="H52" s="15"/>
    </row>
    <row r="53" spans="1:8" ht="12.75" customHeight="1" x14ac:dyDescent="0.2">
      <c r="A53">
        <f>+MAX($A$8:A52)+1</f>
        <v>45</v>
      </c>
      <c r="B53" t="s">
        <v>517</v>
      </c>
      <c r="C53" t="s">
        <v>518</v>
      </c>
      <c r="D53" t="s">
        <v>130</v>
      </c>
      <c r="E53" s="28">
        <v>390000</v>
      </c>
      <c r="F53" s="13">
        <v>1858.155</v>
      </c>
      <c r="G53" s="14">
        <f t="shared" si="2"/>
        <v>1.01E-2</v>
      </c>
      <c r="H53" s="15"/>
    </row>
    <row r="54" spans="1:8" ht="12.75" customHeight="1" x14ac:dyDescent="0.2">
      <c r="A54">
        <f>+MAX($A$8:A53)+1</f>
        <v>46</v>
      </c>
      <c r="B54" t="s">
        <v>217</v>
      </c>
      <c r="C54" t="s">
        <v>68</v>
      </c>
      <c r="D54" t="s">
        <v>9</v>
      </c>
      <c r="E54" s="28">
        <v>1890000</v>
      </c>
      <c r="F54" s="13">
        <v>1857.87</v>
      </c>
      <c r="G54" s="14">
        <f t="shared" si="2"/>
        <v>1.01E-2</v>
      </c>
      <c r="H54" s="15"/>
    </row>
    <row r="55" spans="1:8" ht="12.75" customHeight="1" x14ac:dyDescent="0.2">
      <c r="A55">
        <f>+MAX($A$8:A54)+1</f>
        <v>47</v>
      </c>
      <c r="B55" t="s">
        <v>529</v>
      </c>
      <c r="C55" t="s">
        <v>530</v>
      </c>
      <c r="D55" t="s">
        <v>104</v>
      </c>
      <c r="E55" s="28">
        <v>2376000</v>
      </c>
      <c r="F55" s="13">
        <v>1844.9639999999999</v>
      </c>
      <c r="G55" s="14">
        <f t="shared" si="2"/>
        <v>0.01</v>
      </c>
      <c r="H55" s="15"/>
    </row>
    <row r="56" spans="1:8" ht="12.75" customHeight="1" x14ac:dyDescent="0.2">
      <c r="A56">
        <f>+MAX($A$8:A55)+1</f>
        <v>48</v>
      </c>
      <c r="B56" t="s">
        <v>532</v>
      </c>
      <c r="C56" t="s">
        <v>533</v>
      </c>
      <c r="D56" t="s">
        <v>104</v>
      </c>
      <c r="E56" s="28">
        <v>93900</v>
      </c>
      <c r="F56" s="13">
        <v>1832.31765</v>
      </c>
      <c r="G56" s="14">
        <f t="shared" si="2"/>
        <v>0.01</v>
      </c>
      <c r="H56" s="15"/>
    </row>
    <row r="57" spans="1:8" ht="12.75" customHeight="1" x14ac:dyDescent="0.2">
      <c r="A57">
        <f>+MAX($A$8:A56)+1</f>
        <v>49</v>
      </c>
      <c r="B57" t="s">
        <v>589</v>
      </c>
      <c r="C57" t="s">
        <v>590</v>
      </c>
      <c r="D57" t="s">
        <v>323</v>
      </c>
      <c r="E57" s="28">
        <v>516000</v>
      </c>
      <c r="F57" s="13">
        <v>1818.384</v>
      </c>
      <c r="G57" s="14">
        <f t="shared" si="2"/>
        <v>9.9000000000000008E-3</v>
      </c>
      <c r="H57" s="15"/>
    </row>
    <row r="58" spans="1:8" ht="12.75" customHeight="1" x14ac:dyDescent="0.2">
      <c r="A58">
        <f>+MAX($A$8:A57)+1</f>
        <v>50</v>
      </c>
      <c r="B58" t="s">
        <v>550</v>
      </c>
      <c r="C58" t="s">
        <v>551</v>
      </c>
      <c r="D58" t="s">
        <v>26</v>
      </c>
      <c r="E58" s="28">
        <v>1359000</v>
      </c>
      <c r="F58" s="13">
        <v>1814.9445000000001</v>
      </c>
      <c r="G58" s="14">
        <f t="shared" si="2"/>
        <v>9.9000000000000008E-3</v>
      </c>
      <c r="H58" s="15"/>
    </row>
    <row r="59" spans="1:8" ht="12.75" customHeight="1" x14ac:dyDescent="0.2">
      <c r="A59">
        <f>+MAX($A$8:A58)+1</f>
        <v>51</v>
      </c>
      <c r="B59" t="s">
        <v>262</v>
      </c>
      <c r="C59" t="s">
        <v>143</v>
      </c>
      <c r="D59" t="s">
        <v>39</v>
      </c>
      <c r="E59" s="28">
        <v>216900</v>
      </c>
      <c r="F59" s="13">
        <v>1813.9347</v>
      </c>
      <c r="G59" s="14">
        <f t="shared" si="2"/>
        <v>9.9000000000000008E-3</v>
      </c>
      <c r="H59" s="15"/>
    </row>
    <row r="60" spans="1:8" ht="12.75" customHeight="1" x14ac:dyDescent="0.2">
      <c r="A60">
        <f>+MAX($A$8:A59)+1</f>
        <v>52</v>
      </c>
      <c r="B60" t="s">
        <v>265</v>
      </c>
      <c r="C60" t="s">
        <v>147</v>
      </c>
      <c r="D60" t="s">
        <v>130</v>
      </c>
      <c r="E60" s="28">
        <v>61380</v>
      </c>
      <c r="F60" s="13">
        <v>1807.85583</v>
      </c>
      <c r="G60" s="14">
        <f t="shared" si="2"/>
        <v>9.7999999999999997E-3</v>
      </c>
      <c r="H60" s="15"/>
    </row>
    <row r="61" spans="1:8" ht="12.75" customHeight="1" x14ac:dyDescent="0.2">
      <c r="A61">
        <f>+MAX($A$8:A60)+1</f>
        <v>53</v>
      </c>
      <c r="B61" t="s">
        <v>603</v>
      </c>
      <c r="C61" t="s">
        <v>604</v>
      </c>
      <c r="D61" t="s">
        <v>9</v>
      </c>
      <c r="E61" s="28">
        <v>349987</v>
      </c>
      <c r="F61" s="13">
        <v>1797.0082515000001</v>
      </c>
      <c r="G61" s="14">
        <f t="shared" si="2"/>
        <v>9.7999999999999997E-3</v>
      </c>
      <c r="H61" s="15"/>
    </row>
    <row r="62" spans="1:8" ht="12.75" customHeight="1" x14ac:dyDescent="0.2">
      <c r="A62">
        <f>+MAX($A$8:A61)+1</f>
        <v>54</v>
      </c>
      <c r="B62" t="s">
        <v>506</v>
      </c>
      <c r="C62" t="s">
        <v>507</v>
      </c>
      <c r="D62" t="s">
        <v>140</v>
      </c>
      <c r="E62" s="28">
        <v>49500</v>
      </c>
      <c r="F62" s="13">
        <v>1794.1275000000001</v>
      </c>
      <c r="G62" s="14">
        <f t="shared" si="2"/>
        <v>9.7000000000000003E-3</v>
      </c>
      <c r="H62" s="15"/>
    </row>
    <row r="63" spans="1:8" ht="12.75" customHeight="1" x14ac:dyDescent="0.2">
      <c r="A63">
        <f>+MAX($A$8:A62)+1</f>
        <v>55</v>
      </c>
      <c r="B63" t="s">
        <v>534</v>
      </c>
      <c r="C63" t="s">
        <v>535</v>
      </c>
      <c r="D63" t="s">
        <v>24</v>
      </c>
      <c r="E63" s="28">
        <v>588000</v>
      </c>
      <c r="F63" s="13">
        <v>1791.93</v>
      </c>
      <c r="G63" s="14">
        <f t="shared" si="2"/>
        <v>9.7000000000000003E-3</v>
      </c>
      <c r="H63" s="15"/>
    </row>
    <row r="64" spans="1:8" ht="12.75" customHeight="1" x14ac:dyDescent="0.2">
      <c r="A64">
        <f>+MAX($A$8:A63)+1</f>
        <v>56</v>
      </c>
      <c r="B64" t="s">
        <v>376</v>
      </c>
      <c r="C64" t="s">
        <v>377</v>
      </c>
      <c r="D64" t="s">
        <v>100</v>
      </c>
      <c r="E64" s="28">
        <v>123900</v>
      </c>
      <c r="F64" s="13">
        <v>1786.2663</v>
      </c>
      <c r="G64" s="14">
        <f t="shared" si="2"/>
        <v>9.7000000000000003E-3</v>
      </c>
      <c r="H64" s="15"/>
    </row>
    <row r="65" spans="1:8" ht="12.75" customHeight="1" x14ac:dyDescent="0.2">
      <c r="A65">
        <f>+MAX($A$8:A64)+1</f>
        <v>57</v>
      </c>
      <c r="B65" t="s">
        <v>263</v>
      </c>
      <c r="C65" t="s">
        <v>150</v>
      </c>
      <c r="D65" t="s">
        <v>140</v>
      </c>
      <c r="E65" s="28">
        <v>219900</v>
      </c>
      <c r="F65" s="13">
        <v>1764.9174</v>
      </c>
      <c r="G65" s="14">
        <f t="shared" si="2"/>
        <v>9.5999999999999992E-3</v>
      </c>
      <c r="H65" s="15"/>
    </row>
    <row r="66" spans="1:8" ht="12.75" customHeight="1" x14ac:dyDescent="0.2">
      <c r="A66">
        <f>+MAX($A$8:A65)+1</f>
        <v>58</v>
      </c>
      <c r="B66" t="s">
        <v>578</v>
      </c>
      <c r="C66" t="s">
        <v>579</v>
      </c>
      <c r="D66" t="s">
        <v>34</v>
      </c>
      <c r="E66" s="28">
        <v>166080</v>
      </c>
      <c r="F66" s="13">
        <v>1760.8632</v>
      </c>
      <c r="G66" s="14">
        <f t="shared" si="2"/>
        <v>9.5999999999999992E-3</v>
      </c>
      <c r="H66" s="15"/>
    </row>
    <row r="67" spans="1:8" ht="12.75" customHeight="1" x14ac:dyDescent="0.2">
      <c r="A67">
        <f>+MAX($A$8:A66)+1</f>
        <v>59</v>
      </c>
      <c r="B67" t="s">
        <v>281</v>
      </c>
      <c r="C67" t="s">
        <v>175</v>
      </c>
      <c r="D67" t="s">
        <v>100</v>
      </c>
      <c r="E67" s="28">
        <v>198108</v>
      </c>
      <c r="F67" s="13">
        <v>1742.9541840000002</v>
      </c>
      <c r="G67" s="14">
        <f t="shared" si="2"/>
        <v>9.4999999999999998E-3</v>
      </c>
      <c r="H67" s="15"/>
    </row>
    <row r="68" spans="1:8" ht="12.75" customHeight="1" x14ac:dyDescent="0.2">
      <c r="A68">
        <f>+MAX($A$8:A67)+1</f>
        <v>60</v>
      </c>
      <c r="B68" t="s">
        <v>259</v>
      </c>
      <c r="C68" t="s">
        <v>297</v>
      </c>
      <c r="D68" t="s">
        <v>39</v>
      </c>
      <c r="E68" s="28">
        <v>505080</v>
      </c>
      <c r="F68" s="13">
        <v>1722.07026</v>
      </c>
      <c r="G68" s="14">
        <f t="shared" si="2"/>
        <v>9.4000000000000004E-3</v>
      </c>
      <c r="H68" s="15"/>
    </row>
    <row r="69" spans="1:8" ht="12.75" customHeight="1" x14ac:dyDescent="0.2">
      <c r="A69">
        <f>+MAX($A$8:A68)+1</f>
        <v>61</v>
      </c>
      <c r="B69" t="s">
        <v>267</v>
      </c>
      <c r="C69" t="s">
        <v>153</v>
      </c>
      <c r="D69" t="s">
        <v>129</v>
      </c>
      <c r="E69" s="28">
        <v>234000</v>
      </c>
      <c r="F69" s="13">
        <v>1707.8489999999999</v>
      </c>
      <c r="G69" s="14">
        <f t="shared" si="2"/>
        <v>9.2999999999999992E-3</v>
      </c>
      <c r="H69" s="15"/>
    </row>
    <row r="70" spans="1:8" ht="12.75" customHeight="1" x14ac:dyDescent="0.2">
      <c r="A70">
        <f>+MAX($A$8:A69)+1</f>
        <v>62</v>
      </c>
      <c r="B70" t="s">
        <v>261</v>
      </c>
      <c r="C70" t="s">
        <v>149</v>
      </c>
      <c r="D70" t="s">
        <v>144</v>
      </c>
      <c r="E70" s="28">
        <v>138900</v>
      </c>
      <c r="F70" s="13">
        <v>1703.8862999999999</v>
      </c>
      <c r="G70" s="14">
        <f t="shared" si="2"/>
        <v>9.2999999999999992E-3</v>
      </c>
      <c r="H70" s="15"/>
    </row>
    <row r="71" spans="1:8" ht="12.75" customHeight="1" x14ac:dyDescent="0.2">
      <c r="A71">
        <f>+MAX($A$8:A70)+1</f>
        <v>63</v>
      </c>
      <c r="B71" t="s">
        <v>391</v>
      </c>
      <c r="C71" t="s">
        <v>392</v>
      </c>
      <c r="D71" t="s">
        <v>35</v>
      </c>
      <c r="E71" s="28">
        <v>1299000</v>
      </c>
      <c r="F71" s="13">
        <v>1684.8030000000001</v>
      </c>
      <c r="G71" s="14">
        <f t="shared" si="2"/>
        <v>9.1999999999999998E-3</v>
      </c>
      <c r="H71" s="15"/>
    </row>
    <row r="72" spans="1:8" ht="12.75" customHeight="1" x14ac:dyDescent="0.2">
      <c r="A72">
        <f>+MAX($A$8:A71)+1</f>
        <v>64</v>
      </c>
      <c r="B72" t="s">
        <v>425</v>
      </c>
      <c r="C72" t="s">
        <v>426</v>
      </c>
      <c r="D72" t="s">
        <v>22</v>
      </c>
      <c r="E72" s="28">
        <v>369000</v>
      </c>
      <c r="F72" s="13">
        <v>1663.6365000000001</v>
      </c>
      <c r="G72" s="14">
        <f t="shared" si="2"/>
        <v>8.9999999999999993E-3</v>
      </c>
      <c r="H72" s="15"/>
    </row>
    <row r="73" spans="1:8" ht="12.75" customHeight="1" x14ac:dyDescent="0.2">
      <c r="A73">
        <f>+MAX($A$8:A72)+1</f>
        <v>65</v>
      </c>
      <c r="B73" t="s">
        <v>451</v>
      </c>
      <c r="C73" t="s">
        <v>452</v>
      </c>
      <c r="D73" t="s">
        <v>41</v>
      </c>
      <c r="E73" s="28">
        <v>149508</v>
      </c>
      <c r="F73" s="13">
        <v>1662.6037140000001</v>
      </c>
      <c r="G73" s="14">
        <f t="shared" ref="G73:G99" si="3">+ROUND(F73/VLOOKUP("Grand Total",$B$4:$F$302,5,0),4)</f>
        <v>8.9999999999999993E-3</v>
      </c>
      <c r="H73" s="15"/>
    </row>
    <row r="74" spans="1:8" ht="12.75" customHeight="1" x14ac:dyDescent="0.2">
      <c r="A74">
        <f>+MAX($A$8:A73)+1</f>
        <v>66</v>
      </c>
      <c r="B74" t="s">
        <v>334</v>
      </c>
      <c r="C74" t="s">
        <v>335</v>
      </c>
      <c r="D74" t="s">
        <v>41</v>
      </c>
      <c r="E74" s="28">
        <v>450000</v>
      </c>
      <c r="F74" s="13">
        <v>1652.625</v>
      </c>
      <c r="G74" s="14">
        <f t="shared" si="3"/>
        <v>8.9999999999999993E-3</v>
      </c>
      <c r="H74" s="15"/>
    </row>
    <row r="75" spans="1:8" ht="12.75" customHeight="1" x14ac:dyDescent="0.2">
      <c r="A75">
        <f>+MAX($A$8:A74)+1</f>
        <v>67</v>
      </c>
      <c r="B75" t="s">
        <v>457</v>
      </c>
      <c r="C75" t="s">
        <v>458</v>
      </c>
      <c r="D75" t="s">
        <v>17</v>
      </c>
      <c r="E75" s="28">
        <v>150000</v>
      </c>
      <c r="F75" s="13">
        <v>1640.55</v>
      </c>
      <c r="G75" s="14">
        <f t="shared" si="3"/>
        <v>8.8999999999999999E-3</v>
      </c>
      <c r="H75" s="15"/>
    </row>
    <row r="76" spans="1:8" ht="12.75" customHeight="1" x14ac:dyDescent="0.2">
      <c r="A76">
        <f>+MAX($A$8:A75)+1</f>
        <v>68</v>
      </c>
      <c r="B76" t="s">
        <v>504</v>
      </c>
      <c r="C76" t="s">
        <v>505</v>
      </c>
      <c r="D76" t="s">
        <v>39</v>
      </c>
      <c r="E76" s="28">
        <v>234000</v>
      </c>
      <c r="F76" s="13">
        <v>1632.2670000000001</v>
      </c>
      <c r="G76" s="14">
        <f t="shared" si="3"/>
        <v>8.8999999999999999E-3</v>
      </c>
      <c r="H76" s="15"/>
    </row>
    <row r="77" spans="1:8" ht="12.75" customHeight="1" x14ac:dyDescent="0.2">
      <c r="A77">
        <f>+MAX($A$8:A76)+1</f>
        <v>69</v>
      </c>
      <c r="B77" t="s">
        <v>481</v>
      </c>
      <c r="C77" t="s">
        <v>271</v>
      </c>
      <c r="D77" t="s">
        <v>39</v>
      </c>
      <c r="E77" s="28">
        <v>30240</v>
      </c>
      <c r="F77" s="13">
        <v>1623.40416</v>
      </c>
      <c r="G77" s="14">
        <f t="shared" si="3"/>
        <v>8.8000000000000005E-3</v>
      </c>
      <c r="H77" s="15"/>
    </row>
    <row r="78" spans="1:8" ht="12.75" customHeight="1" x14ac:dyDescent="0.2">
      <c r="A78">
        <f>+MAX($A$8:A77)+1</f>
        <v>70</v>
      </c>
      <c r="B78" t="s">
        <v>200</v>
      </c>
      <c r="C78" t="s">
        <v>50</v>
      </c>
      <c r="D78" t="s">
        <v>39</v>
      </c>
      <c r="E78" s="28">
        <v>1350000</v>
      </c>
      <c r="F78" s="13">
        <v>1576.125</v>
      </c>
      <c r="G78" s="14">
        <f t="shared" si="3"/>
        <v>8.6E-3</v>
      </c>
      <c r="H78" s="15"/>
    </row>
    <row r="79" spans="1:8" ht="12.75" customHeight="1" x14ac:dyDescent="0.2">
      <c r="A79">
        <f>+MAX($A$8:A78)+1</f>
        <v>71</v>
      </c>
      <c r="B79" t="s">
        <v>224</v>
      </c>
      <c r="C79" t="s">
        <v>79</v>
      </c>
      <c r="D79" t="s">
        <v>43</v>
      </c>
      <c r="E79" s="28">
        <v>480000</v>
      </c>
      <c r="F79" s="13">
        <v>1568.88</v>
      </c>
      <c r="G79" s="14">
        <f t="shared" si="3"/>
        <v>8.5000000000000006E-3</v>
      </c>
      <c r="H79" s="15"/>
    </row>
    <row r="80" spans="1:8" ht="12.75" customHeight="1" x14ac:dyDescent="0.2">
      <c r="A80">
        <f>+MAX($A$8:A79)+1</f>
        <v>72</v>
      </c>
      <c r="B80" t="s">
        <v>303</v>
      </c>
      <c r="C80" t="s">
        <v>304</v>
      </c>
      <c r="D80" t="s">
        <v>9</v>
      </c>
      <c r="E80" s="28">
        <v>837600</v>
      </c>
      <c r="F80" s="13">
        <v>1539.9276</v>
      </c>
      <c r="G80" s="14">
        <f t="shared" si="3"/>
        <v>8.3999999999999995E-3</v>
      </c>
      <c r="H80" s="15"/>
    </row>
    <row r="81" spans="1:8" ht="12.75" customHeight="1" x14ac:dyDescent="0.2">
      <c r="A81">
        <f>+MAX($A$8:A80)+1</f>
        <v>73</v>
      </c>
      <c r="B81" t="s">
        <v>336</v>
      </c>
      <c r="C81" t="s">
        <v>340</v>
      </c>
      <c r="D81" t="s">
        <v>35</v>
      </c>
      <c r="E81" s="28">
        <v>279000</v>
      </c>
      <c r="F81" s="13">
        <v>1477.5840000000001</v>
      </c>
      <c r="G81" s="14">
        <f t="shared" si="3"/>
        <v>8.0000000000000002E-3</v>
      </c>
      <c r="H81" s="15"/>
    </row>
    <row r="82" spans="1:8" ht="12.75" customHeight="1" x14ac:dyDescent="0.2">
      <c r="A82">
        <f>+MAX($A$8:A81)+1</f>
        <v>74</v>
      </c>
      <c r="B82" t="s">
        <v>272</v>
      </c>
      <c r="C82" t="s">
        <v>171</v>
      </c>
      <c r="D82" t="s">
        <v>28</v>
      </c>
      <c r="E82" s="28">
        <v>909000</v>
      </c>
      <c r="F82" s="13">
        <v>1475.307</v>
      </c>
      <c r="G82" s="14">
        <f t="shared" si="3"/>
        <v>8.0000000000000002E-3</v>
      </c>
      <c r="H82" s="15"/>
    </row>
    <row r="83" spans="1:8" ht="12.75" customHeight="1" x14ac:dyDescent="0.2">
      <c r="A83">
        <f>+MAX($A$8:A82)+1</f>
        <v>75</v>
      </c>
      <c r="B83" t="s">
        <v>434</v>
      </c>
      <c r="C83" t="s">
        <v>435</v>
      </c>
      <c r="D83" t="s">
        <v>103</v>
      </c>
      <c r="E83" s="28">
        <v>135000</v>
      </c>
      <c r="F83" s="13">
        <v>1439.4375</v>
      </c>
      <c r="G83" s="14">
        <f t="shared" si="3"/>
        <v>7.7999999999999996E-3</v>
      </c>
      <c r="H83" s="15"/>
    </row>
    <row r="84" spans="1:8" ht="12.75" customHeight="1" x14ac:dyDescent="0.2">
      <c r="A84">
        <f>+MAX($A$8:A83)+1</f>
        <v>76</v>
      </c>
      <c r="B84" t="s">
        <v>319</v>
      </c>
      <c r="C84" t="s">
        <v>660</v>
      </c>
      <c r="D84" t="s">
        <v>30</v>
      </c>
      <c r="E84" s="28">
        <v>1357800</v>
      </c>
      <c r="F84" s="13">
        <v>1424.3322000000001</v>
      </c>
      <c r="G84" s="14">
        <f t="shared" si="3"/>
        <v>7.7000000000000002E-3</v>
      </c>
      <c r="H84" s="15"/>
    </row>
    <row r="85" spans="1:8" ht="12.75" customHeight="1" x14ac:dyDescent="0.2">
      <c r="A85">
        <f>+MAX($A$8:A84)+1</f>
        <v>77</v>
      </c>
      <c r="B85" t="s">
        <v>438</v>
      </c>
      <c r="C85" t="s">
        <v>439</v>
      </c>
      <c r="D85" t="s">
        <v>440</v>
      </c>
      <c r="E85" s="28">
        <v>345000</v>
      </c>
      <c r="F85" s="13">
        <v>1372.0650000000001</v>
      </c>
      <c r="G85" s="14">
        <f t="shared" si="3"/>
        <v>7.4999999999999997E-3</v>
      </c>
      <c r="H85" s="15"/>
    </row>
    <row r="86" spans="1:8" ht="12.75" customHeight="1" x14ac:dyDescent="0.2">
      <c r="A86">
        <f>+MAX($A$8:A85)+1</f>
        <v>78</v>
      </c>
      <c r="B86" t="s">
        <v>248</v>
      </c>
      <c r="C86" t="s">
        <v>410</v>
      </c>
      <c r="D86" t="s">
        <v>103</v>
      </c>
      <c r="E86" s="28">
        <v>1029000</v>
      </c>
      <c r="F86" s="13">
        <v>1350.048</v>
      </c>
      <c r="G86" s="14">
        <f t="shared" si="3"/>
        <v>7.3000000000000001E-3</v>
      </c>
      <c r="H86" s="15"/>
    </row>
    <row r="87" spans="1:8" ht="12.75" customHeight="1" x14ac:dyDescent="0.2">
      <c r="A87">
        <f>+MAX($A$8:A86)+1</f>
        <v>79</v>
      </c>
      <c r="B87" t="s">
        <v>552</v>
      </c>
      <c r="C87" t="s">
        <v>553</v>
      </c>
      <c r="D87" t="s">
        <v>36</v>
      </c>
      <c r="E87" s="28">
        <v>155700</v>
      </c>
      <c r="F87" s="13">
        <v>1341.1998000000001</v>
      </c>
      <c r="G87" s="14">
        <f t="shared" si="3"/>
        <v>7.3000000000000001E-3</v>
      </c>
      <c r="H87" s="15"/>
    </row>
    <row r="88" spans="1:8" ht="12.75" customHeight="1" x14ac:dyDescent="0.2">
      <c r="A88">
        <f>+MAX($A$8:A87)+1</f>
        <v>80</v>
      </c>
      <c r="B88" t="s">
        <v>543</v>
      </c>
      <c r="C88" t="s">
        <v>380</v>
      </c>
      <c r="D88" t="s">
        <v>9</v>
      </c>
      <c r="E88" s="28">
        <v>1188000</v>
      </c>
      <c r="F88" s="13">
        <v>1293.732</v>
      </c>
      <c r="G88" s="14">
        <f t="shared" si="3"/>
        <v>7.0000000000000001E-3</v>
      </c>
      <c r="H88" s="15"/>
    </row>
    <row r="89" spans="1:8" ht="12.75" customHeight="1" x14ac:dyDescent="0.2">
      <c r="A89">
        <f>+MAX($A$8:A88)+1</f>
        <v>81</v>
      </c>
      <c r="B89" t="s">
        <v>251</v>
      </c>
      <c r="C89" t="s">
        <v>133</v>
      </c>
      <c r="D89" t="s">
        <v>45</v>
      </c>
      <c r="E89" s="28">
        <v>723900</v>
      </c>
      <c r="F89" s="13">
        <v>1291.79955</v>
      </c>
      <c r="G89" s="14">
        <f t="shared" si="3"/>
        <v>7.0000000000000001E-3</v>
      </c>
      <c r="H89" s="15"/>
    </row>
    <row r="90" spans="1:8" ht="12.75" customHeight="1" x14ac:dyDescent="0.2">
      <c r="A90">
        <f>+MAX($A$8:A89)+1</f>
        <v>82</v>
      </c>
      <c r="B90" t="s">
        <v>574</v>
      </c>
      <c r="C90" t="s">
        <v>575</v>
      </c>
      <c r="D90" t="s">
        <v>17</v>
      </c>
      <c r="E90" s="28">
        <v>156000</v>
      </c>
      <c r="F90" s="13">
        <v>1284.972</v>
      </c>
      <c r="G90" s="14">
        <f t="shared" si="3"/>
        <v>7.0000000000000001E-3</v>
      </c>
      <c r="H90" s="15"/>
    </row>
    <row r="91" spans="1:8" ht="12.75" customHeight="1" x14ac:dyDescent="0.2">
      <c r="A91">
        <f>+MAX($A$8:A90)+1</f>
        <v>83</v>
      </c>
      <c r="B91" t="s">
        <v>395</v>
      </c>
      <c r="C91" t="s">
        <v>396</v>
      </c>
      <c r="D91" t="s">
        <v>140</v>
      </c>
      <c r="E91" s="28">
        <v>85348</v>
      </c>
      <c r="F91" s="13">
        <v>1281.92696</v>
      </c>
      <c r="G91" s="14">
        <f t="shared" si="3"/>
        <v>7.0000000000000001E-3</v>
      </c>
      <c r="H91" s="15"/>
    </row>
    <row r="92" spans="1:8" ht="12.75" customHeight="1" x14ac:dyDescent="0.2">
      <c r="A92">
        <f>+MAX($A$8:A91)+1</f>
        <v>84</v>
      </c>
      <c r="B92" t="s">
        <v>264</v>
      </c>
      <c r="C92" t="s">
        <v>148</v>
      </c>
      <c r="D92" t="s">
        <v>36</v>
      </c>
      <c r="E92" s="28">
        <v>807708</v>
      </c>
      <c r="F92" s="13">
        <v>1240.2356340000001</v>
      </c>
      <c r="G92" s="14">
        <f t="shared" si="3"/>
        <v>6.7000000000000002E-3</v>
      </c>
      <c r="H92" s="15"/>
    </row>
    <row r="93" spans="1:8" ht="12.75" customHeight="1" x14ac:dyDescent="0.2">
      <c r="A93">
        <f>+MAX($A$8:A92)+1</f>
        <v>85</v>
      </c>
      <c r="B93" t="s">
        <v>591</v>
      </c>
      <c r="C93" t="s">
        <v>573</v>
      </c>
      <c r="D93" t="s">
        <v>130</v>
      </c>
      <c r="E93" s="28">
        <v>85339</v>
      </c>
      <c r="F93" s="13">
        <v>1231.9964734999999</v>
      </c>
      <c r="G93" s="14">
        <f t="shared" si="3"/>
        <v>6.7000000000000002E-3</v>
      </c>
      <c r="H93" s="15"/>
    </row>
    <row r="94" spans="1:8" ht="12.75" customHeight="1" x14ac:dyDescent="0.2">
      <c r="A94">
        <f>+MAX($A$8:A93)+1</f>
        <v>86</v>
      </c>
      <c r="B94" t="s">
        <v>386</v>
      </c>
      <c r="C94" t="s">
        <v>387</v>
      </c>
      <c r="D94" t="s">
        <v>30</v>
      </c>
      <c r="E94" s="28">
        <v>255000</v>
      </c>
      <c r="F94" s="13">
        <v>1222.7249999999999</v>
      </c>
      <c r="G94" s="14">
        <f t="shared" si="3"/>
        <v>6.6E-3</v>
      </c>
      <c r="H94" s="15"/>
    </row>
    <row r="95" spans="1:8" ht="12.75" customHeight="1" x14ac:dyDescent="0.2">
      <c r="A95">
        <f>+MAX($A$8:A94)+1</f>
        <v>87</v>
      </c>
      <c r="B95" t="s">
        <v>569</v>
      </c>
      <c r="C95" t="s">
        <v>570</v>
      </c>
      <c r="D95" t="s">
        <v>140</v>
      </c>
      <c r="E95" s="28">
        <v>1125000</v>
      </c>
      <c r="F95" s="13">
        <v>1075.95</v>
      </c>
      <c r="G95" s="14">
        <f t="shared" si="3"/>
        <v>5.7999999999999996E-3</v>
      </c>
      <c r="H95" s="15"/>
    </row>
    <row r="96" spans="1:8" ht="12.75" customHeight="1" x14ac:dyDescent="0.2">
      <c r="A96">
        <f>+MAX($A$8:A95)+1</f>
        <v>88</v>
      </c>
      <c r="B96" t="s">
        <v>499</v>
      </c>
      <c r="C96" t="s">
        <v>500</v>
      </c>
      <c r="D96" t="s">
        <v>43</v>
      </c>
      <c r="E96" s="28">
        <v>1080000</v>
      </c>
      <c r="F96" s="13">
        <v>869.94</v>
      </c>
      <c r="G96" s="14">
        <f t="shared" si="3"/>
        <v>4.7000000000000002E-3</v>
      </c>
      <c r="H96" s="15"/>
    </row>
    <row r="97" spans="1:12" ht="12.75" customHeight="1" x14ac:dyDescent="0.2">
      <c r="A97">
        <f>+MAX($A$8:A96)+1</f>
        <v>89</v>
      </c>
      <c r="B97" t="s">
        <v>317</v>
      </c>
      <c r="C97" t="s">
        <v>318</v>
      </c>
      <c r="D97" t="s">
        <v>17</v>
      </c>
      <c r="E97" s="28">
        <v>95124</v>
      </c>
      <c r="F97" s="13">
        <v>726.89004599999998</v>
      </c>
      <c r="G97" s="14">
        <f t="shared" si="3"/>
        <v>3.8999999999999998E-3</v>
      </c>
      <c r="H97" s="15"/>
    </row>
    <row r="98" spans="1:12" ht="12.75" customHeight="1" x14ac:dyDescent="0.2">
      <c r="A98">
        <f>+MAX($A$8:A97)+1</f>
        <v>90</v>
      </c>
      <c r="B98" t="s">
        <v>332</v>
      </c>
      <c r="C98" t="s">
        <v>333</v>
      </c>
      <c r="D98" t="s">
        <v>140</v>
      </c>
      <c r="E98" s="28">
        <v>1260000</v>
      </c>
      <c r="F98" s="13">
        <v>537.39</v>
      </c>
      <c r="G98" s="14">
        <f t="shared" si="3"/>
        <v>2.8999999999999998E-3</v>
      </c>
      <c r="H98" s="15"/>
    </row>
    <row r="99" spans="1:12" ht="12.75" customHeight="1" x14ac:dyDescent="0.2">
      <c r="A99">
        <f>+MAX($A$8:A98)+1</f>
        <v>91</v>
      </c>
      <c r="B99" t="s">
        <v>567</v>
      </c>
      <c r="C99" t="s">
        <v>568</v>
      </c>
      <c r="D99" t="s">
        <v>104</v>
      </c>
      <c r="E99" s="28">
        <v>144000</v>
      </c>
      <c r="F99" s="13">
        <v>273.60000000000002</v>
      </c>
      <c r="G99" s="14">
        <f t="shared" si="3"/>
        <v>1.5E-3</v>
      </c>
      <c r="H99" s="15"/>
    </row>
    <row r="100" spans="1:12" ht="12.75" customHeight="1" x14ac:dyDescent="0.2">
      <c r="B100" s="18" t="s">
        <v>83</v>
      </c>
      <c r="C100" s="18"/>
      <c r="D100" s="18"/>
      <c r="E100" s="29"/>
      <c r="F100" s="19">
        <f>SUM(F9:F99)</f>
        <v>178304.48764750009</v>
      </c>
      <c r="G100" s="20">
        <f>SUM(G9:G99)</f>
        <v>0.96850000000000047</v>
      </c>
      <c r="H100" s="21"/>
      <c r="I100" s="49"/>
    </row>
    <row r="101" spans="1:12" ht="12.75" customHeight="1" x14ac:dyDescent="0.2">
      <c r="F101" s="13"/>
      <c r="G101" s="14"/>
      <c r="H101" s="15"/>
    </row>
    <row r="102" spans="1:12" ht="12.75" customHeight="1" x14ac:dyDescent="0.2">
      <c r="B102" s="16" t="s">
        <v>137</v>
      </c>
      <c r="C102" s="16"/>
      <c r="F102" s="13"/>
      <c r="G102" s="14"/>
      <c r="H102" s="73"/>
      <c r="I102"/>
      <c r="J102" s="36"/>
      <c r="K102"/>
    </row>
    <row r="103" spans="1:12" ht="12.75" customHeight="1" x14ac:dyDescent="0.2">
      <c r="A103">
        <f>+MAX($A$8:A102)+1</f>
        <v>92</v>
      </c>
      <c r="B103" t="s">
        <v>499</v>
      </c>
      <c r="C103" s="125" t="s">
        <v>695</v>
      </c>
      <c r="D103" t="s">
        <v>305</v>
      </c>
      <c r="E103" s="28">
        <v>744000</v>
      </c>
      <c r="F103" s="13">
        <v>602.64</v>
      </c>
      <c r="G103" s="14">
        <f>+ROUND(F103/VLOOKUP("Grand Total",$B$4:$F$302,5,0),4)</f>
        <v>3.3E-3</v>
      </c>
      <c r="H103" s="15">
        <v>43251</v>
      </c>
      <c r="I103"/>
      <c r="J103" s="36"/>
      <c r="K103"/>
    </row>
    <row r="104" spans="1:12" ht="12.75" customHeight="1" x14ac:dyDescent="0.2">
      <c r="B104" s="18" t="s">
        <v>83</v>
      </c>
      <c r="C104" s="18"/>
      <c r="D104" s="18"/>
      <c r="E104" s="29"/>
      <c r="F104" s="19">
        <f>SUM(F103:F103)</f>
        <v>602.64</v>
      </c>
      <c r="G104" s="20">
        <f>SUM(G103:G103)</f>
        <v>3.3E-3</v>
      </c>
      <c r="H104" s="21"/>
      <c r="I104"/>
      <c r="J104" s="36"/>
      <c r="K104"/>
    </row>
    <row r="105" spans="1:12" ht="12.75" customHeight="1" x14ac:dyDescent="0.2">
      <c r="F105" s="13"/>
      <c r="G105" s="14"/>
      <c r="H105" s="15"/>
    </row>
    <row r="106" spans="1:12" ht="12.75" customHeight="1" x14ac:dyDescent="0.2">
      <c r="B106" s="16" t="s">
        <v>90</v>
      </c>
      <c r="C106" s="16"/>
      <c r="F106" s="13"/>
      <c r="G106" s="14"/>
      <c r="H106" s="73"/>
      <c r="I106"/>
      <c r="J106" s="36"/>
      <c r="K106"/>
    </row>
    <row r="107" spans="1:12" ht="12.75" customHeight="1" x14ac:dyDescent="0.2">
      <c r="A107">
        <f>+MAX($A$8:A106)+1</f>
        <v>93</v>
      </c>
      <c r="B107" t="s">
        <v>420</v>
      </c>
      <c r="C107" t="s">
        <v>283</v>
      </c>
      <c r="D107" t="s">
        <v>302</v>
      </c>
      <c r="E107" s="28">
        <v>1679159.6142</v>
      </c>
      <c r="F107" s="13">
        <v>531.16184409999994</v>
      </c>
      <c r="G107" s="14">
        <f>+ROUND(F107/VLOOKUP("Grand Total",$B$4:$F$302,5,0),4)</f>
        <v>2.8999999999999998E-3</v>
      </c>
      <c r="H107" s="73" t="s">
        <v>346</v>
      </c>
      <c r="I107"/>
      <c r="J107" s="36"/>
      <c r="K107"/>
    </row>
    <row r="108" spans="1:12" ht="12.75" customHeight="1" x14ac:dyDescent="0.2">
      <c r="A108">
        <f>+MAX($A$8:A107)+1</f>
        <v>94</v>
      </c>
      <c r="B108" t="s">
        <v>413</v>
      </c>
      <c r="C108" t="s">
        <v>331</v>
      </c>
      <c r="D108" t="s">
        <v>302</v>
      </c>
      <c r="E108" s="28">
        <v>9884.0483000000004</v>
      </c>
      <c r="F108" s="13">
        <v>167.54573820000002</v>
      </c>
      <c r="G108" s="14">
        <f>+ROUND(F108/VLOOKUP("Grand Total",$B$4:$F$302,5,0),4)</f>
        <v>8.9999999999999998E-4</v>
      </c>
      <c r="H108" s="73" t="s">
        <v>346</v>
      </c>
      <c r="I108"/>
      <c r="J108" s="36"/>
      <c r="K108"/>
    </row>
    <row r="109" spans="1:12" ht="12.75" customHeight="1" x14ac:dyDescent="0.2">
      <c r="B109" s="18" t="s">
        <v>83</v>
      </c>
      <c r="C109" s="18"/>
      <c r="D109" s="18"/>
      <c r="E109" s="29"/>
      <c r="F109" s="19">
        <f>SUM(F107:F108)</f>
        <v>698.70758230000001</v>
      </c>
      <c r="G109" s="20">
        <f>SUM(G107:G108)</f>
        <v>3.7999999999999996E-3</v>
      </c>
      <c r="H109" s="21"/>
      <c r="I109"/>
      <c r="J109" s="36"/>
      <c r="K109"/>
    </row>
    <row r="110" spans="1:12" s="46" customFormat="1" ht="12.75" customHeight="1" x14ac:dyDescent="0.2">
      <c r="B110" s="67"/>
      <c r="C110" s="67"/>
      <c r="D110" s="67"/>
      <c r="E110" s="68"/>
      <c r="F110" s="69"/>
      <c r="G110" s="70"/>
      <c r="H110" s="35"/>
      <c r="J110" s="48"/>
    </row>
    <row r="111" spans="1:12" ht="12.75" customHeight="1" x14ac:dyDescent="0.2">
      <c r="A111" s="95" t="s">
        <v>345</v>
      </c>
      <c r="B111" s="16" t="s">
        <v>91</v>
      </c>
      <c r="C111" s="16"/>
      <c r="F111" s="13">
        <v>5388.8754745000006</v>
      </c>
      <c r="G111" s="14">
        <f>+ROUND(F111/VLOOKUP("Grand Total",$B$4:$F$302,5,0),4)</f>
        <v>2.93E-2</v>
      </c>
      <c r="H111" s="15">
        <v>43222</v>
      </c>
      <c r="L111" s="46"/>
    </row>
    <row r="112" spans="1:12" ht="12.75" customHeight="1" x14ac:dyDescent="0.2">
      <c r="B112" s="18" t="s">
        <v>83</v>
      </c>
      <c r="C112" s="18"/>
      <c r="D112" s="18"/>
      <c r="E112" s="29"/>
      <c r="F112" s="19">
        <f>SUM(F111)</f>
        <v>5388.8754745000006</v>
      </c>
      <c r="G112" s="20">
        <f>SUM(G111)</f>
        <v>2.93E-2</v>
      </c>
      <c r="H112" s="21"/>
      <c r="I112" s="49"/>
    </row>
    <row r="113" spans="2:11" ht="12.75" customHeight="1" x14ac:dyDescent="0.2">
      <c r="F113" s="13"/>
      <c r="G113" s="14"/>
      <c r="H113" s="15"/>
    </row>
    <row r="114" spans="2:11" ht="12.75" customHeight="1" x14ac:dyDescent="0.2">
      <c r="B114" s="16" t="s">
        <v>92</v>
      </c>
      <c r="C114" s="16"/>
      <c r="F114" s="13"/>
      <c r="G114" s="14"/>
      <c r="H114" s="15"/>
      <c r="I114" s="56"/>
    </row>
    <row r="115" spans="2:11" ht="12.75" customHeight="1" x14ac:dyDescent="0.2">
      <c r="B115" s="16" t="s">
        <v>93</v>
      </c>
      <c r="C115" s="16"/>
      <c r="F115" s="13">
        <v>-911.8889997000806</v>
      </c>
      <c r="G115" s="122">
        <f>+ROUND(F115/VLOOKUP("Grand Total",$B$4:$F$320,5,0),4)+0.01%</f>
        <v>-4.8999999999999998E-3</v>
      </c>
      <c r="H115" s="15"/>
      <c r="I115" s="55"/>
    </row>
    <row r="116" spans="2:11" ht="12.75" customHeight="1" x14ac:dyDescent="0.2">
      <c r="B116" s="18" t="s">
        <v>83</v>
      </c>
      <c r="C116" s="18"/>
      <c r="D116" s="18"/>
      <c r="E116" s="29"/>
      <c r="F116" s="19">
        <f>SUM(F115)</f>
        <v>-911.8889997000806</v>
      </c>
      <c r="G116" s="123">
        <f>SUM(G115)</f>
        <v>-4.8999999999999998E-3</v>
      </c>
      <c r="H116" s="21"/>
      <c r="I116" s="39"/>
    </row>
    <row r="117" spans="2:11" ht="12.75" customHeight="1" x14ac:dyDescent="0.2">
      <c r="B117" s="22" t="s">
        <v>94</v>
      </c>
      <c r="C117" s="22"/>
      <c r="D117" s="22"/>
      <c r="E117" s="30"/>
      <c r="F117" s="23">
        <f>+SUMIF($B$5:B116,"Total",$F$5:F116)</f>
        <v>184082.82170460004</v>
      </c>
      <c r="G117" s="24">
        <f>+SUMIF($B$5:B116,"Total",$G$5:G116)</f>
        <v>1.0000000000000007</v>
      </c>
      <c r="H117" s="25"/>
      <c r="K117"/>
    </row>
    <row r="118" spans="2:11" ht="12.75" customHeight="1" x14ac:dyDescent="0.2">
      <c r="F118" s="13"/>
    </row>
    <row r="119" spans="2:11" ht="12.75" customHeight="1" x14ac:dyDescent="0.2">
      <c r="B119" s="53" t="s">
        <v>291</v>
      </c>
    </row>
    <row r="120" spans="2:11" ht="12.75" customHeight="1" x14ac:dyDescent="0.2">
      <c r="B120" s="16" t="s">
        <v>181</v>
      </c>
    </row>
    <row r="121" spans="2:11" ht="12.75" customHeight="1" x14ac:dyDescent="0.2">
      <c r="B121" s="16" t="s">
        <v>735</v>
      </c>
    </row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</sheetData>
  <sheetProtection password="EDB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351</v>
      </c>
      <c r="B1" s="128" t="s">
        <v>154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t="s">
        <v>186</v>
      </c>
      <c r="C9" t="s">
        <v>12</v>
      </c>
      <c r="D9" t="s">
        <v>9</v>
      </c>
      <c r="E9" s="28">
        <v>73992</v>
      </c>
      <c r="F9" s="13">
        <v>1438.626456</v>
      </c>
      <c r="G9" s="14">
        <f t="shared" ref="G9:G40" si="0">+ROUND(F9/VLOOKUP("Grand Total",$B$4:$F$300,5,0),4)</f>
        <v>4.58E-2</v>
      </c>
      <c r="H9" s="72" t="s">
        <v>346</v>
      </c>
      <c r="I9" s="107"/>
      <c r="J9" s="14" t="s">
        <v>9</v>
      </c>
      <c r="K9" s="48">
        <f t="shared" ref="K9:K33" si="1">SUMIFS($G$5:$G$331,$D$5:$D$331,J9)</f>
        <v>0.19670000000000001</v>
      </c>
    </row>
    <row r="10" spans="1:16" ht="12.75" customHeight="1" x14ac:dyDescent="0.2">
      <c r="A10">
        <f>+MAX($A$8:A9)+1</f>
        <v>2</v>
      </c>
      <c r="B10" t="s">
        <v>189</v>
      </c>
      <c r="C10" t="s">
        <v>10</v>
      </c>
      <c r="D10" t="s">
        <v>9</v>
      </c>
      <c r="E10" s="28">
        <v>382730</v>
      </c>
      <c r="F10" s="13">
        <v>1087.71866</v>
      </c>
      <c r="G10" s="14">
        <f t="shared" si="0"/>
        <v>3.4599999999999999E-2</v>
      </c>
      <c r="H10" s="15" t="s">
        <v>346</v>
      </c>
      <c r="I10" s="107"/>
      <c r="J10" s="14" t="s">
        <v>24</v>
      </c>
      <c r="K10" s="48">
        <f t="shared" si="1"/>
        <v>0.1353</v>
      </c>
    </row>
    <row r="11" spans="1:16" ht="12.75" customHeight="1" x14ac:dyDescent="0.2">
      <c r="A11">
        <f>+MAX($A$8:A10)+1</f>
        <v>3</v>
      </c>
      <c r="B11" t="s">
        <v>187</v>
      </c>
      <c r="C11" t="s">
        <v>14</v>
      </c>
      <c r="D11" t="s">
        <v>13</v>
      </c>
      <c r="E11" s="28">
        <v>85286</v>
      </c>
      <c r="F11" s="13">
        <v>1023.00557</v>
      </c>
      <c r="G11" s="14">
        <f t="shared" si="0"/>
        <v>3.2599999999999997E-2</v>
      </c>
      <c r="H11" s="15" t="s">
        <v>346</v>
      </c>
      <c r="I11" s="107"/>
      <c r="J11" s="14" t="s">
        <v>13</v>
      </c>
      <c r="K11" s="48">
        <f t="shared" si="1"/>
        <v>8.1699999999999995E-2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219</v>
      </c>
      <c r="C12" t="s">
        <v>69</v>
      </c>
      <c r="D12" t="s">
        <v>26</v>
      </c>
      <c r="E12" s="28">
        <v>71891</v>
      </c>
      <c r="F12" s="13">
        <v>1007.121019</v>
      </c>
      <c r="G12" s="14">
        <f t="shared" si="0"/>
        <v>3.2099999999999997E-2</v>
      </c>
      <c r="H12" s="15" t="s">
        <v>346</v>
      </c>
      <c r="I12" s="107"/>
      <c r="J12" s="14" t="s">
        <v>22</v>
      </c>
      <c r="K12" s="48">
        <f t="shared" si="1"/>
        <v>7.0299999999999987E-2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188</v>
      </c>
      <c r="C13" t="s">
        <v>29</v>
      </c>
      <c r="D13" t="s">
        <v>28</v>
      </c>
      <c r="E13" s="28">
        <v>99058</v>
      </c>
      <c r="F13" s="13">
        <v>954.22571400000004</v>
      </c>
      <c r="G13" s="14">
        <f t="shared" si="0"/>
        <v>3.04E-2</v>
      </c>
      <c r="H13" s="15" t="s">
        <v>346</v>
      </c>
      <c r="I13" s="107"/>
      <c r="J13" s="14" t="s">
        <v>19</v>
      </c>
      <c r="K13" s="48">
        <f t="shared" si="1"/>
        <v>5.5099999999999996E-2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192</v>
      </c>
      <c r="C14" t="s">
        <v>25</v>
      </c>
      <c r="D14" t="s">
        <v>22</v>
      </c>
      <c r="E14" s="28">
        <v>47634</v>
      </c>
      <c r="F14" s="13">
        <v>897.06730500000003</v>
      </c>
      <c r="G14" s="14">
        <f t="shared" si="0"/>
        <v>2.86E-2</v>
      </c>
      <c r="H14" s="15" t="s">
        <v>346</v>
      </c>
      <c r="I14" s="107"/>
      <c r="J14" s="14" t="s">
        <v>21</v>
      </c>
      <c r="K14" s="48">
        <f t="shared" si="1"/>
        <v>5.0699999999999995E-2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195</v>
      </c>
      <c r="C15" t="s">
        <v>44</v>
      </c>
      <c r="D15" t="s">
        <v>24</v>
      </c>
      <c r="E15" s="28">
        <v>306699</v>
      </c>
      <c r="F15" s="13">
        <v>863.20433549999996</v>
      </c>
      <c r="G15" s="14">
        <f t="shared" si="0"/>
        <v>2.75E-2</v>
      </c>
      <c r="H15" s="15" t="s">
        <v>346</v>
      </c>
      <c r="I15" s="107"/>
      <c r="J15" s="14" t="s">
        <v>34</v>
      </c>
      <c r="K15" s="48">
        <f t="shared" si="1"/>
        <v>4.1399999999999999E-2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299</v>
      </c>
      <c r="C16" t="s">
        <v>300</v>
      </c>
      <c r="D16" t="s">
        <v>140</v>
      </c>
      <c r="E16" s="28">
        <v>131069</v>
      </c>
      <c r="F16" s="13">
        <v>860.00924349999991</v>
      </c>
      <c r="G16" s="14">
        <f t="shared" si="0"/>
        <v>2.7400000000000001E-2</v>
      </c>
      <c r="H16" s="15" t="s">
        <v>346</v>
      </c>
      <c r="I16" s="107"/>
      <c r="J16" s="14" t="s">
        <v>26</v>
      </c>
      <c r="K16" s="48">
        <f t="shared" si="1"/>
        <v>3.9099999999999996E-2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191</v>
      </c>
      <c r="C17" t="s">
        <v>23</v>
      </c>
      <c r="D17" t="s">
        <v>13</v>
      </c>
      <c r="E17" s="28">
        <v>74935</v>
      </c>
      <c r="F17" s="13">
        <v>788.87821250000002</v>
      </c>
      <c r="G17" s="14">
        <f t="shared" si="0"/>
        <v>2.5100000000000001E-2</v>
      </c>
      <c r="H17" s="15" t="s">
        <v>346</v>
      </c>
      <c r="I17" s="107"/>
      <c r="J17" s="14" t="s">
        <v>17</v>
      </c>
      <c r="K17" s="48">
        <f t="shared" si="1"/>
        <v>3.7999999999999999E-2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292</v>
      </c>
      <c r="C18" t="s">
        <v>55</v>
      </c>
      <c r="D18" t="s">
        <v>24</v>
      </c>
      <c r="E18" s="28">
        <v>48312</v>
      </c>
      <c r="F18" s="13">
        <v>786.01208400000007</v>
      </c>
      <c r="G18" s="14">
        <f t="shared" si="0"/>
        <v>2.5000000000000001E-2</v>
      </c>
      <c r="H18" s="15" t="s">
        <v>346</v>
      </c>
      <c r="I18" s="107"/>
      <c r="J18" s="14" t="s">
        <v>39</v>
      </c>
      <c r="K18" s="48">
        <f t="shared" si="1"/>
        <v>3.6799999999999999E-2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225</v>
      </c>
      <c r="C19" t="s">
        <v>76</v>
      </c>
      <c r="D19" t="s">
        <v>24</v>
      </c>
      <c r="E19" s="28">
        <v>21500</v>
      </c>
      <c r="F19" s="13">
        <v>778.77300000000002</v>
      </c>
      <c r="G19" s="14">
        <f t="shared" si="0"/>
        <v>2.4799999999999999E-2</v>
      </c>
      <c r="H19" s="15" t="s">
        <v>346</v>
      </c>
      <c r="I19" s="107"/>
      <c r="J19" s="14" t="s">
        <v>130</v>
      </c>
      <c r="K19" s="48">
        <f t="shared" si="1"/>
        <v>3.49E-2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210</v>
      </c>
      <c r="C20" t="s">
        <v>18</v>
      </c>
      <c r="D20" t="s">
        <v>13</v>
      </c>
      <c r="E20" s="28">
        <v>21307</v>
      </c>
      <c r="F20" s="13">
        <v>752.58454700000004</v>
      </c>
      <c r="G20" s="14">
        <f t="shared" si="0"/>
        <v>2.4E-2</v>
      </c>
      <c r="H20" s="15" t="s">
        <v>346</v>
      </c>
      <c r="I20" s="107"/>
      <c r="J20" s="14" t="s">
        <v>36</v>
      </c>
      <c r="K20" s="48">
        <f t="shared" si="1"/>
        <v>3.4799999999999998E-2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15</v>
      </c>
      <c r="C21" t="s">
        <v>16</v>
      </c>
      <c r="D21" t="s">
        <v>9</v>
      </c>
      <c r="E21" s="28">
        <v>303480</v>
      </c>
      <c r="F21" s="13">
        <v>747.77472</v>
      </c>
      <c r="G21" s="14">
        <f t="shared" si="0"/>
        <v>2.3800000000000002E-2</v>
      </c>
      <c r="H21" s="15" t="s">
        <v>346</v>
      </c>
      <c r="I21" s="107"/>
      <c r="J21" s="14" t="s">
        <v>28</v>
      </c>
      <c r="K21" s="48">
        <f t="shared" si="1"/>
        <v>3.04E-2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324</v>
      </c>
      <c r="C22" t="s">
        <v>651</v>
      </c>
      <c r="D22" t="s">
        <v>130</v>
      </c>
      <c r="E22" s="28">
        <v>275085</v>
      </c>
      <c r="F22" s="13">
        <v>717.42168000000004</v>
      </c>
      <c r="G22" s="14">
        <f t="shared" si="0"/>
        <v>2.29E-2</v>
      </c>
      <c r="H22" s="15" t="s">
        <v>346</v>
      </c>
      <c r="I22" s="107"/>
      <c r="J22" s="14" t="s">
        <v>140</v>
      </c>
      <c r="K22" s="48">
        <f t="shared" si="1"/>
        <v>2.7400000000000001E-2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197</v>
      </c>
      <c r="C23" t="s">
        <v>46</v>
      </c>
      <c r="D23" t="s">
        <v>24</v>
      </c>
      <c r="E23" s="28">
        <v>12279</v>
      </c>
      <c r="F23" s="13">
        <v>676.96582799999999</v>
      </c>
      <c r="G23" s="14">
        <f t="shared" si="0"/>
        <v>2.1600000000000001E-2</v>
      </c>
      <c r="H23" s="15" t="s">
        <v>346</v>
      </c>
      <c r="I23" s="107"/>
      <c r="J23" s="14" t="s">
        <v>450</v>
      </c>
      <c r="K23" s="48">
        <f t="shared" si="1"/>
        <v>1.61E-2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525</v>
      </c>
      <c r="C24" t="s">
        <v>526</v>
      </c>
      <c r="D24" t="s">
        <v>34</v>
      </c>
      <c r="E24" s="28">
        <v>740000</v>
      </c>
      <c r="F24" s="13">
        <v>653.41999999999996</v>
      </c>
      <c r="G24" s="14">
        <f t="shared" si="0"/>
        <v>2.0799999999999999E-2</v>
      </c>
      <c r="H24" s="15" t="s">
        <v>346</v>
      </c>
      <c r="I24" s="107"/>
      <c r="J24" t="s">
        <v>35</v>
      </c>
      <c r="K24" s="48">
        <f t="shared" si="1"/>
        <v>1.3100000000000001E-2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237</v>
      </c>
      <c r="C25" t="s">
        <v>113</v>
      </c>
      <c r="D25" t="s">
        <v>34</v>
      </c>
      <c r="E25" s="28">
        <v>374900</v>
      </c>
      <c r="F25" s="13">
        <v>645.39035000000001</v>
      </c>
      <c r="G25" s="14">
        <f t="shared" si="0"/>
        <v>2.06E-2</v>
      </c>
      <c r="H25" s="15" t="s">
        <v>346</v>
      </c>
      <c r="I25" s="107"/>
      <c r="J25" t="s">
        <v>49</v>
      </c>
      <c r="K25" s="48">
        <f t="shared" si="1"/>
        <v>1.21E-2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293</v>
      </c>
      <c r="C26" t="s">
        <v>74</v>
      </c>
      <c r="D26" t="s">
        <v>36</v>
      </c>
      <c r="E26" s="28">
        <v>175000</v>
      </c>
      <c r="F26" s="13">
        <v>635.77499999999998</v>
      </c>
      <c r="G26" s="14">
        <f t="shared" si="0"/>
        <v>2.0299999999999999E-2</v>
      </c>
      <c r="H26" s="15" t="s">
        <v>346</v>
      </c>
      <c r="I26" s="107"/>
      <c r="J26" t="s">
        <v>41</v>
      </c>
      <c r="K26" s="48">
        <f t="shared" si="1"/>
        <v>1.12E-2</v>
      </c>
      <c r="L26" s="54">
        <f>+SUM($K$9:K27)</f>
        <v>0.93600000000000017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206</v>
      </c>
      <c r="C27" t="s">
        <v>96</v>
      </c>
      <c r="D27" t="s">
        <v>9</v>
      </c>
      <c r="E27" s="28">
        <v>51897</v>
      </c>
      <c r="F27" s="13">
        <v>628.52456700000005</v>
      </c>
      <c r="G27" s="14">
        <f t="shared" si="0"/>
        <v>0.02</v>
      </c>
      <c r="H27" s="15" t="s">
        <v>346</v>
      </c>
      <c r="I27" s="107"/>
      <c r="J27" s="65" t="s">
        <v>43</v>
      </c>
      <c r="K27" s="48">
        <f t="shared" si="1"/>
        <v>1.09E-2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262</v>
      </c>
      <c r="C28" t="s">
        <v>143</v>
      </c>
      <c r="D28" t="s">
        <v>39</v>
      </c>
      <c r="E28" s="28">
        <v>71662</v>
      </c>
      <c r="F28" s="13">
        <v>599.30930599999999</v>
      </c>
      <c r="G28" s="14">
        <f t="shared" si="0"/>
        <v>1.9099999999999999E-2</v>
      </c>
      <c r="H28" s="15" t="s">
        <v>346</v>
      </c>
      <c r="I28" s="107"/>
      <c r="J28" t="s">
        <v>385</v>
      </c>
      <c r="K28" s="48">
        <f t="shared" si="1"/>
        <v>1.06E-2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369</v>
      </c>
      <c r="C29" t="s">
        <v>368</v>
      </c>
      <c r="D29" t="s">
        <v>24</v>
      </c>
      <c r="E29" s="28">
        <v>160000</v>
      </c>
      <c r="F29" s="13">
        <v>591.04</v>
      </c>
      <c r="G29" s="14">
        <f t="shared" si="0"/>
        <v>1.8800000000000001E-2</v>
      </c>
      <c r="H29" s="15" t="s">
        <v>346</v>
      </c>
      <c r="I29" s="107"/>
      <c r="J29" s="14" t="s">
        <v>32</v>
      </c>
      <c r="K29" s="48">
        <f t="shared" si="1"/>
        <v>8.5000000000000006E-3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200</v>
      </c>
      <c r="C30" t="s">
        <v>50</v>
      </c>
      <c r="D30" t="s">
        <v>39</v>
      </c>
      <c r="E30" s="28">
        <v>475000</v>
      </c>
      <c r="F30" s="13">
        <v>554.5625</v>
      </c>
      <c r="G30" s="14">
        <f t="shared" si="0"/>
        <v>1.77E-2</v>
      </c>
      <c r="H30" s="15" t="s">
        <v>346</v>
      </c>
      <c r="I30" s="107"/>
      <c r="J30" s="14" t="s">
        <v>30</v>
      </c>
      <c r="K30" s="48">
        <f t="shared" si="1"/>
        <v>7.7999999999999996E-3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527</v>
      </c>
      <c r="C31" t="s">
        <v>528</v>
      </c>
      <c r="D31" t="s">
        <v>24</v>
      </c>
      <c r="E31" s="28">
        <v>9065</v>
      </c>
      <c r="F31" s="13">
        <v>553.04205249999995</v>
      </c>
      <c r="G31" s="14">
        <f t="shared" si="0"/>
        <v>1.7600000000000001E-2</v>
      </c>
      <c r="H31" s="15" t="s">
        <v>346</v>
      </c>
      <c r="I31" s="107"/>
      <c r="J31" s="14" t="s">
        <v>401</v>
      </c>
      <c r="K31" s="48">
        <f t="shared" si="1"/>
        <v>6.4000000000000003E-3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294</v>
      </c>
      <c r="C32" t="s">
        <v>65</v>
      </c>
      <c r="D32" t="s">
        <v>17</v>
      </c>
      <c r="E32" s="28">
        <v>361061</v>
      </c>
      <c r="F32" s="13">
        <v>530.94020049999995</v>
      </c>
      <c r="G32" s="14">
        <f t="shared" si="0"/>
        <v>1.6899999999999998E-2</v>
      </c>
      <c r="H32" s="15" t="s">
        <v>346</v>
      </c>
      <c r="I32" s="107"/>
      <c r="J32" s="14" t="s">
        <v>323</v>
      </c>
      <c r="K32" s="48">
        <f t="shared" si="1"/>
        <v>0</v>
      </c>
    </row>
    <row r="33" spans="1:11" ht="12.75" customHeight="1" x14ac:dyDescent="0.2">
      <c r="A33">
        <f>+MAX($A$8:A32)+1</f>
        <v>25</v>
      </c>
      <c r="B33" t="s">
        <v>205</v>
      </c>
      <c r="C33" t="s">
        <v>72</v>
      </c>
      <c r="D33" t="s">
        <v>450</v>
      </c>
      <c r="E33" s="28">
        <v>342000</v>
      </c>
      <c r="F33" s="13">
        <v>505.98899999999998</v>
      </c>
      <c r="G33" s="14">
        <f t="shared" si="0"/>
        <v>1.61E-2</v>
      </c>
      <c r="H33" s="15" t="s">
        <v>346</v>
      </c>
      <c r="I33" s="107"/>
      <c r="J33" s="14" t="s">
        <v>397</v>
      </c>
      <c r="K33" s="48">
        <f t="shared" si="1"/>
        <v>0</v>
      </c>
    </row>
    <row r="34" spans="1:11" ht="12.75" customHeight="1" x14ac:dyDescent="0.2">
      <c r="A34">
        <f>+MAX($A$8:A33)+1</f>
        <v>26</v>
      </c>
      <c r="B34" t="s">
        <v>652</v>
      </c>
      <c r="C34" t="s">
        <v>653</v>
      </c>
      <c r="D34" t="s">
        <v>22</v>
      </c>
      <c r="E34" s="28">
        <v>110000</v>
      </c>
      <c r="F34" s="13">
        <v>468.93</v>
      </c>
      <c r="G34" s="14">
        <f t="shared" si="0"/>
        <v>1.49E-2</v>
      </c>
      <c r="H34" s="15" t="s">
        <v>346</v>
      </c>
      <c r="I34" s="107"/>
      <c r="J34" s="14" t="s">
        <v>62</v>
      </c>
      <c r="K34" s="48">
        <f>+SUMIFS($G$5:$G$998,$B$5:$B$998,"CBLO / Reverse Repo Investments")+SUMIFS($G$5:$G$998,$B$5:$B$998,"Net Receivable/Payable")</f>
        <v>3.0699999999999998E-2</v>
      </c>
    </row>
    <row r="35" spans="1:11" ht="12.75" customHeight="1" x14ac:dyDescent="0.2">
      <c r="A35">
        <f>+MAX($A$8:A34)+1</f>
        <v>27</v>
      </c>
      <c r="B35" t="s">
        <v>235</v>
      </c>
      <c r="C35" t="s">
        <v>110</v>
      </c>
      <c r="D35" t="s">
        <v>19</v>
      </c>
      <c r="E35" s="28">
        <v>12552</v>
      </c>
      <c r="F35" s="13">
        <v>468.47201999999999</v>
      </c>
      <c r="G35" s="14">
        <f t="shared" si="0"/>
        <v>1.49E-2</v>
      </c>
      <c r="H35" s="15" t="s">
        <v>346</v>
      </c>
      <c r="I35" s="107"/>
    </row>
    <row r="36" spans="1:11" ht="12.75" customHeight="1" x14ac:dyDescent="0.2">
      <c r="A36">
        <f>+MAX($A$8:A35)+1</f>
        <v>28</v>
      </c>
      <c r="B36" t="s">
        <v>203</v>
      </c>
      <c r="C36" t="s">
        <v>47</v>
      </c>
      <c r="D36" t="s">
        <v>19</v>
      </c>
      <c r="E36" s="28">
        <v>5278</v>
      </c>
      <c r="F36" s="13">
        <v>465.253061</v>
      </c>
      <c r="G36" s="14">
        <f t="shared" si="0"/>
        <v>1.4800000000000001E-2</v>
      </c>
      <c r="H36" s="15" t="s">
        <v>346</v>
      </c>
      <c r="I36" s="107"/>
    </row>
    <row r="37" spans="1:11" ht="12.75" customHeight="1" x14ac:dyDescent="0.2">
      <c r="A37">
        <f>+MAX($A$8:A36)+1</f>
        <v>29</v>
      </c>
      <c r="B37" t="s">
        <v>543</v>
      </c>
      <c r="C37" t="s">
        <v>380</v>
      </c>
      <c r="D37" t="s">
        <v>9</v>
      </c>
      <c r="E37" s="28">
        <v>422693</v>
      </c>
      <c r="F37" s="13">
        <v>460.31267700000001</v>
      </c>
      <c r="G37" s="14">
        <f t="shared" si="0"/>
        <v>1.47E-2</v>
      </c>
      <c r="H37" s="15" t="s">
        <v>346</v>
      </c>
      <c r="I37" s="107"/>
    </row>
    <row r="38" spans="1:11" ht="12.75" customHeight="1" x14ac:dyDescent="0.2">
      <c r="A38">
        <f>+MAX($A$8:A37)+1</f>
        <v>30</v>
      </c>
      <c r="B38" t="s">
        <v>342</v>
      </c>
      <c r="C38" t="s">
        <v>343</v>
      </c>
      <c r="D38" t="s">
        <v>36</v>
      </c>
      <c r="E38" s="28">
        <v>579178</v>
      </c>
      <c r="F38" s="13">
        <v>454.94431900000001</v>
      </c>
      <c r="G38" s="14">
        <f t="shared" si="0"/>
        <v>1.4500000000000001E-2</v>
      </c>
      <c r="H38" s="15" t="s">
        <v>346</v>
      </c>
      <c r="I38" s="107"/>
    </row>
    <row r="39" spans="1:11" ht="12.75" customHeight="1" x14ac:dyDescent="0.2">
      <c r="A39">
        <f>+MAX($A$8:A38)+1</f>
        <v>31</v>
      </c>
      <c r="B39" t="s">
        <v>199</v>
      </c>
      <c r="C39" t="s">
        <v>48</v>
      </c>
      <c r="D39" t="s">
        <v>21</v>
      </c>
      <c r="E39" s="28">
        <v>7253</v>
      </c>
      <c r="F39" s="13">
        <v>448.21001450000006</v>
      </c>
      <c r="G39" s="14">
        <f t="shared" si="0"/>
        <v>1.43E-2</v>
      </c>
      <c r="H39" s="15" t="s">
        <v>346</v>
      </c>
      <c r="I39" s="107"/>
    </row>
    <row r="40" spans="1:11" ht="12.75" customHeight="1" x14ac:dyDescent="0.2">
      <c r="A40">
        <f>+MAX($A$8:A39)+1</f>
        <v>32</v>
      </c>
      <c r="B40" t="s">
        <v>227</v>
      </c>
      <c r="C40" t="s">
        <v>98</v>
      </c>
      <c r="D40" t="s">
        <v>19</v>
      </c>
      <c r="E40" s="28">
        <v>50625</v>
      </c>
      <c r="F40" s="13">
        <v>442.10812499999997</v>
      </c>
      <c r="G40" s="14">
        <f t="shared" si="0"/>
        <v>1.41E-2</v>
      </c>
      <c r="H40" s="15" t="s">
        <v>346</v>
      </c>
      <c r="I40" s="107"/>
    </row>
    <row r="41" spans="1:11" ht="12.75" customHeight="1" x14ac:dyDescent="0.2">
      <c r="A41">
        <f>+MAX($A$8:A40)+1</f>
        <v>33</v>
      </c>
      <c r="B41" t="s">
        <v>453</v>
      </c>
      <c r="C41" t="s">
        <v>454</v>
      </c>
      <c r="D41" t="s">
        <v>22</v>
      </c>
      <c r="E41" s="28">
        <v>27011</v>
      </c>
      <c r="F41" s="13">
        <v>434.97163850000004</v>
      </c>
      <c r="G41" s="14">
        <f t="shared" ref="G41:G59" si="2">+ROUND(F41/VLOOKUP("Grand Total",$B$4:$F$300,5,0),4)</f>
        <v>1.3899999999999999E-2</v>
      </c>
      <c r="H41" s="15" t="s">
        <v>346</v>
      </c>
      <c r="I41" s="107"/>
    </row>
    <row r="42" spans="1:11" ht="12.75" customHeight="1" x14ac:dyDescent="0.2">
      <c r="A42">
        <f>+MAX($A$8:A41)+1</f>
        <v>34</v>
      </c>
      <c r="B42" t="s">
        <v>587</v>
      </c>
      <c r="C42" t="s">
        <v>588</v>
      </c>
      <c r="D42" t="s">
        <v>35</v>
      </c>
      <c r="E42" s="28">
        <v>29355</v>
      </c>
      <c r="F42" s="13">
        <v>411.79194000000001</v>
      </c>
      <c r="G42" s="14">
        <f t="shared" si="2"/>
        <v>1.3100000000000001E-2</v>
      </c>
      <c r="H42" s="15" t="s">
        <v>346</v>
      </c>
      <c r="I42" s="107"/>
    </row>
    <row r="43" spans="1:11" ht="12.75" customHeight="1" x14ac:dyDescent="0.2">
      <c r="A43">
        <f>+MAX($A$8:A42)+1</f>
        <v>35</v>
      </c>
      <c r="B43" t="s">
        <v>398</v>
      </c>
      <c r="C43" t="s">
        <v>66</v>
      </c>
      <c r="D43" t="s">
        <v>21</v>
      </c>
      <c r="E43" s="28">
        <v>76911</v>
      </c>
      <c r="F43" s="13">
        <v>406.39772399999998</v>
      </c>
      <c r="G43" s="14">
        <f t="shared" si="2"/>
        <v>1.29E-2</v>
      </c>
      <c r="H43" s="15" t="s">
        <v>346</v>
      </c>
      <c r="I43" s="107"/>
    </row>
    <row r="44" spans="1:11" ht="12.75" customHeight="1" x14ac:dyDescent="0.2">
      <c r="A44">
        <f>+MAX($A$8:A43)+1</f>
        <v>36</v>
      </c>
      <c r="B44" t="s">
        <v>196</v>
      </c>
      <c r="C44" t="s">
        <v>42</v>
      </c>
      <c r="D44" t="s">
        <v>22</v>
      </c>
      <c r="E44" s="28">
        <v>63140</v>
      </c>
      <c r="F44" s="13">
        <v>404.72739999999999</v>
      </c>
      <c r="G44" s="14">
        <f t="shared" si="2"/>
        <v>1.29E-2</v>
      </c>
      <c r="H44" s="15" t="s">
        <v>346</v>
      </c>
      <c r="I44" s="107"/>
    </row>
    <row r="45" spans="1:11" ht="12.75" customHeight="1" x14ac:dyDescent="0.2">
      <c r="A45">
        <f>+MAX($A$8:A44)+1</f>
        <v>37</v>
      </c>
      <c r="B45" t="s">
        <v>496</v>
      </c>
      <c r="C45" t="s">
        <v>433</v>
      </c>
      <c r="D45" t="s">
        <v>21</v>
      </c>
      <c r="E45" s="28">
        <v>105000</v>
      </c>
      <c r="F45" s="13">
        <v>392.64749999999998</v>
      </c>
      <c r="G45" s="14">
        <f t="shared" si="2"/>
        <v>1.2500000000000001E-2</v>
      </c>
      <c r="H45" s="15" t="s">
        <v>346</v>
      </c>
      <c r="I45" s="107"/>
    </row>
    <row r="46" spans="1:11" ht="12.75" customHeight="1" x14ac:dyDescent="0.2">
      <c r="A46">
        <f>+MAX($A$8:A45)+1</f>
        <v>38</v>
      </c>
      <c r="B46" t="s">
        <v>222</v>
      </c>
      <c r="C46" t="s">
        <v>77</v>
      </c>
      <c r="D46" t="s">
        <v>49</v>
      </c>
      <c r="E46" s="28">
        <v>133233</v>
      </c>
      <c r="F46" s="13">
        <v>379.71404999999999</v>
      </c>
      <c r="G46" s="14">
        <f t="shared" si="2"/>
        <v>1.21E-2</v>
      </c>
      <c r="H46" s="15" t="s">
        <v>346</v>
      </c>
      <c r="I46" s="107"/>
    </row>
    <row r="47" spans="1:11" ht="12.75" customHeight="1" x14ac:dyDescent="0.2">
      <c r="A47">
        <f>+MAX($A$8:A46)+1</f>
        <v>39</v>
      </c>
      <c r="B47" t="s">
        <v>497</v>
      </c>
      <c r="C47" t="s">
        <v>498</v>
      </c>
      <c r="D47" t="s">
        <v>130</v>
      </c>
      <c r="E47" s="28">
        <v>117725</v>
      </c>
      <c r="F47" s="13">
        <v>376.36682500000001</v>
      </c>
      <c r="G47" s="14">
        <f t="shared" si="2"/>
        <v>1.2E-2</v>
      </c>
      <c r="H47" s="15" t="s">
        <v>346</v>
      </c>
      <c r="I47" s="107"/>
    </row>
    <row r="48" spans="1:11" ht="12.75" customHeight="1" x14ac:dyDescent="0.2">
      <c r="A48">
        <f>+MAX($A$8:A47)+1</f>
        <v>40</v>
      </c>
      <c r="B48" t="s">
        <v>198</v>
      </c>
      <c r="C48" t="s">
        <v>51</v>
      </c>
      <c r="D48" t="s">
        <v>17</v>
      </c>
      <c r="E48" s="28">
        <v>8912</v>
      </c>
      <c r="F48" s="13">
        <v>366.18071200000003</v>
      </c>
      <c r="G48" s="14">
        <f t="shared" si="2"/>
        <v>1.17E-2</v>
      </c>
      <c r="H48" s="15" t="s">
        <v>346</v>
      </c>
      <c r="I48" s="107"/>
    </row>
    <row r="49" spans="1:9" ht="12.75" customHeight="1" x14ac:dyDescent="0.2">
      <c r="A49">
        <f>+MAX($A$8:A48)+1</f>
        <v>41</v>
      </c>
      <c r="B49" t="s">
        <v>501</v>
      </c>
      <c r="C49" t="s">
        <v>502</v>
      </c>
      <c r="D49" t="s">
        <v>9</v>
      </c>
      <c r="E49" s="28">
        <v>556534</v>
      </c>
      <c r="F49" s="13">
        <v>354.79042500000003</v>
      </c>
      <c r="G49" s="14">
        <f t="shared" si="2"/>
        <v>1.1299999999999999E-2</v>
      </c>
      <c r="H49" s="15" t="s">
        <v>346</v>
      </c>
      <c r="I49" s="107"/>
    </row>
    <row r="50" spans="1:9" ht="12.75" customHeight="1" x14ac:dyDescent="0.2">
      <c r="A50">
        <f>+MAX($A$8:A49)+1</f>
        <v>42</v>
      </c>
      <c r="B50" t="s">
        <v>190</v>
      </c>
      <c r="C50" t="s">
        <v>20</v>
      </c>
      <c r="D50" t="s">
        <v>19</v>
      </c>
      <c r="E50" s="28">
        <v>104112</v>
      </c>
      <c r="F50" s="13">
        <v>354.39724799999999</v>
      </c>
      <c r="G50" s="14">
        <f t="shared" si="2"/>
        <v>1.1299999999999999E-2</v>
      </c>
      <c r="H50" s="15" t="s">
        <v>346</v>
      </c>
      <c r="I50" s="107"/>
    </row>
    <row r="51" spans="1:9" ht="12.75" customHeight="1" x14ac:dyDescent="0.2">
      <c r="A51">
        <f>+MAX($A$8:A50)+1</f>
        <v>43</v>
      </c>
      <c r="B51" t="s">
        <v>451</v>
      </c>
      <c r="C51" t="s">
        <v>452</v>
      </c>
      <c r="D51" t="s">
        <v>41</v>
      </c>
      <c r="E51" s="28">
        <v>31500</v>
      </c>
      <c r="F51" s="13">
        <v>350.29575</v>
      </c>
      <c r="G51" s="14">
        <f t="shared" si="2"/>
        <v>1.12E-2</v>
      </c>
      <c r="H51" s="15" t="s">
        <v>346</v>
      </c>
      <c r="I51" s="107"/>
    </row>
    <row r="52" spans="1:9" ht="12.75" customHeight="1" x14ac:dyDescent="0.2">
      <c r="A52">
        <f>+MAX($A$8:A51)+1</f>
        <v>44</v>
      </c>
      <c r="B52" t="s">
        <v>209</v>
      </c>
      <c r="C52" t="s">
        <v>59</v>
      </c>
      <c r="D52" t="s">
        <v>21</v>
      </c>
      <c r="E52" s="28">
        <v>53638</v>
      </c>
      <c r="F52" s="13">
        <v>344.35595999999998</v>
      </c>
      <c r="G52" s="14">
        <f t="shared" si="2"/>
        <v>1.0999999999999999E-2</v>
      </c>
      <c r="H52" s="15" t="s">
        <v>346</v>
      </c>
      <c r="I52" s="107"/>
    </row>
    <row r="53" spans="1:9" ht="12.75" customHeight="1" x14ac:dyDescent="0.2">
      <c r="A53">
        <f>+MAX($A$8:A52)+1</f>
        <v>45</v>
      </c>
      <c r="B53" t="s">
        <v>499</v>
      </c>
      <c r="C53" t="s">
        <v>500</v>
      </c>
      <c r="D53" t="s">
        <v>43</v>
      </c>
      <c r="E53" s="28">
        <v>425975</v>
      </c>
      <c r="F53" s="13">
        <v>343.1228625</v>
      </c>
      <c r="G53" s="14">
        <f t="shared" si="2"/>
        <v>1.09E-2</v>
      </c>
      <c r="H53" s="15" t="s">
        <v>346</v>
      </c>
      <c r="I53" s="107"/>
    </row>
    <row r="54" spans="1:9" ht="12.75" customHeight="1" x14ac:dyDescent="0.2">
      <c r="A54">
        <f>+MAX($A$8:A53)+1</f>
        <v>46</v>
      </c>
      <c r="B54" t="s">
        <v>383</v>
      </c>
      <c r="C54" t="s">
        <v>384</v>
      </c>
      <c r="D54" t="s">
        <v>385</v>
      </c>
      <c r="E54" s="28">
        <v>170000</v>
      </c>
      <c r="F54" s="13">
        <v>332.435</v>
      </c>
      <c r="G54" s="14">
        <f t="shared" si="2"/>
        <v>1.06E-2</v>
      </c>
      <c r="H54" s="15" t="s">
        <v>346</v>
      </c>
      <c r="I54" s="107"/>
    </row>
    <row r="55" spans="1:9" ht="12.75" customHeight="1" x14ac:dyDescent="0.2">
      <c r="A55">
        <f>+MAX($A$8:A54)+1</f>
        <v>47</v>
      </c>
      <c r="B55" t="s">
        <v>211</v>
      </c>
      <c r="C55" t="s">
        <v>27</v>
      </c>
      <c r="D55" t="s">
        <v>9</v>
      </c>
      <c r="E55" s="28">
        <v>62354</v>
      </c>
      <c r="F55" s="13">
        <v>322.55724199999997</v>
      </c>
      <c r="G55" s="14">
        <f t="shared" si="2"/>
        <v>1.03E-2</v>
      </c>
      <c r="H55" s="15" t="s">
        <v>346</v>
      </c>
      <c r="I55" s="107"/>
    </row>
    <row r="56" spans="1:9" ht="12.75" customHeight="1" x14ac:dyDescent="0.2">
      <c r="A56">
        <f>+MAX($A$8:A55)+1</f>
        <v>48</v>
      </c>
      <c r="B56" t="s">
        <v>217</v>
      </c>
      <c r="C56" t="s">
        <v>68</v>
      </c>
      <c r="D56" t="s">
        <v>9</v>
      </c>
      <c r="E56" s="28">
        <v>327366</v>
      </c>
      <c r="F56" s="13">
        <v>321.80077799999998</v>
      </c>
      <c r="G56" s="14">
        <f t="shared" si="2"/>
        <v>1.03E-2</v>
      </c>
      <c r="H56" s="15" t="s">
        <v>346</v>
      </c>
      <c r="I56" s="107"/>
    </row>
    <row r="57" spans="1:9" ht="12.75" customHeight="1" x14ac:dyDescent="0.2">
      <c r="A57">
        <f>+MAX($A$8:A56)+1</f>
        <v>49</v>
      </c>
      <c r="B57" t="s">
        <v>162</v>
      </c>
      <c r="C57" t="s">
        <v>176</v>
      </c>
      <c r="D57" t="s">
        <v>9</v>
      </c>
      <c r="E57" s="28">
        <v>119372</v>
      </c>
      <c r="F57" s="13">
        <v>317.46983399999999</v>
      </c>
      <c r="G57" s="14">
        <f t="shared" si="2"/>
        <v>1.01E-2</v>
      </c>
      <c r="H57" s="15" t="s">
        <v>346</v>
      </c>
      <c r="I57" s="107"/>
    </row>
    <row r="58" spans="1:9" ht="12.75" customHeight="1" x14ac:dyDescent="0.2">
      <c r="A58">
        <f>+MAX($A$8:A57)+1</f>
        <v>50</v>
      </c>
      <c r="B58" t="s">
        <v>317</v>
      </c>
      <c r="C58" t="s">
        <v>318</v>
      </c>
      <c r="D58" t="s">
        <v>17</v>
      </c>
      <c r="E58" s="28">
        <v>38680</v>
      </c>
      <c r="F58" s="13">
        <v>295.57321999999999</v>
      </c>
      <c r="G58" s="14">
        <f t="shared" si="2"/>
        <v>9.4000000000000004E-3</v>
      </c>
      <c r="H58" s="15" t="s">
        <v>346</v>
      </c>
      <c r="I58" s="107"/>
    </row>
    <row r="59" spans="1:9" ht="12.75" customHeight="1" x14ac:dyDescent="0.2">
      <c r="A59">
        <f>+MAX($A$8:A58)+1</f>
        <v>51</v>
      </c>
      <c r="B59" t="s">
        <v>38</v>
      </c>
      <c r="C59" t="s">
        <v>40</v>
      </c>
      <c r="D59" t="s">
        <v>9</v>
      </c>
      <c r="E59" s="28">
        <v>189657</v>
      </c>
      <c r="F59" s="13">
        <v>282.4941015</v>
      </c>
      <c r="G59" s="14">
        <f t="shared" si="2"/>
        <v>8.9999999999999993E-3</v>
      </c>
      <c r="H59" s="15" t="s">
        <v>346</v>
      </c>
      <c r="I59" s="107"/>
    </row>
    <row r="60" spans="1:9" ht="12.75" customHeight="1" x14ac:dyDescent="0.2">
      <c r="A60">
        <f>+MAX($A$8:A59)+1</f>
        <v>52</v>
      </c>
      <c r="B60" t="s">
        <v>208</v>
      </c>
      <c r="C60" t="s">
        <v>63</v>
      </c>
      <c r="D60" t="s">
        <v>32</v>
      </c>
      <c r="E60" s="28">
        <v>65027</v>
      </c>
      <c r="F60" s="13">
        <v>266.31807850000001</v>
      </c>
      <c r="G60" s="14">
        <f t="shared" ref="G60:G62" si="3">+ROUND(F60/VLOOKUP("Grand Total",$B$4:$F$300,5,0),4)</f>
        <v>8.5000000000000006E-3</v>
      </c>
      <c r="H60" s="15" t="s">
        <v>346</v>
      </c>
      <c r="I60" s="107"/>
    </row>
    <row r="61" spans="1:9" ht="12.75" customHeight="1" x14ac:dyDescent="0.2">
      <c r="A61">
        <f>+MAX($A$8:A60)+1</f>
        <v>53</v>
      </c>
      <c r="B61" t="s">
        <v>601</v>
      </c>
      <c r="C61" t="s">
        <v>602</v>
      </c>
      <c r="D61" t="s">
        <v>30</v>
      </c>
      <c r="E61" s="28">
        <v>118000</v>
      </c>
      <c r="F61" s="13">
        <v>243.49299999999999</v>
      </c>
      <c r="G61" s="14">
        <f t="shared" si="3"/>
        <v>7.7999999999999996E-3</v>
      </c>
      <c r="H61" s="15" t="s">
        <v>346</v>
      </c>
      <c r="I61" s="107"/>
    </row>
    <row r="62" spans="1:9" ht="12.75" customHeight="1" x14ac:dyDescent="0.2">
      <c r="A62">
        <f>+MAX($A$8:A61)+1</f>
        <v>54</v>
      </c>
      <c r="B62" t="s">
        <v>301</v>
      </c>
      <c r="C62" t="s">
        <v>70</v>
      </c>
      <c r="D62" t="s">
        <v>26</v>
      </c>
      <c r="E62" s="28">
        <v>934500</v>
      </c>
      <c r="F62" s="13">
        <v>220.542</v>
      </c>
      <c r="G62" s="14">
        <f t="shared" si="3"/>
        <v>7.0000000000000001E-3</v>
      </c>
      <c r="H62" s="15" t="s">
        <v>346</v>
      </c>
      <c r="I62" s="107"/>
    </row>
    <row r="63" spans="1:9" ht="12.75" customHeight="1" x14ac:dyDescent="0.2">
      <c r="A63">
        <f>+MAX($A$8:A62)+1</f>
        <v>55</v>
      </c>
      <c r="B63" t="s">
        <v>544</v>
      </c>
      <c r="C63" t="s">
        <v>545</v>
      </c>
      <c r="D63" t="s">
        <v>9</v>
      </c>
      <c r="E63" s="28">
        <v>390048</v>
      </c>
      <c r="F63" s="13">
        <v>214.916448</v>
      </c>
      <c r="G63" s="14">
        <f t="shared" ref="G63:G64" si="4">+ROUND(F63/VLOOKUP("Grand Total",$B$4:$F$300,5,0),4)</f>
        <v>6.7999999999999996E-3</v>
      </c>
      <c r="H63" s="15" t="s">
        <v>346</v>
      </c>
      <c r="I63" s="107"/>
    </row>
    <row r="64" spans="1:9" ht="12.75" customHeight="1" x14ac:dyDescent="0.2">
      <c r="A64">
        <f>+MAX($A$8:A63)+1</f>
        <v>56</v>
      </c>
      <c r="B64" t="s">
        <v>399</v>
      </c>
      <c r="C64" t="s">
        <v>400</v>
      </c>
      <c r="D64" t="s">
        <v>401</v>
      </c>
      <c r="E64" s="28">
        <v>91300</v>
      </c>
      <c r="F64" s="13">
        <v>200.44915</v>
      </c>
      <c r="G64" s="14">
        <f t="shared" si="4"/>
        <v>6.4000000000000003E-3</v>
      </c>
      <c r="H64" s="15" t="s">
        <v>346</v>
      </c>
      <c r="I64" s="107"/>
    </row>
    <row r="65" spans="1:9" ht="12.75" customHeight="1" x14ac:dyDescent="0.2">
      <c r="A65">
        <f>+MAX($A$8:A64)+1</f>
        <v>57</v>
      </c>
      <c r="B65" t="s">
        <v>423</v>
      </c>
      <c r="C65" s="121" t="s">
        <v>695</v>
      </c>
      <c r="D65" t="s">
        <v>36</v>
      </c>
      <c r="E65" s="28">
        <v>250</v>
      </c>
      <c r="F65" s="13">
        <v>0</v>
      </c>
      <c r="G65" s="108" t="s">
        <v>494</v>
      </c>
      <c r="H65" s="15" t="s">
        <v>346</v>
      </c>
      <c r="I65" s="107"/>
    </row>
    <row r="66" spans="1:9" ht="12.75" customHeight="1" x14ac:dyDescent="0.2">
      <c r="B66" s="18" t="s">
        <v>83</v>
      </c>
      <c r="C66" s="18"/>
      <c r="D66" s="18"/>
      <c r="E66" s="29"/>
      <c r="F66" s="19">
        <f>SUM(F9:F65)</f>
        <v>30423.420454000003</v>
      </c>
      <c r="G66" s="20">
        <f>SUM(G9:G65)</f>
        <v>0.96930000000000016</v>
      </c>
      <c r="H66" s="21"/>
      <c r="I66" s="49"/>
    </row>
    <row r="67" spans="1:9" ht="12.75" customHeight="1" x14ac:dyDescent="0.2">
      <c r="F67" s="86"/>
      <c r="G67" s="14"/>
      <c r="H67" s="15"/>
    </row>
    <row r="68" spans="1:9" ht="12.75" customHeight="1" x14ac:dyDescent="0.2">
      <c r="B68" s="16" t="s">
        <v>288</v>
      </c>
      <c r="C68" s="16"/>
      <c r="F68" s="13"/>
      <c r="G68" s="14"/>
      <c r="H68" s="15"/>
    </row>
    <row r="69" spans="1:9" ht="12.75" customHeight="1" x14ac:dyDescent="0.2">
      <c r="A69">
        <f>+MAX($A$8:A68)+1</f>
        <v>58</v>
      </c>
      <c r="B69" s="65" t="s">
        <v>752</v>
      </c>
      <c r="C69" t="s">
        <v>155</v>
      </c>
      <c r="D69" s="65" t="s">
        <v>323</v>
      </c>
      <c r="E69" s="28">
        <v>8600</v>
      </c>
      <c r="F69" s="13">
        <v>0</v>
      </c>
      <c r="G69" s="108" t="s">
        <v>494</v>
      </c>
      <c r="H69" s="15" t="s">
        <v>346</v>
      </c>
    </row>
    <row r="70" spans="1:9" ht="12.75" customHeight="1" x14ac:dyDescent="0.2">
      <c r="A70">
        <f>+MAX($A$8:A69)+1</f>
        <v>59</v>
      </c>
      <c r="B70" s="65" t="s">
        <v>742</v>
      </c>
      <c r="C70" s="65" t="s">
        <v>88</v>
      </c>
      <c r="D70" t="s">
        <v>397</v>
      </c>
      <c r="E70" s="28">
        <v>200000</v>
      </c>
      <c r="F70" s="13">
        <v>0</v>
      </c>
      <c r="G70" s="108" t="s">
        <v>494</v>
      </c>
      <c r="H70" s="15" t="s">
        <v>346</v>
      </c>
    </row>
    <row r="71" spans="1:9" ht="12.75" customHeight="1" x14ac:dyDescent="0.2">
      <c r="B71" s="18" t="s">
        <v>83</v>
      </c>
      <c r="C71" s="18"/>
      <c r="D71" s="18"/>
      <c r="E71" s="29"/>
      <c r="F71" s="19">
        <f>SUM(F69:F70)</f>
        <v>0</v>
      </c>
      <c r="G71" s="51" t="s">
        <v>494</v>
      </c>
      <c r="H71" s="21"/>
      <c r="I71" s="35"/>
    </row>
    <row r="72" spans="1:9" ht="12.75" customHeight="1" x14ac:dyDescent="0.2">
      <c r="F72" s="13"/>
      <c r="G72" s="14"/>
      <c r="H72" s="15"/>
    </row>
    <row r="73" spans="1:9" ht="12.75" customHeight="1" x14ac:dyDescent="0.2">
      <c r="A73" s="95" t="s">
        <v>345</v>
      </c>
      <c r="B73" s="16" t="s">
        <v>91</v>
      </c>
      <c r="C73" s="16"/>
      <c r="F73" s="13">
        <v>1109.4732865999999</v>
      </c>
      <c r="G73" s="14">
        <f>+ROUND(F73/VLOOKUP("Grand Total",$B$4:$F$300,5,0),4)</f>
        <v>3.5299999999999998E-2</v>
      </c>
      <c r="H73" s="15">
        <v>43222</v>
      </c>
    </row>
    <row r="74" spans="1:9" ht="12.75" customHeight="1" x14ac:dyDescent="0.2">
      <c r="B74" s="18" t="s">
        <v>83</v>
      </c>
      <c r="C74" s="18"/>
      <c r="D74" s="18"/>
      <c r="E74" s="29"/>
      <c r="F74" s="19">
        <f>SUM(F73)</f>
        <v>1109.4732865999999</v>
      </c>
      <c r="G74" s="20">
        <f>SUM(G73)</f>
        <v>3.5299999999999998E-2</v>
      </c>
      <c r="H74" s="21"/>
      <c r="I74" s="49"/>
    </row>
    <row r="75" spans="1:9" ht="12.75" customHeight="1" x14ac:dyDescent="0.2">
      <c r="F75" s="13"/>
      <c r="G75" s="14"/>
      <c r="H75" s="15"/>
    </row>
    <row r="76" spans="1:9" ht="12.75" customHeight="1" x14ac:dyDescent="0.2">
      <c r="B76" s="16" t="s">
        <v>92</v>
      </c>
      <c r="C76" s="16"/>
      <c r="F76" s="13"/>
      <c r="G76" s="14"/>
      <c r="H76" s="15"/>
    </row>
    <row r="77" spans="1:9" ht="12.75" customHeight="1" x14ac:dyDescent="0.2">
      <c r="B77" s="16" t="s">
        <v>93</v>
      </c>
      <c r="C77" s="16"/>
      <c r="F77" s="13">
        <v>-141.17397590001201</v>
      </c>
      <c r="G77" s="122">
        <f>+ROUND(F77/VLOOKUP("Grand Total",$B$4:$F$300,5,0),4)-0.01%</f>
        <v>-4.5999999999999999E-3</v>
      </c>
      <c r="H77" s="15"/>
    </row>
    <row r="78" spans="1:9" ht="12.75" customHeight="1" x14ac:dyDescent="0.2">
      <c r="B78" s="18" t="s">
        <v>83</v>
      </c>
      <c r="C78" s="18"/>
      <c r="D78" s="18"/>
      <c r="E78" s="29"/>
      <c r="F78" s="19">
        <f>SUM(F77)</f>
        <v>-141.17397590001201</v>
      </c>
      <c r="G78" s="123">
        <f>SUM(G77)</f>
        <v>-4.5999999999999999E-3</v>
      </c>
      <c r="H78" s="21"/>
      <c r="I78" s="49"/>
    </row>
    <row r="79" spans="1:9" ht="12.75" customHeight="1" x14ac:dyDescent="0.2">
      <c r="B79" s="22" t="s">
        <v>94</v>
      </c>
      <c r="C79" s="22"/>
      <c r="D79" s="22"/>
      <c r="E79" s="30"/>
      <c r="F79" s="23">
        <f>+SUMIF($B$5:B78,"Total",$F$5:F78)</f>
        <v>31391.719764699992</v>
      </c>
      <c r="G79" s="24">
        <f>+SUMIF($B$5:B78,"Total",$G$5:G78)</f>
        <v>1.0000000000000002</v>
      </c>
      <c r="H79" s="25"/>
      <c r="I79" s="35"/>
    </row>
    <row r="80" spans="1:9" ht="12.75" customHeight="1" x14ac:dyDescent="0.2"/>
    <row r="81" spans="2:3" ht="12.75" customHeight="1" x14ac:dyDescent="0.2">
      <c r="B81" s="16" t="s">
        <v>181</v>
      </c>
    </row>
    <row r="82" spans="2:3" ht="12.75" customHeight="1" x14ac:dyDescent="0.2">
      <c r="B82" s="16" t="s">
        <v>182</v>
      </c>
      <c r="C82" s="16"/>
    </row>
    <row r="83" spans="2:3" ht="12.75" customHeight="1" x14ac:dyDescent="0.2">
      <c r="B83" s="16" t="s">
        <v>183</v>
      </c>
      <c r="C83" s="16"/>
    </row>
    <row r="84" spans="2:3" ht="12.75" customHeight="1" x14ac:dyDescent="0.2">
      <c r="B84" s="16" t="s">
        <v>184</v>
      </c>
      <c r="C84" s="16"/>
    </row>
    <row r="85" spans="2:3" ht="12.75" customHeight="1" x14ac:dyDescent="0.2">
      <c r="B85" s="53"/>
      <c r="C85" s="16"/>
    </row>
    <row r="86" spans="2:3" ht="12.75" customHeight="1" x14ac:dyDescent="0.2">
      <c r="B86" s="16"/>
      <c r="C86" s="16"/>
    </row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/>
    <row r="108" spans="9:9" ht="12.75" customHeight="1" x14ac:dyDescent="0.2"/>
    <row r="109" spans="9:9" ht="12.75" customHeight="1" x14ac:dyDescent="0.2"/>
    <row r="110" spans="9:9" ht="12.75" customHeight="1" x14ac:dyDescent="0.2"/>
    <row r="111" spans="9:9" ht="12.75" customHeight="1" x14ac:dyDescent="0.2"/>
    <row r="112" spans="9:9" ht="12.75" customHeight="1" x14ac:dyDescent="0.2">
      <c r="I112" s="33" t="str">
        <f>IFERROR(IF(A112="CBLO",VLOOKUP($A$1&amp;A112,#REF!,23,0),IF(VLOOKUP($C112,#REF!,17,0)="","",VLOOKUP(C112,#REF!,17,0))),"")</f>
        <v/>
      </c>
    </row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>
      <c r="I117" s="33" t="str">
        <f>IFERROR(IF(A117="CBLO",VLOOKUP($A$1&amp;A117,#REF!,23,0),IF(VLOOKUP($C117,#REF!,17,0)="","",VLOOKUP(C117,#REF!,17,0))),"")</f>
        <v/>
      </c>
    </row>
    <row r="118" spans="9:9" ht="12.75" customHeight="1" x14ac:dyDescent="0.2"/>
    <row r="119" spans="9:9" ht="12.75" customHeight="1" x14ac:dyDescent="0.2"/>
    <row r="120" spans="9:9" ht="12.75" customHeight="1" x14ac:dyDescent="0.2"/>
    <row r="121" spans="9:9" ht="12.75" customHeight="1" x14ac:dyDescent="0.2">
      <c r="I121" s="33" t="str">
        <f>IFERROR(IF(A121="CBLO",VLOOKUP($A$1&amp;A121,#REF!,23,0),IF(VLOOKUP($C121,#REF!,17,0)="","",VLOOKUP(C121,#REF!,17,0))),"")</f>
        <v/>
      </c>
    </row>
    <row r="122" spans="9:9" ht="12.75" customHeight="1" x14ac:dyDescent="0.2"/>
    <row r="123" spans="9:9" ht="12.75" customHeight="1" x14ac:dyDescent="0.2"/>
    <row r="124" spans="9:9" ht="12.75" customHeight="1" x14ac:dyDescent="0.2"/>
    <row r="125" spans="9:9" x14ac:dyDescent="0.2">
      <c r="I125" s="33" t="str">
        <f>IFERROR(IF(A125="CBLO",VLOOKUP($A$1&amp;A125,#REF!,23,0),IF(VLOOKUP($C125,#REF!,17,0)="","",VLOOKUP(C125,#REF!,17,0))),"")</f>
        <v/>
      </c>
    </row>
    <row r="126" spans="9:9" x14ac:dyDescent="0.2">
      <c r="I126" s="33" t="str">
        <f>IFERROR(IF(A126="CBLO",VLOOKUP($A$1&amp;A126,#REF!,23,0),IF(VLOOKUP($C126,#REF!,17,0)="","",VLOOKUP(C126,#REF!,17,0))),"")</f>
        <v/>
      </c>
    </row>
    <row r="131" spans="9:9" x14ac:dyDescent="0.2">
      <c r="I131" s="33" t="str">
        <f>IFERROR(IF(A131="CBLO",VLOOKUP($A$1&amp;A131,#REF!,23,0),IF(VLOOKUP($C131,#REF!,17,0)="","",VLOOKUP(C131,#REF!,17,0))),"")</f>
        <v/>
      </c>
    </row>
    <row r="132" spans="9:9" x14ac:dyDescent="0.2">
      <c r="I132" s="33" t="str">
        <f>IFERROR(IF(A132="CBLO",VLOOKUP($A$1&amp;A132,#REF!,23,0),IF(VLOOKUP($C132,#REF!,17,0)="","",VLOOKUP(C132,#REF!,17,0))),"")</f>
        <v/>
      </c>
    </row>
    <row r="136" spans="9:9" x14ac:dyDescent="0.2">
      <c r="I136" s="33" t="str">
        <f>IFERROR(IF(A136="CBLO",VLOOKUP($A$1&amp;A136,#REF!,23,0),IF(VLOOKUP($C136,#REF!,17,0)="","",VLOOKUP(C136,#REF!,17,0))),"")</f>
        <v/>
      </c>
    </row>
    <row r="140" spans="9:9" x14ac:dyDescent="0.2">
      <c r="I140" s="33" t="str">
        <f>IFERROR(IF(A140="CBLO",VLOOKUP($A$1&amp;A140,#REF!,23,0),IF(VLOOKUP($C140,#REF!,17,0)="","",VLOOKUP(C140,#REF!,17,0))),"")</f>
        <v/>
      </c>
    </row>
  </sheetData>
  <sheetProtection password="EDB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5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21.5703125" bestFit="1" customWidth="1"/>
    <col min="4" max="4" width="25.42578125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4" t="s">
        <v>352</v>
      </c>
      <c r="B1" s="128" t="s">
        <v>156</v>
      </c>
      <c r="C1" s="129"/>
      <c r="D1" s="129"/>
      <c r="E1" s="129"/>
      <c r="F1" s="129"/>
      <c r="G1" s="129"/>
      <c r="H1" s="129"/>
      <c r="I1" s="130"/>
    </row>
    <row r="2" spans="1:17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126" t="s">
        <v>739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381</v>
      </c>
      <c r="C8" s="16"/>
      <c r="F8" s="13"/>
      <c r="G8" s="14"/>
      <c r="H8" s="14"/>
      <c r="I8" s="60"/>
      <c r="K8" s="17" t="s">
        <v>586</v>
      </c>
      <c r="L8" s="102" t="s">
        <v>11</v>
      </c>
      <c r="Q8" s="65"/>
    </row>
    <row r="9" spans="1:17" s="65" customFormat="1" ht="12.75" customHeight="1" x14ac:dyDescent="0.2">
      <c r="A9" s="77">
        <f>+MAX($A$8:A8)+1</f>
        <v>1</v>
      </c>
      <c r="B9" s="77" t="s">
        <v>226</v>
      </c>
      <c r="C9" s="65" t="s">
        <v>99</v>
      </c>
      <c r="D9" s="77" t="s">
        <v>24</v>
      </c>
      <c r="E9" s="74">
        <v>29096</v>
      </c>
      <c r="F9" s="80">
        <v>439.02954399999999</v>
      </c>
      <c r="G9" s="76">
        <f t="shared" ref="G9:G35" si="0">+ROUND(F9/VLOOKUP("Grand Total",$B$4:$F$288,5,0),4)</f>
        <v>2.5000000000000001E-2</v>
      </c>
      <c r="H9" s="76"/>
      <c r="I9" s="91" t="s">
        <v>346</v>
      </c>
      <c r="J9" s="101"/>
      <c r="K9" s="65" t="s">
        <v>22</v>
      </c>
      <c r="L9" s="103">
        <f t="shared" ref="L9:L30" si="1">SUMIFS($G$5:$G$304,$D$5:$D$304,K9)</f>
        <v>0.1376</v>
      </c>
    </row>
    <row r="10" spans="1:17" s="65" customFormat="1" ht="12.75" customHeight="1" x14ac:dyDescent="0.2">
      <c r="A10" s="77">
        <f>+MAX($A$8:A9)+1</f>
        <v>2</v>
      </c>
      <c r="B10" s="77" t="s">
        <v>186</v>
      </c>
      <c r="C10" s="65" t="s">
        <v>12</v>
      </c>
      <c r="D10" s="77" t="s">
        <v>9</v>
      </c>
      <c r="E10" s="74">
        <v>18561</v>
      </c>
      <c r="F10" s="80">
        <v>360.88152299999996</v>
      </c>
      <c r="G10" s="76">
        <f t="shared" si="0"/>
        <v>2.0500000000000001E-2</v>
      </c>
      <c r="H10" s="76"/>
      <c r="I10" s="91" t="s">
        <v>346</v>
      </c>
      <c r="J10" s="101"/>
      <c r="K10" s="65" t="s">
        <v>21</v>
      </c>
      <c r="L10" s="103">
        <f t="shared" si="1"/>
        <v>0.10389999999999999</v>
      </c>
    </row>
    <row r="11" spans="1:17" s="65" customFormat="1" ht="12.75" customHeight="1" x14ac:dyDescent="0.2">
      <c r="A11" s="77">
        <f>+MAX($A$8:A10)+1</f>
        <v>3</v>
      </c>
      <c r="B11" s="77" t="s">
        <v>210</v>
      </c>
      <c r="C11" s="65" t="s">
        <v>18</v>
      </c>
      <c r="D11" s="77" t="s">
        <v>13</v>
      </c>
      <c r="E11" s="74">
        <v>7945</v>
      </c>
      <c r="F11" s="80">
        <v>280.62534499999998</v>
      </c>
      <c r="G11" s="76">
        <f t="shared" si="0"/>
        <v>1.6E-2</v>
      </c>
      <c r="H11" s="76"/>
      <c r="I11" s="91" t="s">
        <v>346</v>
      </c>
      <c r="J11" s="101"/>
      <c r="K11" s="65" t="s">
        <v>24</v>
      </c>
      <c r="L11" s="103">
        <f t="shared" si="1"/>
        <v>9.01E-2</v>
      </c>
    </row>
    <row r="12" spans="1:17" s="65" customFormat="1" ht="12.75" customHeight="1" x14ac:dyDescent="0.2">
      <c r="A12" s="77">
        <f>+MAX($A$8:A11)+1</f>
        <v>4</v>
      </c>
      <c r="B12" s="77" t="s">
        <v>227</v>
      </c>
      <c r="C12" s="65" t="s">
        <v>98</v>
      </c>
      <c r="D12" s="77" t="s">
        <v>19</v>
      </c>
      <c r="E12" s="74">
        <v>31064</v>
      </c>
      <c r="F12" s="80">
        <v>271.28191199999998</v>
      </c>
      <c r="G12" s="76">
        <f t="shared" si="0"/>
        <v>1.54E-2</v>
      </c>
      <c r="H12" s="76"/>
      <c r="I12" s="91" t="s">
        <v>346</v>
      </c>
      <c r="J12" s="101"/>
      <c r="K12" s="90" t="s">
        <v>19</v>
      </c>
      <c r="L12" s="103">
        <f t="shared" si="1"/>
        <v>8.5499999999999993E-2</v>
      </c>
    </row>
    <row r="13" spans="1:17" s="65" customFormat="1" ht="12.75" customHeight="1" x14ac:dyDescent="0.2">
      <c r="A13" s="77">
        <f>+MAX($A$8:A12)+1</f>
        <v>5</v>
      </c>
      <c r="B13" s="77" t="s">
        <v>237</v>
      </c>
      <c r="C13" s="65" t="s">
        <v>113</v>
      </c>
      <c r="D13" s="77" t="s">
        <v>34</v>
      </c>
      <c r="E13" s="74">
        <v>155429</v>
      </c>
      <c r="F13" s="80">
        <v>267.57102350000002</v>
      </c>
      <c r="G13" s="76">
        <f t="shared" si="0"/>
        <v>1.52E-2</v>
      </c>
      <c r="H13" s="76"/>
      <c r="I13" s="91" t="s">
        <v>346</v>
      </c>
      <c r="J13" s="101"/>
      <c r="K13" s="90" t="s">
        <v>9</v>
      </c>
      <c r="L13" s="103">
        <f t="shared" si="1"/>
        <v>0.08</v>
      </c>
    </row>
    <row r="14" spans="1:17" s="65" customFormat="1" ht="12.75" customHeight="1" x14ac:dyDescent="0.2">
      <c r="A14" s="77">
        <f>+MAX($A$8:A13)+1</f>
        <v>6</v>
      </c>
      <c r="B14" s="77" t="s">
        <v>198</v>
      </c>
      <c r="C14" s="65" t="s">
        <v>51</v>
      </c>
      <c r="D14" s="77" t="s">
        <v>17</v>
      </c>
      <c r="E14" s="74">
        <v>6300</v>
      </c>
      <c r="F14" s="80">
        <v>258.85755</v>
      </c>
      <c r="G14" s="76">
        <f t="shared" si="0"/>
        <v>1.47E-2</v>
      </c>
      <c r="H14" s="76"/>
      <c r="I14" s="91" t="s">
        <v>346</v>
      </c>
      <c r="J14" s="101"/>
      <c r="K14" s="14" t="s">
        <v>28</v>
      </c>
      <c r="L14" s="103">
        <f t="shared" si="1"/>
        <v>5.1500000000000004E-2</v>
      </c>
    </row>
    <row r="15" spans="1:17" s="65" customFormat="1" ht="12.75" customHeight="1" x14ac:dyDescent="0.2">
      <c r="A15" s="77">
        <f>+MAX($A$8:A14)+1</f>
        <v>7</v>
      </c>
      <c r="B15" s="77" t="s">
        <v>652</v>
      </c>
      <c r="C15" s="65" t="s">
        <v>653</v>
      </c>
      <c r="D15" s="77" t="s">
        <v>22</v>
      </c>
      <c r="E15" s="74">
        <v>57850</v>
      </c>
      <c r="F15" s="80">
        <v>246.61455000000001</v>
      </c>
      <c r="G15" s="76">
        <f t="shared" si="0"/>
        <v>1.4E-2</v>
      </c>
      <c r="H15" s="76"/>
      <c r="I15" s="91" t="s">
        <v>346</v>
      </c>
      <c r="J15" s="101"/>
      <c r="K15" s="65" t="s">
        <v>34</v>
      </c>
      <c r="L15" s="103">
        <f t="shared" si="1"/>
        <v>4.3499999999999997E-2</v>
      </c>
    </row>
    <row r="16" spans="1:17" s="65" customFormat="1" ht="12.75" customHeight="1" x14ac:dyDescent="0.2">
      <c r="A16" s="77">
        <f>+MAX($A$8:A15)+1</f>
        <v>8</v>
      </c>
      <c r="B16" s="77" t="s">
        <v>15</v>
      </c>
      <c r="C16" s="65" t="s">
        <v>16</v>
      </c>
      <c r="D16" s="77" t="s">
        <v>9</v>
      </c>
      <c r="E16" s="74">
        <v>99000</v>
      </c>
      <c r="F16" s="80">
        <v>243.93600000000001</v>
      </c>
      <c r="G16" s="76">
        <f t="shared" si="0"/>
        <v>1.3899999999999999E-2</v>
      </c>
      <c r="H16" s="76"/>
      <c r="I16" s="91" t="s">
        <v>346</v>
      </c>
      <c r="J16" s="101"/>
      <c r="K16" s="14" t="s">
        <v>17</v>
      </c>
      <c r="L16" s="103">
        <f t="shared" si="1"/>
        <v>4.2299999999999997E-2</v>
      </c>
    </row>
    <row r="17" spans="1:12" s="65" customFormat="1" ht="12.75" customHeight="1" x14ac:dyDescent="0.2">
      <c r="A17" s="77">
        <f>+MAX($A$8:A16)+1</f>
        <v>9</v>
      </c>
      <c r="B17" s="77" t="s">
        <v>225</v>
      </c>
      <c r="C17" s="65" t="s">
        <v>76</v>
      </c>
      <c r="D17" s="77" t="s">
        <v>24</v>
      </c>
      <c r="E17" s="74">
        <v>6693</v>
      </c>
      <c r="F17" s="80">
        <v>242.43384600000002</v>
      </c>
      <c r="G17" s="76">
        <f t="shared" si="0"/>
        <v>1.38E-2</v>
      </c>
      <c r="H17" s="76"/>
      <c r="I17" s="91" t="s">
        <v>346</v>
      </c>
      <c r="J17" s="101"/>
      <c r="K17" s="65" t="s">
        <v>13</v>
      </c>
      <c r="L17" s="103">
        <f t="shared" si="1"/>
        <v>4.2000000000000003E-2</v>
      </c>
    </row>
    <row r="18" spans="1:12" s="65" customFormat="1" ht="12.75" customHeight="1" x14ac:dyDescent="0.2">
      <c r="A18" s="77">
        <f>+MAX($A$8:A17)+1</f>
        <v>10</v>
      </c>
      <c r="B18" s="77" t="s">
        <v>197</v>
      </c>
      <c r="C18" s="65" t="s">
        <v>46</v>
      </c>
      <c r="D18" s="77" t="s">
        <v>24</v>
      </c>
      <c r="E18" s="74">
        <v>4269</v>
      </c>
      <c r="F18" s="80">
        <v>235.358508</v>
      </c>
      <c r="G18" s="76">
        <f t="shared" si="0"/>
        <v>1.34E-2</v>
      </c>
      <c r="H18" s="76"/>
      <c r="I18" s="91" t="s">
        <v>346</v>
      </c>
      <c r="J18" s="101"/>
      <c r="K18" s="14" t="s">
        <v>520</v>
      </c>
      <c r="L18" s="103">
        <f t="shared" si="1"/>
        <v>3.8800000000000001E-2</v>
      </c>
    </row>
    <row r="19" spans="1:12" s="65" customFormat="1" ht="12.75" customHeight="1" x14ac:dyDescent="0.2">
      <c r="A19" s="77">
        <f>+MAX($A$8:A18)+1</f>
        <v>11</v>
      </c>
      <c r="B19" s="77" t="s">
        <v>187</v>
      </c>
      <c r="C19" s="65" t="s">
        <v>14</v>
      </c>
      <c r="D19" s="77" t="s">
        <v>13</v>
      </c>
      <c r="E19" s="74">
        <v>19602</v>
      </c>
      <c r="F19" s="80">
        <v>235.12599</v>
      </c>
      <c r="G19" s="76">
        <f t="shared" si="0"/>
        <v>1.34E-2</v>
      </c>
      <c r="H19" s="76"/>
      <c r="I19" s="91" t="s">
        <v>346</v>
      </c>
      <c r="J19" s="101"/>
      <c r="K19" s="14" t="s">
        <v>274</v>
      </c>
      <c r="L19" s="103">
        <f t="shared" si="1"/>
        <v>3.27E-2</v>
      </c>
    </row>
    <row r="20" spans="1:12" s="65" customFormat="1" ht="12.75" customHeight="1" x14ac:dyDescent="0.2">
      <c r="A20" s="77">
        <f>+MAX($A$8:A19)+1</f>
        <v>12</v>
      </c>
      <c r="B20" s="77" t="s">
        <v>195</v>
      </c>
      <c r="C20" s="65" t="s">
        <v>44</v>
      </c>
      <c r="D20" s="77" t="s">
        <v>24</v>
      </c>
      <c r="E20" s="74">
        <v>79268</v>
      </c>
      <c r="F20" s="80">
        <v>223.09978600000002</v>
      </c>
      <c r="G20" s="76">
        <f t="shared" si="0"/>
        <v>1.2699999999999999E-2</v>
      </c>
      <c r="H20" s="76"/>
      <c r="I20" s="91" t="s">
        <v>346</v>
      </c>
      <c r="J20" s="101"/>
      <c r="K20" s="14" t="s">
        <v>513</v>
      </c>
      <c r="L20" s="103">
        <f t="shared" si="1"/>
        <v>2.8199999999999999E-2</v>
      </c>
    </row>
    <row r="21" spans="1:12" s="65" customFormat="1" ht="12.75" customHeight="1" x14ac:dyDescent="0.2">
      <c r="A21" s="77">
        <f>+MAX($A$8:A20)+1</f>
        <v>13</v>
      </c>
      <c r="B21" s="77" t="s">
        <v>234</v>
      </c>
      <c r="C21" s="65" t="s">
        <v>112</v>
      </c>
      <c r="D21" s="77" t="s">
        <v>34</v>
      </c>
      <c r="E21" s="74">
        <v>106893</v>
      </c>
      <c r="F21" s="80">
        <v>222.17710049999999</v>
      </c>
      <c r="G21" s="76">
        <f t="shared" si="0"/>
        <v>1.26E-2</v>
      </c>
      <c r="H21" s="76"/>
      <c r="I21" s="91" t="s">
        <v>346</v>
      </c>
      <c r="J21" s="101"/>
      <c r="K21" s="65" t="s">
        <v>414</v>
      </c>
      <c r="L21" s="103">
        <f t="shared" si="1"/>
        <v>2.2599999999999999E-2</v>
      </c>
    </row>
    <row r="22" spans="1:12" s="65" customFormat="1" ht="12.75" customHeight="1" x14ac:dyDescent="0.2">
      <c r="A22" s="77">
        <f>+MAX($A$8:A21)+1</f>
        <v>14</v>
      </c>
      <c r="B22" s="77" t="s">
        <v>369</v>
      </c>
      <c r="C22" s="65" t="s">
        <v>368</v>
      </c>
      <c r="D22" s="77" t="s">
        <v>24</v>
      </c>
      <c r="E22" s="74">
        <v>60000</v>
      </c>
      <c r="F22" s="80">
        <v>221.64</v>
      </c>
      <c r="G22" s="76">
        <f t="shared" si="0"/>
        <v>1.26E-2</v>
      </c>
      <c r="H22" s="76"/>
      <c r="I22" s="91" t="s">
        <v>346</v>
      </c>
      <c r="J22" s="101"/>
      <c r="K22" s="65" t="s">
        <v>378</v>
      </c>
      <c r="L22" s="103">
        <f t="shared" si="1"/>
        <v>2.12E-2</v>
      </c>
    </row>
    <row r="23" spans="1:12" s="65" customFormat="1" ht="12.75" customHeight="1" x14ac:dyDescent="0.2">
      <c r="A23" s="77">
        <f>+MAX($A$8:A22)+1</f>
        <v>15</v>
      </c>
      <c r="B23" s="77" t="s">
        <v>191</v>
      </c>
      <c r="C23" s="65" t="s">
        <v>23</v>
      </c>
      <c r="D23" s="77" t="s">
        <v>13</v>
      </c>
      <c r="E23" s="74">
        <v>21045</v>
      </c>
      <c r="F23" s="80">
        <v>221.55123750000001</v>
      </c>
      <c r="G23" s="76">
        <f t="shared" si="0"/>
        <v>1.26E-2</v>
      </c>
      <c r="H23" s="76"/>
      <c r="I23" s="91" t="s">
        <v>346</v>
      </c>
      <c r="J23" s="101"/>
      <c r="K23" s="14" t="s">
        <v>302</v>
      </c>
      <c r="L23" s="103">
        <f t="shared" si="1"/>
        <v>1.9599999999999999E-2</v>
      </c>
    </row>
    <row r="24" spans="1:12" s="65" customFormat="1" ht="12.75" customHeight="1" x14ac:dyDescent="0.2">
      <c r="A24" s="77">
        <f>+MAX($A$8:A23)+1</f>
        <v>16</v>
      </c>
      <c r="B24" s="77" t="s">
        <v>219</v>
      </c>
      <c r="C24" s="65" t="s">
        <v>69</v>
      </c>
      <c r="D24" s="77" t="s">
        <v>26</v>
      </c>
      <c r="E24" s="74">
        <v>15146</v>
      </c>
      <c r="F24" s="80">
        <v>212.18031399999998</v>
      </c>
      <c r="G24" s="76">
        <f t="shared" si="0"/>
        <v>1.21E-2</v>
      </c>
      <c r="H24" s="76"/>
      <c r="I24" s="91" t="s">
        <v>346</v>
      </c>
      <c r="J24" s="101"/>
      <c r="K24" s="14" t="s">
        <v>489</v>
      </c>
      <c r="L24" s="103">
        <f t="shared" si="1"/>
        <v>1.8800000000000001E-2</v>
      </c>
    </row>
    <row r="25" spans="1:12" s="65" customFormat="1" ht="12.75" customHeight="1" x14ac:dyDescent="0.2">
      <c r="A25" s="77">
        <f>+MAX($A$8:A24)+1</f>
        <v>17</v>
      </c>
      <c r="B25" s="77" t="s">
        <v>206</v>
      </c>
      <c r="C25" s="65" t="s">
        <v>96</v>
      </c>
      <c r="D25" s="77" t="s">
        <v>9</v>
      </c>
      <c r="E25" s="74">
        <v>17412</v>
      </c>
      <c r="F25" s="80">
        <v>210.876732</v>
      </c>
      <c r="G25" s="76">
        <f t="shared" si="0"/>
        <v>1.2E-2</v>
      </c>
      <c r="H25" s="76"/>
      <c r="I25" s="91" t="s">
        <v>346</v>
      </c>
      <c r="J25" s="101"/>
      <c r="K25" s="14" t="s">
        <v>276</v>
      </c>
      <c r="L25" s="103">
        <f t="shared" si="1"/>
        <v>1.7000000000000001E-2</v>
      </c>
    </row>
    <row r="26" spans="1:12" s="65" customFormat="1" ht="12.75" customHeight="1" x14ac:dyDescent="0.2">
      <c r="A26" s="77">
        <f>+MAX($A$8:A25)+1</f>
        <v>18</v>
      </c>
      <c r="B26" s="77" t="s">
        <v>235</v>
      </c>
      <c r="C26" s="65" t="s">
        <v>110</v>
      </c>
      <c r="D26" s="77" t="s">
        <v>19</v>
      </c>
      <c r="E26" s="74">
        <v>5620</v>
      </c>
      <c r="F26" s="80">
        <v>209.75245000000001</v>
      </c>
      <c r="G26" s="76">
        <f t="shared" si="0"/>
        <v>1.1900000000000001E-2</v>
      </c>
      <c r="H26" s="76"/>
      <c r="I26" s="91" t="s">
        <v>346</v>
      </c>
      <c r="J26" s="101"/>
      <c r="K26" s="14" t="s">
        <v>338</v>
      </c>
      <c r="L26" s="103">
        <f t="shared" si="1"/>
        <v>1.37E-2</v>
      </c>
    </row>
    <row r="27" spans="1:12" s="65" customFormat="1" ht="12.75" customHeight="1" x14ac:dyDescent="0.2">
      <c r="A27" s="77">
        <f>+MAX($A$8:A26)+1</f>
        <v>19</v>
      </c>
      <c r="B27" s="77" t="s">
        <v>525</v>
      </c>
      <c r="C27" s="65" t="s">
        <v>526</v>
      </c>
      <c r="D27" s="77" t="s">
        <v>34</v>
      </c>
      <c r="E27" s="74">
        <v>236144</v>
      </c>
      <c r="F27" s="80">
        <v>208.515152</v>
      </c>
      <c r="G27" s="76">
        <f t="shared" si="0"/>
        <v>1.1900000000000001E-2</v>
      </c>
      <c r="H27" s="76"/>
      <c r="I27" s="91" t="s">
        <v>346</v>
      </c>
      <c r="J27" s="101"/>
      <c r="K27" s="65" t="s">
        <v>26</v>
      </c>
      <c r="L27" s="103">
        <f t="shared" si="1"/>
        <v>1.21E-2</v>
      </c>
    </row>
    <row r="28" spans="1:12" s="65" customFormat="1" ht="12.75" customHeight="1" x14ac:dyDescent="0.2">
      <c r="A28" s="77">
        <f>+MAX($A$8:A27)+1</f>
        <v>20</v>
      </c>
      <c r="B28" s="77" t="s">
        <v>192</v>
      </c>
      <c r="C28" s="65" t="s">
        <v>25</v>
      </c>
      <c r="D28" s="77" t="s">
        <v>22</v>
      </c>
      <c r="E28" s="74">
        <v>10944</v>
      </c>
      <c r="F28" s="80">
        <v>206.10288</v>
      </c>
      <c r="G28" s="76">
        <f t="shared" si="0"/>
        <v>1.17E-2</v>
      </c>
      <c r="H28" s="76"/>
      <c r="I28" s="91" t="s">
        <v>346</v>
      </c>
      <c r="J28" s="101"/>
      <c r="K28" s="65" t="s">
        <v>49</v>
      </c>
      <c r="L28" s="103">
        <f t="shared" si="1"/>
        <v>1.03E-2</v>
      </c>
    </row>
    <row r="29" spans="1:12" s="65" customFormat="1" ht="12.75" customHeight="1" x14ac:dyDescent="0.2">
      <c r="A29" s="77">
        <f>+MAX($A$8:A28)+1</f>
        <v>21</v>
      </c>
      <c r="B29" s="77" t="s">
        <v>527</v>
      </c>
      <c r="C29" s="65" t="s">
        <v>528</v>
      </c>
      <c r="D29" s="77" t="s">
        <v>24</v>
      </c>
      <c r="E29" s="74">
        <v>3155</v>
      </c>
      <c r="F29" s="80">
        <v>192.48181750000001</v>
      </c>
      <c r="G29" s="76">
        <f t="shared" si="0"/>
        <v>1.09E-2</v>
      </c>
      <c r="H29" s="76"/>
      <c r="I29" s="91" t="s">
        <v>346</v>
      </c>
      <c r="J29" s="101"/>
      <c r="K29" s="65" t="s">
        <v>35</v>
      </c>
      <c r="L29" s="103">
        <f t="shared" si="1"/>
        <v>1.03E-2</v>
      </c>
    </row>
    <row r="30" spans="1:12" s="65" customFormat="1" ht="12.75" customHeight="1" x14ac:dyDescent="0.2">
      <c r="A30" s="77">
        <f>+MAX($A$8:A29)+1</f>
        <v>22</v>
      </c>
      <c r="B30" s="77" t="s">
        <v>189</v>
      </c>
      <c r="C30" s="65" t="s">
        <v>10</v>
      </c>
      <c r="D30" s="77" t="s">
        <v>9</v>
      </c>
      <c r="E30" s="74">
        <v>67617</v>
      </c>
      <c r="F30" s="80">
        <v>192.16751399999998</v>
      </c>
      <c r="G30" s="76">
        <f t="shared" si="0"/>
        <v>1.09E-2</v>
      </c>
      <c r="H30" s="76"/>
      <c r="I30" s="91" t="s">
        <v>346</v>
      </c>
      <c r="J30" s="101"/>
      <c r="K30" s="14" t="s">
        <v>106</v>
      </c>
      <c r="L30" s="103">
        <f t="shared" si="1"/>
        <v>5.7000000000000002E-3</v>
      </c>
    </row>
    <row r="31" spans="1:12" s="65" customFormat="1" ht="12.75" customHeight="1" x14ac:dyDescent="0.2">
      <c r="A31" s="77">
        <f>+MAX($A$8:A30)+1</f>
        <v>23</v>
      </c>
      <c r="B31" s="77" t="s">
        <v>398</v>
      </c>
      <c r="C31" s="65" t="s">
        <v>66</v>
      </c>
      <c r="D31" s="77" t="s">
        <v>21</v>
      </c>
      <c r="E31" s="74">
        <v>36016</v>
      </c>
      <c r="F31" s="80">
        <v>190.30854399999998</v>
      </c>
      <c r="G31" s="76">
        <f t="shared" si="0"/>
        <v>1.0800000000000001E-2</v>
      </c>
      <c r="H31" s="76"/>
      <c r="I31" s="91" t="s">
        <v>346</v>
      </c>
      <c r="J31" s="101"/>
      <c r="K31" s="14" t="s">
        <v>62</v>
      </c>
      <c r="L31" s="48">
        <f>+SUMIFS($G$5:$G$998,$B$5:$B$998,"CBLO / Reverse Repo Investments")+SUMIFS($G$5:$G$998,$B$5:$B$998,"Net Receivable/Payable")</f>
        <v>7.2599999999999998E-2</v>
      </c>
    </row>
    <row r="32" spans="1:12" s="65" customFormat="1" ht="12.75" customHeight="1" x14ac:dyDescent="0.2">
      <c r="A32" s="77">
        <f>+MAX($A$8:A31)+1</f>
        <v>24</v>
      </c>
      <c r="B32" s="77" t="s">
        <v>188</v>
      </c>
      <c r="C32" s="65" t="s">
        <v>29</v>
      </c>
      <c r="D32" s="77" t="s">
        <v>28</v>
      </c>
      <c r="E32" s="74">
        <v>19599</v>
      </c>
      <c r="F32" s="80">
        <v>188.797167</v>
      </c>
      <c r="G32" s="76">
        <f t="shared" si="0"/>
        <v>1.0699999999999999E-2</v>
      </c>
      <c r="H32" s="76"/>
      <c r="I32" s="91" t="s">
        <v>346</v>
      </c>
      <c r="J32" s="101"/>
      <c r="K32" s="14"/>
      <c r="L32" s="48"/>
    </row>
    <row r="33" spans="1:14" s="65" customFormat="1" ht="12.75" customHeight="1" x14ac:dyDescent="0.2">
      <c r="A33" s="77">
        <f>+MAX($A$8:A32)+1</f>
        <v>25</v>
      </c>
      <c r="B33" s="77" t="s">
        <v>209</v>
      </c>
      <c r="C33" s="65" t="s">
        <v>59</v>
      </c>
      <c r="D33" s="77" t="s">
        <v>21</v>
      </c>
      <c r="E33" s="74">
        <v>28300</v>
      </c>
      <c r="F33" s="80">
        <v>181.68600000000001</v>
      </c>
      <c r="G33" s="76">
        <f t="shared" si="0"/>
        <v>1.03E-2</v>
      </c>
      <c r="H33" s="76"/>
      <c r="I33" s="91" t="s">
        <v>346</v>
      </c>
      <c r="J33" s="101"/>
      <c r="K33" s="14"/>
      <c r="L33" s="48"/>
    </row>
    <row r="34" spans="1:14" s="65" customFormat="1" ht="12.75" customHeight="1" x14ac:dyDescent="0.2">
      <c r="A34" s="77">
        <f>+MAX($A$8:A33)+1</f>
        <v>26</v>
      </c>
      <c r="B34" s="77" t="s">
        <v>222</v>
      </c>
      <c r="C34" s="65" t="s">
        <v>77</v>
      </c>
      <c r="D34" s="77" t="s">
        <v>49</v>
      </c>
      <c r="E34" s="74">
        <v>63647</v>
      </c>
      <c r="F34" s="80">
        <v>181.39394999999999</v>
      </c>
      <c r="G34" s="76">
        <f t="shared" si="0"/>
        <v>1.03E-2</v>
      </c>
      <c r="H34" s="76"/>
      <c r="I34" s="91" t="s">
        <v>346</v>
      </c>
      <c r="J34" s="101"/>
      <c r="K34" s="14"/>
      <c r="L34" s="48"/>
    </row>
    <row r="35" spans="1:14" s="65" customFormat="1" ht="12.75" customHeight="1" x14ac:dyDescent="0.2">
      <c r="A35" s="77">
        <f>+MAX($A$8:A34)+1</f>
        <v>27</v>
      </c>
      <c r="B35" s="77" t="s">
        <v>587</v>
      </c>
      <c r="C35" s="65" t="s">
        <v>588</v>
      </c>
      <c r="D35" s="77" t="s">
        <v>35</v>
      </c>
      <c r="E35" s="74">
        <v>12900</v>
      </c>
      <c r="F35" s="80">
        <v>180.96119999999999</v>
      </c>
      <c r="G35" s="76">
        <f t="shared" si="0"/>
        <v>1.03E-2</v>
      </c>
      <c r="H35" s="76"/>
      <c r="I35" s="91" t="s">
        <v>346</v>
      </c>
      <c r="J35" s="101"/>
      <c r="K35" s="14"/>
      <c r="L35" s="48"/>
    </row>
    <row r="36" spans="1:14" ht="12.75" customHeight="1" x14ac:dyDescent="0.2">
      <c r="B36" s="18" t="s">
        <v>83</v>
      </c>
      <c r="C36" s="18"/>
      <c r="D36" s="18"/>
      <c r="E36" s="19"/>
      <c r="F36" s="19">
        <f>SUM(F9:F35)</f>
        <v>6325.407635999999</v>
      </c>
      <c r="G36" s="20">
        <f>SUM(G9:G35)</f>
        <v>0.35959999999999998</v>
      </c>
      <c r="H36" s="20"/>
      <c r="I36" s="21"/>
      <c r="K36" s="65"/>
      <c r="L36" s="103"/>
    </row>
    <row r="37" spans="1:14" ht="12.75" customHeight="1" x14ac:dyDescent="0.2">
      <c r="F37" s="44"/>
      <c r="G37" s="14"/>
      <c r="H37" s="14"/>
      <c r="I37" s="15"/>
      <c r="K37" s="90"/>
      <c r="L37" s="103"/>
    </row>
    <row r="38" spans="1:14" s="65" customFormat="1" ht="12.75" customHeight="1" x14ac:dyDescent="0.2">
      <c r="A38"/>
      <c r="B38" s="16" t="s">
        <v>600</v>
      </c>
      <c r="C38" s="16"/>
      <c r="D38"/>
      <c r="E38" s="38"/>
      <c r="F38" s="44"/>
      <c r="G38" s="45"/>
      <c r="H38" s="45"/>
      <c r="I38" s="47"/>
      <c r="J38" s="77"/>
      <c r="K38" s="14"/>
      <c r="L38" s="103"/>
      <c r="N38" s="75"/>
    </row>
    <row r="39" spans="1:14" s="65" customFormat="1" ht="12.75" customHeight="1" x14ac:dyDescent="0.2">
      <c r="A39" s="77">
        <f>+MAX($A$8:A38)+1</f>
        <v>28</v>
      </c>
      <c r="B39" s="77" t="s">
        <v>196</v>
      </c>
      <c r="C39" s="65" t="s">
        <v>42</v>
      </c>
      <c r="D39" s="77" t="s">
        <v>22</v>
      </c>
      <c r="E39" s="74">
        <v>237000</v>
      </c>
      <c r="F39" s="80">
        <v>1519.17</v>
      </c>
      <c r="G39" s="76">
        <f>+ROUND(F39/VLOOKUP("Grand Total",$B$4:$F$288,5,0),4)</f>
        <v>8.6300000000000002E-2</v>
      </c>
      <c r="H39" s="76"/>
      <c r="I39" s="91" t="s">
        <v>346</v>
      </c>
      <c r="J39" s="101"/>
      <c r="K39" s="90"/>
      <c r="L39" s="103"/>
    </row>
    <row r="40" spans="1:14" s="65" customFormat="1" ht="12.75" customHeight="1" x14ac:dyDescent="0.2">
      <c r="A40" s="77">
        <f>+A39+1</f>
        <v>29</v>
      </c>
      <c r="B40" s="77" t="s">
        <v>196</v>
      </c>
      <c r="C40" s="121" t="s">
        <v>695</v>
      </c>
      <c r="D40" s="77" t="s">
        <v>305</v>
      </c>
      <c r="E40" s="74">
        <v>-237000</v>
      </c>
      <c r="F40" s="80">
        <v>-1528.65</v>
      </c>
      <c r="G40" s="76"/>
      <c r="H40" s="76">
        <f>+ROUND(F40/VLOOKUP("Grand Total",$B$4:$F$288,5,0),4)</f>
        <v>-8.6900000000000005E-2</v>
      </c>
      <c r="I40" s="104">
        <v>43251</v>
      </c>
      <c r="J40" s="101"/>
      <c r="K40" s="90"/>
      <c r="L40" s="103"/>
    </row>
    <row r="41" spans="1:14" s="65" customFormat="1" ht="12.75" customHeight="1" x14ac:dyDescent="0.2">
      <c r="A41" s="77">
        <f t="shared" ref="A41:A66" si="2">+A40+1</f>
        <v>30</v>
      </c>
      <c r="B41" s="77" t="s">
        <v>209</v>
      </c>
      <c r="C41" s="65" t="s">
        <v>59</v>
      </c>
      <c r="D41" s="77" t="s">
        <v>21</v>
      </c>
      <c r="E41" s="74">
        <v>174400</v>
      </c>
      <c r="F41" s="80">
        <v>1119.6479999999999</v>
      </c>
      <c r="G41" s="76">
        <f>+ROUND(F41/VLOOKUP("Grand Total",$B$4:$F$288,5,0),4)</f>
        <v>6.3600000000000004E-2</v>
      </c>
      <c r="H41" s="76"/>
      <c r="I41" s="91" t="s">
        <v>346</v>
      </c>
      <c r="J41" s="101"/>
      <c r="L41" s="103"/>
    </row>
    <row r="42" spans="1:14" s="65" customFormat="1" ht="12.75" customHeight="1" x14ac:dyDescent="0.2">
      <c r="A42" s="77">
        <f t="shared" si="2"/>
        <v>31</v>
      </c>
      <c r="B42" s="77" t="s">
        <v>209</v>
      </c>
      <c r="C42" s="121" t="s">
        <v>695</v>
      </c>
      <c r="D42" s="77" t="s">
        <v>305</v>
      </c>
      <c r="E42" s="74">
        <v>-174400</v>
      </c>
      <c r="F42" s="80">
        <v>-1124.9672</v>
      </c>
      <c r="G42" s="76"/>
      <c r="H42" s="76">
        <f>+ROUND(F42/VLOOKUP("Grand Total",$B$4:$F$288,5,0),4)</f>
        <v>-6.3899999999999998E-2</v>
      </c>
      <c r="I42" s="104">
        <v>43251</v>
      </c>
      <c r="J42" s="101"/>
      <c r="K42" s="90"/>
      <c r="L42" s="103"/>
    </row>
    <row r="43" spans="1:14" s="65" customFormat="1" ht="12.75" customHeight="1" x14ac:dyDescent="0.2">
      <c r="A43" s="77">
        <f t="shared" si="2"/>
        <v>32</v>
      </c>
      <c r="B43" s="77" t="s">
        <v>188</v>
      </c>
      <c r="C43" s="65" t="s">
        <v>29</v>
      </c>
      <c r="D43" s="77" t="s">
        <v>28</v>
      </c>
      <c r="E43" s="74">
        <v>60000</v>
      </c>
      <c r="F43" s="80">
        <v>577.98</v>
      </c>
      <c r="G43" s="76">
        <f>+ROUND(F43/VLOOKUP("Grand Total",$B$4:$F$288,5,0),4)</f>
        <v>3.2899999999999999E-2</v>
      </c>
      <c r="H43" s="76"/>
      <c r="I43" s="91" t="s">
        <v>346</v>
      </c>
      <c r="J43" s="101"/>
      <c r="K43" s="90"/>
      <c r="L43" s="103"/>
    </row>
    <row r="44" spans="1:14" s="65" customFormat="1" ht="12.75" customHeight="1" x14ac:dyDescent="0.2">
      <c r="A44" s="77">
        <f t="shared" si="2"/>
        <v>33</v>
      </c>
      <c r="B44" s="77" t="s">
        <v>188</v>
      </c>
      <c r="C44" s="121" t="s">
        <v>695</v>
      </c>
      <c r="D44" s="77" t="s">
        <v>305</v>
      </c>
      <c r="E44" s="74">
        <v>-60000</v>
      </c>
      <c r="F44" s="80">
        <v>-581.1</v>
      </c>
      <c r="G44" s="76"/>
      <c r="H44" s="76">
        <f>+ROUND(F44/VLOOKUP("Grand Total",$B$4:$F$288,5,0),4)</f>
        <v>-3.3000000000000002E-2</v>
      </c>
      <c r="I44" s="104">
        <v>43251</v>
      </c>
      <c r="J44" s="101"/>
      <c r="K44" s="90"/>
      <c r="L44" s="103"/>
    </row>
    <row r="45" spans="1:14" s="65" customFormat="1" ht="12.75" customHeight="1" x14ac:dyDescent="0.2">
      <c r="A45" s="77">
        <f t="shared" si="2"/>
        <v>34</v>
      </c>
      <c r="B45" s="77" t="s">
        <v>203</v>
      </c>
      <c r="C45" s="65" t="s">
        <v>47</v>
      </c>
      <c r="D45" s="77" t="s">
        <v>19</v>
      </c>
      <c r="E45" s="74">
        <v>6000</v>
      </c>
      <c r="F45" s="80">
        <v>528.89700000000005</v>
      </c>
      <c r="G45" s="76">
        <f>+ROUND(F45/VLOOKUP("Grand Total",$B$4:$F$288,5,0),4)</f>
        <v>3.0099999999999998E-2</v>
      </c>
      <c r="H45" s="76"/>
      <c r="I45" s="91" t="s">
        <v>346</v>
      </c>
      <c r="J45" s="101"/>
      <c r="L45" s="103"/>
    </row>
    <row r="46" spans="1:14" s="65" customFormat="1" ht="12.75" customHeight="1" x14ac:dyDescent="0.2">
      <c r="A46" s="77">
        <f t="shared" si="2"/>
        <v>35</v>
      </c>
      <c r="B46" s="77" t="s">
        <v>203</v>
      </c>
      <c r="C46" s="121" t="s">
        <v>695</v>
      </c>
      <c r="D46" s="77" t="s">
        <v>305</v>
      </c>
      <c r="E46" s="74">
        <v>-6000</v>
      </c>
      <c r="F46" s="80">
        <v>-532.71600000000001</v>
      </c>
      <c r="G46" s="76"/>
      <c r="H46" s="76">
        <f>+ROUND(F46/VLOOKUP("Grand Total",$B$4:$F$288,5,0),4)</f>
        <v>-3.0300000000000001E-2</v>
      </c>
      <c r="I46" s="104">
        <v>43251</v>
      </c>
      <c r="J46" s="101"/>
      <c r="K46" s="90"/>
      <c r="L46" s="103"/>
    </row>
    <row r="47" spans="1:14" s="65" customFormat="1" ht="12.75" customHeight="1" x14ac:dyDescent="0.2">
      <c r="A47" s="77">
        <f t="shared" si="2"/>
        <v>36</v>
      </c>
      <c r="B47" s="77" t="s">
        <v>194</v>
      </c>
      <c r="C47" s="65" t="s">
        <v>33</v>
      </c>
      <c r="D47" s="77" t="s">
        <v>17</v>
      </c>
      <c r="E47" s="74">
        <v>38500</v>
      </c>
      <c r="F47" s="80">
        <v>486.08175</v>
      </c>
      <c r="G47" s="76">
        <f>+ROUND(F47/VLOOKUP("Grand Total",$B$4:$F$288,5,0),4)</f>
        <v>2.76E-2</v>
      </c>
      <c r="H47" s="76"/>
      <c r="I47" s="91" t="s">
        <v>346</v>
      </c>
      <c r="J47" s="101"/>
      <c r="K47" s="90"/>
      <c r="L47" s="103"/>
    </row>
    <row r="48" spans="1:14" s="65" customFormat="1" ht="12.75" customHeight="1" x14ac:dyDescent="0.2">
      <c r="A48" s="77">
        <f t="shared" si="2"/>
        <v>37</v>
      </c>
      <c r="B48" s="77" t="s">
        <v>194</v>
      </c>
      <c r="C48" s="121" t="s">
        <v>695</v>
      </c>
      <c r="D48" s="77" t="s">
        <v>305</v>
      </c>
      <c r="E48" s="74">
        <v>-38500</v>
      </c>
      <c r="F48" s="80">
        <v>-488.5265</v>
      </c>
      <c r="G48" s="76"/>
      <c r="H48" s="76">
        <f>+ROUND(F48/VLOOKUP("Grand Total",$B$4:$F$288,5,0),4)</f>
        <v>-2.7799999999999998E-2</v>
      </c>
      <c r="I48" s="104">
        <v>43251</v>
      </c>
      <c r="J48" s="101"/>
      <c r="K48" s="90"/>
      <c r="L48" s="103"/>
    </row>
    <row r="49" spans="1:12" s="65" customFormat="1" ht="12.75" customHeight="1" x14ac:dyDescent="0.2">
      <c r="A49" s="77">
        <f t="shared" si="2"/>
        <v>38</v>
      </c>
      <c r="B49" s="77" t="s">
        <v>326</v>
      </c>
      <c r="C49" s="65" t="s">
        <v>327</v>
      </c>
      <c r="D49" s="77" t="s">
        <v>22</v>
      </c>
      <c r="E49" s="74">
        <v>34400</v>
      </c>
      <c r="F49" s="80">
        <v>449.608</v>
      </c>
      <c r="G49" s="76">
        <f>+ROUND(F49/VLOOKUP("Grand Total",$B$4:$F$288,5,0),4)</f>
        <v>2.5600000000000001E-2</v>
      </c>
      <c r="H49" s="76"/>
      <c r="I49" s="91" t="s">
        <v>346</v>
      </c>
      <c r="J49" s="101"/>
      <c r="K49" s="90"/>
      <c r="L49" s="103"/>
    </row>
    <row r="50" spans="1:12" s="65" customFormat="1" ht="12.75" customHeight="1" x14ac:dyDescent="0.2">
      <c r="A50" s="77">
        <f t="shared" si="2"/>
        <v>39</v>
      </c>
      <c r="B50" s="77" t="s">
        <v>326</v>
      </c>
      <c r="C50" s="121" t="s">
        <v>695</v>
      </c>
      <c r="D50" s="77" t="s">
        <v>305</v>
      </c>
      <c r="E50" s="74">
        <v>-34400</v>
      </c>
      <c r="F50" s="80">
        <v>-449.53919999999999</v>
      </c>
      <c r="G50" s="76"/>
      <c r="H50" s="76">
        <f>+ROUND(F50/VLOOKUP("Grand Total",$B$4:$F$288,5,0),4)</f>
        <v>-2.5600000000000001E-2</v>
      </c>
      <c r="I50" s="104">
        <v>43251</v>
      </c>
      <c r="J50" s="101"/>
      <c r="K50" s="90"/>
      <c r="L50" s="103"/>
    </row>
    <row r="51" spans="1:12" s="65" customFormat="1" ht="12.75" customHeight="1" x14ac:dyDescent="0.2">
      <c r="A51" s="77">
        <f t="shared" si="2"/>
        <v>40</v>
      </c>
      <c r="B51" s="77" t="s">
        <v>15</v>
      </c>
      <c r="C51" s="65" t="s">
        <v>16</v>
      </c>
      <c r="D51" s="77" t="s">
        <v>9</v>
      </c>
      <c r="E51" s="74">
        <v>162000</v>
      </c>
      <c r="F51" s="80">
        <v>399.16800000000001</v>
      </c>
      <c r="G51" s="76">
        <f>+ROUND(F51/VLOOKUP("Grand Total",$B$4:$F$288,5,0),4)</f>
        <v>2.2700000000000001E-2</v>
      </c>
      <c r="H51" s="76"/>
      <c r="I51" s="91" t="s">
        <v>346</v>
      </c>
      <c r="J51" s="101"/>
      <c r="L51" s="103"/>
    </row>
    <row r="52" spans="1:12" s="65" customFormat="1" ht="12.75" customHeight="1" x14ac:dyDescent="0.2">
      <c r="A52" s="77">
        <f t="shared" si="2"/>
        <v>41</v>
      </c>
      <c r="B52" s="77" t="s">
        <v>15</v>
      </c>
      <c r="C52" s="121" t="s">
        <v>695</v>
      </c>
      <c r="D52" s="77" t="s">
        <v>305</v>
      </c>
      <c r="E52" s="74">
        <v>-162000</v>
      </c>
      <c r="F52" s="80">
        <v>-400.221</v>
      </c>
      <c r="G52" s="76"/>
      <c r="H52" s="76">
        <f>+ROUND(F52/VLOOKUP("Grand Total",$B$4:$F$288,5,0),4)</f>
        <v>-2.2700000000000001E-2</v>
      </c>
      <c r="I52" s="104">
        <v>43251</v>
      </c>
      <c r="J52" s="101"/>
      <c r="K52" s="90"/>
      <c r="L52" s="103"/>
    </row>
    <row r="53" spans="1:12" s="65" customFormat="1" ht="12.75" customHeight="1" x14ac:dyDescent="0.2">
      <c r="A53" s="77">
        <f t="shared" si="2"/>
        <v>42</v>
      </c>
      <c r="B53" s="77" t="s">
        <v>398</v>
      </c>
      <c r="C53" s="65" t="s">
        <v>66</v>
      </c>
      <c r="D53" s="77" t="s">
        <v>21</v>
      </c>
      <c r="E53" s="74">
        <v>63800</v>
      </c>
      <c r="F53" s="80">
        <v>337.11919999999998</v>
      </c>
      <c r="G53" s="76">
        <f>+ROUND(F53/VLOOKUP("Grand Total",$B$4:$F$288,5,0),4)</f>
        <v>1.9199999999999998E-2</v>
      </c>
      <c r="H53" s="76"/>
      <c r="I53" s="91" t="s">
        <v>346</v>
      </c>
      <c r="J53" s="101"/>
      <c r="K53" s="90"/>
      <c r="L53" s="103"/>
    </row>
    <row r="54" spans="1:12" s="65" customFormat="1" ht="12.75" customHeight="1" x14ac:dyDescent="0.2">
      <c r="A54" s="77">
        <f t="shared" si="2"/>
        <v>43</v>
      </c>
      <c r="B54" s="77" t="s">
        <v>398</v>
      </c>
      <c r="C54" s="121" t="s">
        <v>695</v>
      </c>
      <c r="D54" s="77" t="s">
        <v>305</v>
      </c>
      <c r="E54" s="74">
        <v>-63800</v>
      </c>
      <c r="F54" s="80">
        <v>-339.22460000000001</v>
      </c>
      <c r="G54" s="76"/>
      <c r="H54" s="76">
        <f>+ROUND(F54/VLOOKUP("Grand Total",$B$4:$F$288,5,0),4)</f>
        <v>-1.9300000000000001E-2</v>
      </c>
      <c r="I54" s="104">
        <v>43251</v>
      </c>
      <c r="J54" s="101"/>
      <c r="K54" s="90"/>
      <c r="L54" s="103"/>
    </row>
    <row r="55" spans="1:12" s="65" customFormat="1" ht="12.75" customHeight="1" x14ac:dyDescent="0.2">
      <c r="A55" s="77">
        <f t="shared" si="2"/>
        <v>44</v>
      </c>
      <c r="B55" s="77" t="s">
        <v>441</v>
      </c>
      <c r="C55" s="65" t="s">
        <v>442</v>
      </c>
      <c r="D55" s="77" t="s">
        <v>19</v>
      </c>
      <c r="E55" s="74">
        <v>24200</v>
      </c>
      <c r="F55" s="80">
        <v>243.04060000000001</v>
      </c>
      <c r="G55" s="76">
        <f>+ROUND(F55/VLOOKUP("Grand Total",$B$4:$F$288,5,0),4)</f>
        <v>1.38E-2</v>
      </c>
      <c r="H55" s="76"/>
      <c r="I55" s="91" t="s">
        <v>346</v>
      </c>
      <c r="J55" s="101"/>
      <c r="L55" s="103"/>
    </row>
    <row r="56" spans="1:12" s="65" customFormat="1" ht="12.75" customHeight="1" x14ac:dyDescent="0.2">
      <c r="A56" s="77">
        <f t="shared" si="2"/>
        <v>45</v>
      </c>
      <c r="B56" s="77" t="s">
        <v>441</v>
      </c>
      <c r="C56" s="121" t="s">
        <v>695</v>
      </c>
      <c r="D56" s="77" t="s">
        <v>305</v>
      </c>
      <c r="E56" s="74">
        <v>-24200</v>
      </c>
      <c r="F56" s="80">
        <v>-243.66980000000001</v>
      </c>
      <c r="G56" s="76"/>
      <c r="H56" s="76">
        <f>+ROUND(F56/VLOOKUP("Grand Total",$B$4:$F$288,5,0),4)</f>
        <v>-1.38E-2</v>
      </c>
      <c r="I56" s="104">
        <v>43251</v>
      </c>
      <c r="J56" s="101"/>
      <c r="K56" s="90"/>
      <c r="L56" s="103"/>
    </row>
    <row r="57" spans="1:12" s="65" customFormat="1" ht="12.75" customHeight="1" x14ac:dyDescent="0.2">
      <c r="A57" s="77">
        <f t="shared" si="2"/>
        <v>46</v>
      </c>
      <c r="B57" s="77" t="s">
        <v>193</v>
      </c>
      <c r="C57" s="65" t="s">
        <v>37</v>
      </c>
      <c r="D57" s="77" t="s">
        <v>19</v>
      </c>
      <c r="E57" s="74">
        <v>6250</v>
      </c>
      <c r="F57" s="80">
        <v>184.53749999999999</v>
      </c>
      <c r="G57" s="76">
        <f>+ROUND(F57/VLOOKUP("Grand Total",$B$4:$F$288,5,0),4)</f>
        <v>1.0500000000000001E-2</v>
      </c>
      <c r="H57" s="76"/>
      <c r="I57" s="91" t="s">
        <v>346</v>
      </c>
      <c r="J57" s="101"/>
      <c r="K57" s="90"/>
      <c r="L57" s="103"/>
    </row>
    <row r="58" spans="1:12" s="65" customFormat="1" ht="12.75" customHeight="1" x14ac:dyDescent="0.2">
      <c r="A58" s="77">
        <f t="shared" si="2"/>
        <v>47</v>
      </c>
      <c r="B58" s="77" t="s">
        <v>193</v>
      </c>
      <c r="C58" s="121" t="s">
        <v>695</v>
      </c>
      <c r="D58" s="77" t="s">
        <v>305</v>
      </c>
      <c r="E58" s="74">
        <v>-6250</v>
      </c>
      <c r="F58" s="80">
        <v>-185.25</v>
      </c>
      <c r="G58" s="76"/>
      <c r="H58" s="76">
        <f>+ROUND(F58/VLOOKUP("Grand Total",$B$4:$F$288,5,0),4)</f>
        <v>-1.0500000000000001E-2</v>
      </c>
      <c r="I58" s="104">
        <v>43251</v>
      </c>
      <c r="J58" s="101"/>
      <c r="K58" s="90"/>
      <c r="L58" s="103"/>
    </row>
    <row r="59" spans="1:12" s="65" customFormat="1" ht="12.75" customHeight="1" x14ac:dyDescent="0.2">
      <c r="A59" s="77">
        <f t="shared" si="2"/>
        <v>48</v>
      </c>
      <c r="B59" s="77" t="s">
        <v>508</v>
      </c>
      <c r="C59" s="65" t="s">
        <v>509</v>
      </c>
      <c r="D59" s="77" t="s">
        <v>28</v>
      </c>
      <c r="E59" s="74">
        <v>43500</v>
      </c>
      <c r="F59" s="80">
        <v>139.65674999999999</v>
      </c>
      <c r="G59" s="76">
        <f>+ROUND(F59/VLOOKUP("Grand Total",$B$4:$F$288,5,0),4)</f>
        <v>7.9000000000000008E-3</v>
      </c>
      <c r="H59" s="76"/>
      <c r="I59" s="91" t="s">
        <v>346</v>
      </c>
      <c r="J59" s="101"/>
      <c r="K59" s="90"/>
      <c r="L59" s="103"/>
    </row>
    <row r="60" spans="1:12" s="65" customFormat="1" ht="12.75" customHeight="1" x14ac:dyDescent="0.2">
      <c r="A60" s="77">
        <f t="shared" si="2"/>
        <v>49</v>
      </c>
      <c r="B60" s="77" t="s">
        <v>508</v>
      </c>
      <c r="C60" s="121" t="s">
        <v>695</v>
      </c>
      <c r="D60" s="77" t="s">
        <v>305</v>
      </c>
      <c r="E60" s="74">
        <v>-43500</v>
      </c>
      <c r="F60" s="80">
        <v>-140.54849999999999</v>
      </c>
      <c r="G60" s="76"/>
      <c r="H60" s="76">
        <f>+ROUND(F60/VLOOKUP("Grand Total",$B$4:$F$288,5,0),4)</f>
        <v>-8.0000000000000002E-3</v>
      </c>
      <c r="I60" s="104">
        <v>43251</v>
      </c>
      <c r="J60" s="101"/>
      <c r="K60" s="90"/>
      <c r="L60" s="103"/>
    </row>
    <row r="61" spans="1:12" s="65" customFormat="1" ht="12.75" customHeight="1" x14ac:dyDescent="0.2">
      <c r="A61" s="77">
        <f t="shared" si="2"/>
        <v>50</v>
      </c>
      <c r="B61" s="77" t="s">
        <v>282</v>
      </c>
      <c r="C61" s="65" t="s">
        <v>177</v>
      </c>
      <c r="D61" s="77" t="s">
        <v>34</v>
      </c>
      <c r="E61" s="74">
        <v>182000</v>
      </c>
      <c r="F61" s="80">
        <v>67.34</v>
      </c>
      <c r="G61" s="76">
        <f>+ROUND(F61/VLOOKUP("Grand Total",$B$4:$F$288,5,0),4)</f>
        <v>3.8E-3</v>
      </c>
      <c r="H61" s="76"/>
      <c r="I61" s="91" t="s">
        <v>346</v>
      </c>
      <c r="J61" s="101"/>
      <c r="K61" s="90"/>
      <c r="L61" s="103"/>
    </row>
    <row r="62" spans="1:12" s="65" customFormat="1" ht="12.75" customHeight="1" x14ac:dyDescent="0.2">
      <c r="A62" s="77">
        <f t="shared" si="2"/>
        <v>51</v>
      </c>
      <c r="B62" s="77" t="s">
        <v>282</v>
      </c>
      <c r="C62" s="121" t="s">
        <v>695</v>
      </c>
      <c r="D62" s="77" t="s">
        <v>305</v>
      </c>
      <c r="E62" s="74">
        <v>-182000</v>
      </c>
      <c r="F62" s="80">
        <v>-67.885999999999996</v>
      </c>
      <c r="G62" s="76"/>
      <c r="H62" s="76">
        <f>+ROUND(F62/VLOOKUP("Grand Total",$B$4:$F$288,5,0),4)</f>
        <v>-3.8999999999999998E-3</v>
      </c>
      <c r="I62" s="104">
        <v>43251</v>
      </c>
      <c r="J62" s="101"/>
      <c r="K62" s="90"/>
      <c r="L62" s="103"/>
    </row>
    <row r="63" spans="1:12" s="65" customFormat="1" ht="12.75" customHeight="1" x14ac:dyDescent="0.2">
      <c r="A63" s="77">
        <f t="shared" si="2"/>
        <v>52</v>
      </c>
      <c r="B63" s="77" t="s">
        <v>371</v>
      </c>
      <c r="C63" s="65" t="s">
        <v>126</v>
      </c>
      <c r="D63" s="77" t="s">
        <v>19</v>
      </c>
      <c r="E63" s="74">
        <v>35000</v>
      </c>
      <c r="F63" s="80">
        <v>67.025000000000006</v>
      </c>
      <c r="G63" s="76">
        <f>+ROUND(F63/VLOOKUP("Grand Total",$B$4:$F$288,5,0),4)</f>
        <v>3.8E-3</v>
      </c>
      <c r="H63" s="76"/>
      <c r="I63" s="91" t="s">
        <v>346</v>
      </c>
      <c r="J63" s="101"/>
      <c r="K63" s="90"/>
      <c r="L63" s="103"/>
    </row>
    <row r="64" spans="1:12" s="65" customFormat="1" ht="12.75" customHeight="1" x14ac:dyDescent="0.2">
      <c r="A64" s="77">
        <f t="shared" si="2"/>
        <v>53</v>
      </c>
      <c r="B64" s="77" t="s">
        <v>371</v>
      </c>
      <c r="C64" s="121" t="s">
        <v>695</v>
      </c>
      <c r="D64" s="77" t="s">
        <v>305</v>
      </c>
      <c r="E64" s="74">
        <v>-35000</v>
      </c>
      <c r="F64" s="80">
        <v>-67.252499999999998</v>
      </c>
      <c r="G64" s="76"/>
      <c r="H64" s="76">
        <f>+ROUND(F64/VLOOKUP("Grand Total",$B$4:$F$288,5,0),4)</f>
        <v>-3.8E-3</v>
      </c>
      <c r="I64" s="104">
        <v>43251</v>
      </c>
      <c r="J64" s="101"/>
      <c r="K64" s="90"/>
      <c r="L64" s="103"/>
    </row>
    <row r="65" spans="1:13" s="65" customFormat="1" ht="12.75" customHeight="1" x14ac:dyDescent="0.2">
      <c r="A65" s="77">
        <f t="shared" si="2"/>
        <v>54</v>
      </c>
      <c r="B65" s="77" t="s">
        <v>486</v>
      </c>
      <c r="C65" s="65" t="s">
        <v>487</v>
      </c>
      <c r="D65" s="77" t="s">
        <v>24</v>
      </c>
      <c r="E65" s="74">
        <v>42000</v>
      </c>
      <c r="F65" s="80">
        <v>29.4</v>
      </c>
      <c r="G65" s="76">
        <f>+ROUND(F65/VLOOKUP("Grand Total",$B$4:$F$288,5,0),4)</f>
        <v>1.6999999999999999E-3</v>
      </c>
      <c r="H65" s="76"/>
      <c r="I65" s="91" t="s">
        <v>346</v>
      </c>
      <c r="J65" s="101"/>
      <c r="K65" s="90"/>
      <c r="L65" s="103"/>
    </row>
    <row r="66" spans="1:13" s="65" customFormat="1" ht="12.75" customHeight="1" x14ac:dyDescent="0.2">
      <c r="A66" s="77">
        <f t="shared" si="2"/>
        <v>55</v>
      </c>
      <c r="B66" s="77" t="s">
        <v>486</v>
      </c>
      <c r="C66" s="121" t="s">
        <v>695</v>
      </c>
      <c r="D66" s="77" t="s">
        <v>305</v>
      </c>
      <c r="E66" s="74">
        <v>-42000</v>
      </c>
      <c r="F66" s="80">
        <v>-29.672999999999998</v>
      </c>
      <c r="G66" s="76"/>
      <c r="H66" s="76">
        <f>+ROUND(F66/VLOOKUP("Grand Total",$B$4:$F$288,5,0),4)</f>
        <v>-1.6999999999999999E-3</v>
      </c>
      <c r="I66" s="104">
        <v>43251</v>
      </c>
      <c r="J66" s="101"/>
      <c r="K66" s="90"/>
      <c r="L66" s="103"/>
    </row>
    <row r="67" spans="1:13" s="46" customFormat="1" ht="12.75" customHeight="1" x14ac:dyDescent="0.2">
      <c r="A67"/>
      <c r="B67" s="18" t="s">
        <v>83</v>
      </c>
      <c r="C67" s="18"/>
      <c r="D67" s="18"/>
      <c r="E67" s="19"/>
      <c r="F67" s="19">
        <f>+F39+F41+F43+F45+F47+F49+F51+F53+F55+F57+F59+F61+F63+F65</f>
        <v>6148.6718000000001</v>
      </c>
      <c r="G67" s="79">
        <f>+G39+G41+G43+G45+G47+G49+G51+G53+G55+G57+G59+G61+G63+G65</f>
        <v>0.34950000000000003</v>
      </c>
      <c r="H67" s="79">
        <f>SUM(H40:H66)</f>
        <v>-0.35119999999999996</v>
      </c>
      <c r="I67" s="21"/>
      <c r="J67" s="56"/>
      <c r="L67" s="48"/>
    </row>
    <row r="68" spans="1:13" ht="12.75" customHeight="1" x14ac:dyDescent="0.2">
      <c r="F68" s="28"/>
      <c r="G68" s="28"/>
      <c r="H68" s="28"/>
      <c r="I68" s="15"/>
      <c r="J68" s="56"/>
    </row>
    <row r="69" spans="1:13" s="46" customFormat="1" ht="12.75" customHeight="1" x14ac:dyDescent="0.2">
      <c r="A69"/>
      <c r="B69" s="16" t="s">
        <v>89</v>
      </c>
      <c r="C69" s="16"/>
      <c r="D69"/>
      <c r="E69" s="28"/>
      <c r="F69" s="28"/>
      <c r="G69" s="28"/>
      <c r="H69" s="28"/>
      <c r="I69" s="15"/>
      <c r="J69" s="56"/>
      <c r="L69" s="48"/>
    </row>
    <row r="70" spans="1:13" s="46" customFormat="1" ht="12.75" customHeight="1" x14ac:dyDescent="0.2">
      <c r="A70"/>
      <c r="B70" s="16" t="s">
        <v>290</v>
      </c>
      <c r="C70" s="16"/>
      <c r="D70"/>
      <c r="E70" s="28"/>
      <c r="F70" s="13"/>
      <c r="G70" s="14"/>
      <c r="H70" s="14"/>
      <c r="I70" s="15"/>
      <c r="J70" s="56"/>
      <c r="K70"/>
      <c r="L70" s="36"/>
    </row>
    <row r="71" spans="1:13" s="46" customFormat="1" ht="12.75" customHeight="1" x14ac:dyDescent="0.2">
      <c r="A71" s="77">
        <f>+MAX($A$8:A70)+1</f>
        <v>56</v>
      </c>
      <c r="B71" t="s">
        <v>275</v>
      </c>
      <c r="C71" t="s">
        <v>594</v>
      </c>
      <c r="D71" t="s">
        <v>520</v>
      </c>
      <c r="E71" s="28">
        <v>100</v>
      </c>
      <c r="F71" s="13">
        <v>497.86599999999999</v>
      </c>
      <c r="G71" s="76">
        <f>+ROUND(F71/VLOOKUP("Grand Total",$B$4:$F$288,5,0),4)</f>
        <v>2.8299999999999999E-2</v>
      </c>
      <c r="H71" s="76"/>
      <c r="I71" s="15">
        <v>43241</v>
      </c>
      <c r="J71" s="56"/>
      <c r="K71"/>
      <c r="L71" s="36"/>
    </row>
    <row r="72" spans="1:13" s="46" customFormat="1" ht="12.75" customHeight="1" x14ac:dyDescent="0.2">
      <c r="A72" s="77">
        <f>+MAX($A$8:A71)+1</f>
        <v>57</v>
      </c>
      <c r="B72" t="s">
        <v>512</v>
      </c>
      <c r="C72" t="s">
        <v>595</v>
      </c>
      <c r="D72" t="s">
        <v>513</v>
      </c>
      <c r="E72" s="28">
        <v>100</v>
      </c>
      <c r="F72" s="13">
        <v>496.56799999999998</v>
      </c>
      <c r="G72" s="76">
        <f>+ROUND(F72/VLOOKUP("Grand Total",$B$4:$F$288,5,0),4)</f>
        <v>2.8199999999999999E-2</v>
      </c>
      <c r="H72" s="76"/>
      <c r="I72" s="15">
        <v>43245</v>
      </c>
      <c r="J72" s="56"/>
      <c r="K72"/>
      <c r="L72" s="36"/>
    </row>
    <row r="73" spans="1:13" s="46" customFormat="1" ht="12.75" customHeight="1" x14ac:dyDescent="0.2">
      <c r="A73" s="77">
        <f>+MAX($A$8:A72)+1</f>
        <v>58</v>
      </c>
      <c r="B73" t="s">
        <v>592</v>
      </c>
      <c r="C73" t="s">
        <v>593</v>
      </c>
      <c r="D73" t="s">
        <v>274</v>
      </c>
      <c r="E73" s="28">
        <v>95</v>
      </c>
      <c r="F73" s="13">
        <v>474.318375</v>
      </c>
      <c r="G73" s="76">
        <f>+ROUND(F73/VLOOKUP("Grand Total",$B$4:$F$288,5,0),4)</f>
        <v>2.7E-2</v>
      </c>
      <c r="H73" s="76"/>
      <c r="I73" s="15">
        <v>43228</v>
      </c>
      <c r="J73" s="56"/>
      <c r="K73"/>
      <c r="L73" s="36"/>
    </row>
    <row r="74" spans="1:13" s="46" customFormat="1" ht="12.75" customHeight="1" x14ac:dyDescent="0.2">
      <c r="A74" s="77">
        <f>+MAX($A$8:A73)+1</f>
        <v>59</v>
      </c>
      <c r="B74" t="s">
        <v>275</v>
      </c>
      <c r="C74" t="s">
        <v>510</v>
      </c>
      <c r="D74" t="s">
        <v>520</v>
      </c>
      <c r="E74" s="28">
        <v>38</v>
      </c>
      <c r="F74" s="13">
        <v>184.32603</v>
      </c>
      <c r="G74" s="76">
        <f>+ROUND(F74/VLOOKUP("Grand Total",$B$4:$F$288,5,0),4)</f>
        <v>1.0500000000000001E-2</v>
      </c>
      <c r="H74" s="76"/>
      <c r="I74" s="15">
        <v>43350</v>
      </c>
      <c r="J74" s="56"/>
      <c r="K74"/>
      <c r="L74" s="36"/>
    </row>
    <row r="75" spans="1:13" s="46" customFormat="1" ht="12.75" customHeight="1" x14ac:dyDescent="0.2">
      <c r="A75" s="77">
        <f>+MAX($A$8:A74)+1</f>
        <v>60</v>
      </c>
      <c r="B75" t="s">
        <v>467</v>
      </c>
      <c r="C75" t="s">
        <v>642</v>
      </c>
      <c r="D75" t="s">
        <v>274</v>
      </c>
      <c r="E75" s="28">
        <v>20</v>
      </c>
      <c r="F75" s="13">
        <v>99.5244</v>
      </c>
      <c r="G75" s="76">
        <f>+ROUND(F75/VLOOKUP("Grand Total",$B$4:$F$288,5,0),4)</f>
        <v>5.7000000000000002E-3</v>
      </c>
      <c r="H75" s="76"/>
      <c r="I75" s="15">
        <v>43242</v>
      </c>
      <c r="J75" s="56"/>
      <c r="K75"/>
      <c r="L75" s="36"/>
    </row>
    <row r="76" spans="1:13" ht="12.75" customHeight="1" x14ac:dyDescent="0.2">
      <c r="B76" s="18" t="s">
        <v>83</v>
      </c>
      <c r="C76" s="18"/>
      <c r="D76" s="18"/>
      <c r="E76" s="29"/>
      <c r="F76" s="19">
        <f>SUM(F71:F75)</f>
        <v>1752.602805</v>
      </c>
      <c r="G76" s="20">
        <f>SUM(G71:G75)</f>
        <v>9.9699999999999983E-2</v>
      </c>
      <c r="H76" s="20"/>
      <c r="I76" s="21"/>
      <c r="J76" s="56"/>
    </row>
    <row r="77" spans="1:13" ht="12.75" customHeight="1" x14ac:dyDescent="0.2">
      <c r="F77" s="44"/>
      <c r="G77" s="14"/>
      <c r="H77" s="14"/>
      <c r="I77" s="15"/>
      <c r="J77" s="56"/>
    </row>
    <row r="78" spans="1:13" ht="12.75" customHeight="1" x14ac:dyDescent="0.2">
      <c r="B78" s="16" t="s">
        <v>164</v>
      </c>
      <c r="F78" s="13"/>
      <c r="G78" s="14"/>
      <c r="H78" s="14"/>
      <c r="I78" s="15"/>
      <c r="J78" s="56"/>
    </row>
    <row r="79" spans="1:13" ht="12.75" customHeight="1" x14ac:dyDescent="0.2">
      <c r="A79" s="77">
        <f>+MAX($A$8:A78)+1</f>
        <v>61</v>
      </c>
      <c r="B79" t="s">
        <v>523</v>
      </c>
      <c r="C79" t="s">
        <v>605</v>
      </c>
      <c r="D79" t="s">
        <v>378</v>
      </c>
      <c r="E79" s="28">
        <v>85000</v>
      </c>
      <c r="F79" s="13">
        <v>84.488045</v>
      </c>
      <c r="G79" s="76">
        <f>+ROUND(F79/VLOOKUP("Grand Total",$B$4:$F$288,5,0),4)</f>
        <v>4.7999999999999996E-3</v>
      </c>
      <c r="H79" s="76"/>
      <c r="I79" s="15">
        <v>43258</v>
      </c>
      <c r="J79" s="55"/>
    </row>
    <row r="80" spans="1:13" s="46" customFormat="1" ht="12.75" customHeight="1" x14ac:dyDescent="0.2">
      <c r="A80"/>
      <c r="B80" s="18" t="s">
        <v>83</v>
      </c>
      <c r="C80" s="18"/>
      <c r="D80" s="18"/>
      <c r="E80" s="29"/>
      <c r="F80" s="19">
        <f>SUM(F79)</f>
        <v>84.488045</v>
      </c>
      <c r="G80" s="20">
        <f>SUM(G79)</f>
        <v>4.7999999999999996E-3</v>
      </c>
      <c r="H80" s="20"/>
      <c r="I80" s="21"/>
      <c r="J80" s="55"/>
      <c r="K80" s="36"/>
      <c r="L80"/>
      <c r="M80"/>
    </row>
    <row r="81" spans="1:13" s="46" customFormat="1" ht="12.75" customHeight="1" x14ac:dyDescent="0.2">
      <c r="B81" s="67"/>
      <c r="C81" s="67"/>
      <c r="D81" s="67"/>
      <c r="E81" s="68"/>
      <c r="F81" s="69"/>
      <c r="G81" s="70"/>
      <c r="H81" s="70"/>
      <c r="I81" s="71"/>
      <c r="J81" s="55"/>
      <c r="K81" s="48"/>
    </row>
    <row r="82" spans="1:13" ht="12.75" customHeight="1" x14ac:dyDescent="0.2">
      <c r="B82" s="16" t="s">
        <v>165</v>
      </c>
      <c r="F82" s="13"/>
      <c r="G82" s="14"/>
      <c r="H82" s="14"/>
      <c r="I82" s="15"/>
      <c r="J82" s="56"/>
    </row>
    <row r="83" spans="1:13" ht="12.75" customHeight="1" x14ac:dyDescent="0.2">
      <c r="A83" s="77">
        <f>+MAX($A$8:A82)+1</f>
        <v>62</v>
      </c>
      <c r="B83" t="s">
        <v>430</v>
      </c>
      <c r="C83" t="s">
        <v>431</v>
      </c>
      <c r="D83" t="s">
        <v>378</v>
      </c>
      <c r="E83" s="28">
        <v>300000</v>
      </c>
      <c r="F83" s="13">
        <v>289.16399999999999</v>
      </c>
      <c r="G83" s="76">
        <f>+ROUND(F83/VLOOKUP("Grand Total",$B$4:$F$288,5,0),4)</f>
        <v>1.6400000000000001E-2</v>
      </c>
      <c r="H83" s="76"/>
      <c r="I83" s="15">
        <v>44914</v>
      </c>
      <c r="J83" s="55"/>
    </row>
    <row r="84" spans="1:13" s="46" customFormat="1" ht="12.75" customHeight="1" x14ac:dyDescent="0.2">
      <c r="A84"/>
      <c r="B84" s="18" t="s">
        <v>83</v>
      </c>
      <c r="C84" s="18"/>
      <c r="D84" s="18"/>
      <c r="E84" s="29"/>
      <c r="F84" s="19">
        <f>SUM(F83)</f>
        <v>289.16399999999999</v>
      </c>
      <c r="G84" s="20">
        <f>SUM(G83)</f>
        <v>1.6400000000000001E-2</v>
      </c>
      <c r="H84" s="20"/>
      <c r="I84" s="21"/>
      <c r="J84" s="55"/>
      <c r="K84" s="36"/>
      <c r="L84"/>
      <c r="M84"/>
    </row>
    <row r="85" spans="1:13" s="46" customFormat="1" ht="12.75" customHeight="1" x14ac:dyDescent="0.2">
      <c r="B85" s="67"/>
      <c r="C85" s="67"/>
      <c r="D85" s="67"/>
      <c r="E85" s="68"/>
      <c r="F85" s="69"/>
      <c r="G85" s="70"/>
      <c r="H85" s="70"/>
      <c r="I85" s="71"/>
      <c r="J85" s="55"/>
      <c r="K85" s="48"/>
    </row>
    <row r="86" spans="1:13" ht="12.75" customHeight="1" x14ac:dyDescent="0.2">
      <c r="B86" s="16" t="s">
        <v>122</v>
      </c>
      <c r="F86" s="44"/>
      <c r="G86" s="14"/>
      <c r="H86" s="14"/>
      <c r="I86" s="15"/>
      <c r="J86" s="56"/>
      <c r="K86" s="36"/>
      <c r="L86"/>
    </row>
    <row r="87" spans="1:13" s="46" customFormat="1" ht="12.75" customHeight="1" x14ac:dyDescent="0.2">
      <c r="B87" s="31" t="s">
        <v>289</v>
      </c>
      <c r="C87" s="16"/>
      <c r="D87"/>
      <c r="E87" s="28"/>
      <c r="F87" s="13"/>
      <c r="G87" s="14"/>
      <c r="H87" s="14"/>
      <c r="I87" s="71"/>
      <c r="J87" s="55"/>
      <c r="K87" s="48"/>
    </row>
    <row r="88" spans="1:13" s="46" customFormat="1" ht="12.75" customHeight="1" x14ac:dyDescent="0.2">
      <c r="A88" s="77">
        <f>+MAX($A$8:A87)+1</f>
        <v>63</v>
      </c>
      <c r="B88" s="65" t="s">
        <v>488</v>
      </c>
      <c r="C88" s="93" t="s">
        <v>470</v>
      </c>
      <c r="D88" t="s">
        <v>414</v>
      </c>
      <c r="E88" s="28">
        <v>40</v>
      </c>
      <c r="F88" s="13">
        <v>397.46679999999998</v>
      </c>
      <c r="G88" s="76">
        <f t="shared" ref="G88:G93" si="3">+ROUND(F88/VLOOKUP("Grand Total",$B$4:$F$288,5,0),4)</f>
        <v>2.2599999999999999E-2</v>
      </c>
      <c r="H88" s="76"/>
      <c r="I88" s="64">
        <v>43671</v>
      </c>
      <c r="J88" s="55"/>
      <c r="K88" s="48"/>
    </row>
    <row r="89" spans="1:13" s="46" customFormat="1" ht="12.75" customHeight="1" x14ac:dyDescent="0.2">
      <c r="A89" s="77">
        <f>+MAX($A$8:A88)+1</f>
        <v>64</v>
      </c>
      <c r="B89" s="65" t="s">
        <v>328</v>
      </c>
      <c r="C89" s="93" t="s">
        <v>329</v>
      </c>
      <c r="D89" t="s">
        <v>489</v>
      </c>
      <c r="E89" s="28">
        <v>33</v>
      </c>
      <c r="F89" s="13">
        <v>331.15532999999999</v>
      </c>
      <c r="G89" s="76">
        <f t="shared" si="3"/>
        <v>1.8800000000000001E-2</v>
      </c>
      <c r="H89" s="76"/>
      <c r="I89" s="64">
        <v>43309</v>
      </c>
      <c r="J89" s="55"/>
      <c r="K89" s="48"/>
    </row>
    <row r="90" spans="1:13" s="46" customFormat="1" ht="12.75" customHeight="1" x14ac:dyDescent="0.2">
      <c r="A90" s="77">
        <f>+MAX($A$8:A89)+1</f>
        <v>65</v>
      </c>
      <c r="B90" s="65" t="s">
        <v>445</v>
      </c>
      <c r="C90" s="93" t="s">
        <v>446</v>
      </c>
      <c r="D90" t="s">
        <v>276</v>
      </c>
      <c r="E90" s="28">
        <v>30</v>
      </c>
      <c r="F90" s="13">
        <v>298.2756</v>
      </c>
      <c r="G90" s="76">
        <f t="shared" si="3"/>
        <v>1.7000000000000001E-2</v>
      </c>
      <c r="H90" s="76"/>
      <c r="I90" s="64">
        <v>43630</v>
      </c>
      <c r="J90" s="55"/>
      <c r="K90" s="48"/>
    </row>
    <row r="91" spans="1:13" s="46" customFormat="1" ht="12.75" customHeight="1" x14ac:dyDescent="0.2">
      <c r="A91" s="77">
        <f>+MAX($A$8:A90)+1</f>
        <v>66</v>
      </c>
      <c r="B91" s="65" t="s">
        <v>337</v>
      </c>
      <c r="C91" s="93" t="s">
        <v>490</v>
      </c>
      <c r="D91" t="s">
        <v>338</v>
      </c>
      <c r="E91" s="28">
        <v>20000</v>
      </c>
      <c r="F91" s="13">
        <v>200.65479999999999</v>
      </c>
      <c r="G91" s="76">
        <f t="shared" si="3"/>
        <v>1.14E-2</v>
      </c>
      <c r="H91" s="76"/>
      <c r="I91" s="64">
        <v>43717</v>
      </c>
      <c r="J91" s="55"/>
      <c r="K91" s="48"/>
    </row>
    <row r="92" spans="1:13" s="46" customFormat="1" ht="12.75" customHeight="1" x14ac:dyDescent="0.2">
      <c r="A92" s="77">
        <f>+MAX($A$8:A91)+1</f>
        <v>67</v>
      </c>
      <c r="B92" s="65" t="s">
        <v>468</v>
      </c>
      <c r="C92" s="93" t="s">
        <v>469</v>
      </c>
      <c r="D92" t="s">
        <v>106</v>
      </c>
      <c r="E92" s="28">
        <v>8</v>
      </c>
      <c r="F92" s="13">
        <v>101.0642</v>
      </c>
      <c r="G92" s="76">
        <f t="shared" si="3"/>
        <v>5.7000000000000002E-3</v>
      </c>
      <c r="H92" s="76"/>
      <c r="I92" s="64">
        <v>43757</v>
      </c>
      <c r="J92" s="55"/>
      <c r="K92" s="48"/>
    </row>
    <row r="93" spans="1:13" s="46" customFormat="1" ht="12.75" customHeight="1" x14ac:dyDescent="0.2">
      <c r="A93" s="77">
        <f>+MAX($A$8:A92)+1</f>
        <v>68</v>
      </c>
      <c r="B93" s="65" t="s">
        <v>388</v>
      </c>
      <c r="C93" s="93" t="s">
        <v>389</v>
      </c>
      <c r="D93" t="s">
        <v>338</v>
      </c>
      <c r="E93" s="28">
        <v>4</v>
      </c>
      <c r="F93" s="13">
        <v>40.022680000000001</v>
      </c>
      <c r="G93" s="76">
        <f t="shared" si="3"/>
        <v>2.3E-3</v>
      </c>
      <c r="H93" s="76"/>
      <c r="I93" s="64">
        <v>43322</v>
      </c>
      <c r="J93" s="55"/>
      <c r="K93" s="48"/>
    </row>
    <row r="94" spans="1:13" ht="12.75" customHeight="1" x14ac:dyDescent="0.2">
      <c r="A94" s="46"/>
      <c r="B94" s="18" t="s">
        <v>83</v>
      </c>
      <c r="C94" s="18"/>
      <c r="D94" s="18"/>
      <c r="E94" s="29"/>
      <c r="F94" s="19">
        <f>SUM(F88:F93)</f>
        <v>1368.63941</v>
      </c>
      <c r="G94" s="20">
        <f>SUM(G88:G93)</f>
        <v>7.7799999999999994E-2</v>
      </c>
      <c r="H94" s="20"/>
      <c r="I94" s="63"/>
      <c r="J94" s="56"/>
      <c r="K94" s="48"/>
      <c r="L94" s="46"/>
      <c r="M94" s="46"/>
    </row>
    <row r="95" spans="1:13" ht="12.75" customHeight="1" x14ac:dyDescent="0.2">
      <c r="F95" s="44"/>
      <c r="G95" s="14"/>
      <c r="H95" s="14"/>
      <c r="I95" s="15"/>
      <c r="J95" s="56"/>
      <c r="K95" s="36"/>
      <c r="L95"/>
    </row>
    <row r="96" spans="1:13" ht="12.75" customHeight="1" x14ac:dyDescent="0.2">
      <c r="B96" s="16" t="s">
        <v>90</v>
      </c>
      <c r="C96" s="16"/>
      <c r="F96" s="13"/>
      <c r="G96" s="14"/>
      <c r="H96" s="14"/>
      <c r="I96" s="73"/>
      <c r="J96"/>
      <c r="K96" s="36"/>
      <c r="L96"/>
    </row>
    <row r="97" spans="1:12" ht="12.75" customHeight="1" x14ac:dyDescent="0.2">
      <c r="A97" s="77">
        <f>+MAX($A$8:A96)+1</f>
        <v>69</v>
      </c>
      <c r="B97" t="s">
        <v>413</v>
      </c>
      <c r="C97" t="s">
        <v>331</v>
      </c>
      <c r="D97" t="s">
        <v>302</v>
      </c>
      <c r="E97" s="28">
        <v>20340.004499999999</v>
      </c>
      <c r="F97" s="13">
        <v>344.7859588</v>
      </c>
      <c r="G97" s="76">
        <f>+ROUND(F97/VLOOKUP("Grand Total",$B$4:$F$288,5,0),4)</f>
        <v>1.9599999999999999E-2</v>
      </c>
      <c r="H97" s="76"/>
      <c r="I97" s="73" t="s">
        <v>346</v>
      </c>
      <c r="J97"/>
      <c r="K97" s="36"/>
      <c r="L97"/>
    </row>
    <row r="98" spans="1:12" ht="12.75" customHeight="1" x14ac:dyDescent="0.2">
      <c r="B98" s="18" t="s">
        <v>83</v>
      </c>
      <c r="C98" s="18"/>
      <c r="D98" s="18"/>
      <c r="E98" s="29"/>
      <c r="F98" s="19">
        <f>SUM(F97:F97)</f>
        <v>344.7859588</v>
      </c>
      <c r="G98" s="20">
        <f>SUM(G97)</f>
        <v>1.9599999999999999E-2</v>
      </c>
      <c r="H98" s="20"/>
      <c r="I98" s="21"/>
      <c r="J98"/>
      <c r="K98" s="36"/>
      <c r="L98"/>
    </row>
    <row r="99" spans="1:12" s="46" customFormat="1" ht="12.75" customHeight="1" x14ac:dyDescent="0.2">
      <c r="B99" s="67"/>
      <c r="C99" s="67"/>
      <c r="D99" s="67"/>
      <c r="E99" s="68"/>
      <c r="F99" s="69"/>
      <c r="G99" s="70"/>
      <c r="H99" s="70"/>
      <c r="K99" s="48"/>
    </row>
    <row r="100" spans="1:12" ht="12.75" customHeight="1" x14ac:dyDescent="0.2">
      <c r="A100" s="95" t="s">
        <v>345</v>
      </c>
      <c r="B100" s="16" t="s">
        <v>91</v>
      </c>
      <c r="C100" s="16"/>
      <c r="F100" s="13">
        <v>309.83048500000001</v>
      </c>
      <c r="G100" s="76">
        <f>+ROUND(F100/VLOOKUP("Grand Total",$B$4:$F$288,5,0),4)</f>
        <v>1.7600000000000001E-2</v>
      </c>
      <c r="H100" s="76"/>
      <c r="I100" s="15">
        <v>43222</v>
      </c>
      <c r="J100" s="55"/>
    </row>
    <row r="101" spans="1:12" ht="12.75" customHeight="1" x14ac:dyDescent="0.2">
      <c r="B101" s="18" t="s">
        <v>83</v>
      </c>
      <c r="C101" s="18"/>
      <c r="D101" s="18"/>
      <c r="E101" s="29"/>
      <c r="F101" s="19">
        <f>SUM(F100)</f>
        <v>309.83048500000001</v>
      </c>
      <c r="G101" s="20">
        <f>SUM(G100)</f>
        <v>1.7600000000000001E-2</v>
      </c>
      <c r="H101" s="20"/>
      <c r="I101" s="21"/>
      <c r="J101" s="56"/>
    </row>
    <row r="102" spans="1:12" ht="12.75" customHeight="1" x14ac:dyDescent="0.2">
      <c r="F102" s="13"/>
      <c r="G102" s="14"/>
      <c r="H102" s="14"/>
      <c r="I102" s="15"/>
      <c r="J102" s="56"/>
    </row>
    <row r="103" spans="1:12" ht="12.75" customHeight="1" x14ac:dyDescent="0.2">
      <c r="B103" s="16" t="s">
        <v>92</v>
      </c>
      <c r="C103" s="16"/>
      <c r="F103" s="13"/>
      <c r="G103" s="14"/>
      <c r="H103" s="14"/>
      <c r="I103" s="15"/>
      <c r="J103" s="56"/>
    </row>
    <row r="104" spans="1:12" ht="12.75" customHeight="1" x14ac:dyDescent="0.2">
      <c r="B104" s="16" t="s">
        <v>93</v>
      </c>
      <c r="C104" s="16"/>
      <c r="F104" s="44">
        <f>+F106-SUMIF($B$5:B103,"Total",$F$5:F103)</f>
        <v>970.35043779999978</v>
      </c>
      <c r="G104" s="14">
        <f>+ROUND(F104/VLOOKUP("Grand Total",$B$4:$F$269,5,0),4)-0.02%</f>
        <v>5.5E-2</v>
      </c>
      <c r="H104" s="14"/>
      <c r="I104" s="15"/>
      <c r="J104" s="55"/>
    </row>
    <row r="105" spans="1:12" ht="12.75" customHeight="1" x14ac:dyDescent="0.2">
      <c r="B105" s="18" t="s">
        <v>83</v>
      </c>
      <c r="C105" s="18"/>
      <c r="D105" s="18"/>
      <c r="E105" s="29"/>
      <c r="F105" s="19">
        <f>SUM(F104)</f>
        <v>970.35043779999978</v>
      </c>
      <c r="G105" s="20">
        <f>SUM(G104)</f>
        <v>5.5E-2</v>
      </c>
      <c r="H105" s="20"/>
      <c r="I105" s="21"/>
      <c r="J105" s="39"/>
    </row>
    <row r="106" spans="1:12" ht="12.75" customHeight="1" x14ac:dyDescent="0.2">
      <c r="B106" s="22" t="s">
        <v>94</v>
      </c>
      <c r="C106" s="22"/>
      <c r="D106" s="22"/>
      <c r="E106" s="30"/>
      <c r="F106" s="23">
        <v>17593.940577599999</v>
      </c>
      <c r="G106" s="24">
        <f>+SUMIF($B$5:B105,"Total",$G$5:G105)</f>
        <v>1</v>
      </c>
      <c r="H106" s="24"/>
      <c r="I106" s="25"/>
      <c r="L106"/>
    </row>
    <row r="107" spans="1:12" ht="12.75" customHeight="1" x14ac:dyDescent="0.2">
      <c r="F107" s="40"/>
      <c r="L107"/>
    </row>
    <row r="108" spans="1:12" ht="12.75" customHeight="1" x14ac:dyDescent="0.2">
      <c r="B108" s="16" t="s">
        <v>565</v>
      </c>
      <c r="C108" s="16"/>
      <c r="F108" s="42"/>
      <c r="L108"/>
    </row>
    <row r="109" spans="1:12" ht="12.75" customHeight="1" x14ac:dyDescent="0.2">
      <c r="B109" s="16" t="s">
        <v>181</v>
      </c>
      <c r="C109" s="16"/>
      <c r="G109" s="14"/>
      <c r="H109" s="14"/>
      <c r="L109"/>
    </row>
    <row r="110" spans="1:12" ht="12.75" customHeight="1" x14ac:dyDescent="0.2">
      <c r="B110" s="16"/>
      <c r="C110" s="16"/>
      <c r="L110"/>
    </row>
    <row r="111" spans="1:12" ht="12.75" customHeight="1" x14ac:dyDescent="0.2">
      <c r="L111"/>
    </row>
    <row r="112" spans="1:12" ht="12.75" customHeight="1" x14ac:dyDescent="0.2">
      <c r="L112"/>
    </row>
    <row r="113" spans="5:12" ht="12.75" customHeight="1" x14ac:dyDescent="0.2">
      <c r="L113"/>
    </row>
    <row r="114" spans="5:12" ht="12.75" customHeight="1" x14ac:dyDescent="0.2">
      <c r="L114"/>
    </row>
    <row r="115" spans="5:12" ht="12.75" customHeight="1" x14ac:dyDescent="0.2">
      <c r="L115"/>
    </row>
    <row r="116" spans="5:12" ht="12.75" customHeight="1" x14ac:dyDescent="0.2">
      <c r="L116"/>
    </row>
    <row r="117" spans="5:12" ht="12.75" customHeight="1" x14ac:dyDescent="0.2">
      <c r="L117"/>
    </row>
    <row r="118" spans="5:12" ht="12.75" customHeight="1" x14ac:dyDescent="0.2">
      <c r="L118"/>
    </row>
    <row r="119" spans="5:12" ht="12.75" customHeight="1" x14ac:dyDescent="0.2">
      <c r="J119"/>
      <c r="L119"/>
    </row>
    <row r="120" spans="5:12" ht="12.75" customHeight="1" x14ac:dyDescent="0.2">
      <c r="E120"/>
      <c r="J120"/>
      <c r="L120"/>
    </row>
    <row r="121" spans="5:12" ht="12.75" customHeight="1" x14ac:dyDescent="0.2">
      <c r="E121"/>
      <c r="J121"/>
      <c r="L121"/>
    </row>
    <row r="122" spans="5:12" ht="12.75" customHeight="1" x14ac:dyDescent="0.2">
      <c r="E122"/>
      <c r="J122"/>
      <c r="L122"/>
    </row>
    <row r="123" spans="5:12" ht="12.75" customHeight="1" x14ac:dyDescent="0.2">
      <c r="E123"/>
      <c r="J123"/>
      <c r="L123"/>
    </row>
    <row r="124" spans="5:12" ht="12.75" customHeight="1" x14ac:dyDescent="0.2">
      <c r="E124"/>
      <c r="J124"/>
      <c r="L124"/>
    </row>
    <row r="125" spans="5:12" ht="12.75" customHeight="1" x14ac:dyDescent="0.2">
      <c r="E125"/>
      <c r="J125"/>
      <c r="L125"/>
    </row>
    <row r="126" spans="5:12" ht="12.75" customHeight="1" x14ac:dyDescent="0.2">
      <c r="E126"/>
      <c r="J126"/>
      <c r="L126"/>
    </row>
    <row r="127" spans="5:12" ht="12.75" customHeight="1" x14ac:dyDescent="0.2">
      <c r="E127"/>
      <c r="J127"/>
      <c r="L127"/>
    </row>
    <row r="128" spans="5:12" ht="12.75" customHeight="1" x14ac:dyDescent="0.2">
      <c r="E128"/>
      <c r="J128"/>
      <c r="L128"/>
    </row>
    <row r="129" spans="5:12" ht="12.75" customHeight="1" x14ac:dyDescent="0.2">
      <c r="E129"/>
      <c r="J129"/>
      <c r="L129"/>
    </row>
    <row r="130" spans="5:12" ht="12.75" customHeight="1" x14ac:dyDescent="0.2">
      <c r="E130"/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</row>
  </sheetData>
  <sheetProtection password="EDB3" sheet="1" objects="1" scenarios="1"/>
  <sortState ref="K9:L31">
    <sortCondition descending="1" ref="L9:L31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353</v>
      </c>
      <c r="B1" s="128" t="s">
        <v>159</v>
      </c>
      <c r="C1" s="129"/>
      <c r="D1" s="129"/>
      <c r="E1" s="129"/>
      <c r="F1" s="129"/>
      <c r="G1" s="129"/>
      <c r="H1" s="130"/>
    </row>
    <row r="2" spans="1:16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381</v>
      </c>
      <c r="C8" s="16"/>
      <c r="F8" s="13"/>
      <c r="G8" s="14"/>
      <c r="H8" s="15"/>
      <c r="J8" s="17" t="s">
        <v>586</v>
      </c>
      <c r="K8" s="37" t="s">
        <v>11</v>
      </c>
    </row>
    <row r="9" spans="1:16" ht="12.75" customHeight="1" x14ac:dyDescent="0.2">
      <c r="A9">
        <f>+MAX($A$8:A8)+1</f>
        <v>1</v>
      </c>
      <c r="B9" t="s">
        <v>186</v>
      </c>
      <c r="C9" t="s">
        <v>12</v>
      </c>
      <c r="D9" t="s">
        <v>9</v>
      </c>
      <c r="E9" s="28">
        <v>89534</v>
      </c>
      <c r="F9" s="13">
        <v>1740.8095619999999</v>
      </c>
      <c r="G9" s="14">
        <f t="shared" ref="G9:G40" si="0">+ROUND(F9/VLOOKUP("Grand Total",$B$4:$F$277,5,0),4)</f>
        <v>4.2599999999999999E-2</v>
      </c>
      <c r="H9" s="15" t="s">
        <v>346</v>
      </c>
      <c r="J9" s="14" t="s">
        <v>9</v>
      </c>
      <c r="K9" s="48">
        <f t="shared" ref="K9:K32" si="1">SUMIFS($G$5:$G$314,$D$5:$D$314,J9)</f>
        <v>0.18920000000000003</v>
      </c>
    </row>
    <row r="10" spans="1:16" ht="12.75" customHeight="1" x14ac:dyDescent="0.2">
      <c r="A10">
        <f>+MAX($A$8:A9)+1</f>
        <v>2</v>
      </c>
      <c r="B10" t="s">
        <v>189</v>
      </c>
      <c r="C10" t="s">
        <v>10</v>
      </c>
      <c r="D10" t="s">
        <v>9</v>
      </c>
      <c r="E10" s="28">
        <v>477443</v>
      </c>
      <c r="F10" s="13">
        <v>1356.893006</v>
      </c>
      <c r="G10" s="14">
        <f t="shared" si="0"/>
        <v>3.32E-2</v>
      </c>
      <c r="H10" s="15" t="s">
        <v>346</v>
      </c>
      <c r="J10" s="14" t="s">
        <v>24</v>
      </c>
      <c r="K10" s="48">
        <f t="shared" si="1"/>
        <v>0.126</v>
      </c>
    </row>
    <row r="11" spans="1:16" ht="12.75" customHeight="1" x14ac:dyDescent="0.2">
      <c r="A11">
        <f>+MAX($A$8:A10)+1</f>
        <v>3</v>
      </c>
      <c r="B11" t="s">
        <v>187</v>
      </c>
      <c r="C11" t="s">
        <v>14</v>
      </c>
      <c r="D11" t="s">
        <v>13</v>
      </c>
      <c r="E11" s="28">
        <v>103297</v>
      </c>
      <c r="F11" s="13">
        <v>1239.047515</v>
      </c>
      <c r="G11" s="14">
        <f t="shared" si="0"/>
        <v>3.0300000000000001E-2</v>
      </c>
      <c r="H11" s="15" t="s">
        <v>346</v>
      </c>
      <c r="J11" s="14" t="s">
        <v>13</v>
      </c>
      <c r="K11" s="48">
        <f t="shared" si="1"/>
        <v>7.6200000000000004E-2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188</v>
      </c>
      <c r="C12" t="s">
        <v>29</v>
      </c>
      <c r="D12" t="s">
        <v>28</v>
      </c>
      <c r="E12" s="28">
        <v>125452</v>
      </c>
      <c r="F12" s="13">
        <v>1208.479116</v>
      </c>
      <c r="G12" s="14">
        <f t="shared" si="0"/>
        <v>2.9600000000000001E-2</v>
      </c>
      <c r="H12" s="15" t="s">
        <v>346</v>
      </c>
      <c r="J12" s="14" t="s">
        <v>22</v>
      </c>
      <c r="K12" s="48">
        <f t="shared" si="1"/>
        <v>6.5199999999999994E-2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219</v>
      </c>
      <c r="C13" t="s">
        <v>69</v>
      </c>
      <c r="D13" t="s">
        <v>26</v>
      </c>
      <c r="E13" s="28">
        <v>85362</v>
      </c>
      <c r="F13" s="13">
        <v>1195.836258</v>
      </c>
      <c r="G13" s="14">
        <f t="shared" si="0"/>
        <v>2.93E-2</v>
      </c>
      <c r="H13" s="15" t="s">
        <v>346</v>
      </c>
      <c r="J13" s="14" t="s">
        <v>26</v>
      </c>
      <c r="K13" s="48">
        <f t="shared" si="1"/>
        <v>5.3800000000000001E-2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192</v>
      </c>
      <c r="C14" t="s">
        <v>25</v>
      </c>
      <c r="D14" t="s">
        <v>22</v>
      </c>
      <c r="E14" s="28">
        <v>58670</v>
      </c>
      <c r="F14" s="13">
        <v>1104.902775</v>
      </c>
      <c r="G14" s="14">
        <f t="shared" si="0"/>
        <v>2.7E-2</v>
      </c>
      <c r="H14" s="15" t="s">
        <v>346</v>
      </c>
      <c r="J14" s="14" t="s">
        <v>34</v>
      </c>
      <c r="K14" s="48">
        <f t="shared" si="1"/>
        <v>5.33E-2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299</v>
      </c>
      <c r="C15" t="s">
        <v>300</v>
      </c>
      <c r="D15" t="s">
        <v>140</v>
      </c>
      <c r="E15" s="28">
        <v>166066</v>
      </c>
      <c r="F15" s="13">
        <v>1089.642059</v>
      </c>
      <c r="G15" s="14">
        <f t="shared" si="0"/>
        <v>2.6700000000000002E-2</v>
      </c>
      <c r="H15" s="15" t="s">
        <v>346</v>
      </c>
      <c r="J15" s="14" t="s">
        <v>19</v>
      </c>
      <c r="K15" s="48">
        <f t="shared" si="1"/>
        <v>5.16E-2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195</v>
      </c>
      <c r="C16" t="s">
        <v>44</v>
      </c>
      <c r="D16" t="s">
        <v>24</v>
      </c>
      <c r="E16" s="28">
        <v>361866</v>
      </c>
      <c r="F16" s="13">
        <v>1018.471857</v>
      </c>
      <c r="G16" s="14">
        <f t="shared" si="0"/>
        <v>2.4899999999999999E-2</v>
      </c>
      <c r="H16" s="15" t="s">
        <v>346</v>
      </c>
      <c r="J16" s="14" t="s">
        <v>17</v>
      </c>
      <c r="K16" s="48">
        <f t="shared" si="1"/>
        <v>4.3899999999999995E-2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191</v>
      </c>
      <c r="C17" t="s">
        <v>23</v>
      </c>
      <c r="D17" t="s">
        <v>13</v>
      </c>
      <c r="E17" s="28">
        <v>90069</v>
      </c>
      <c r="F17" s="13">
        <v>948.20139749999998</v>
      </c>
      <c r="G17" s="14">
        <f t="shared" si="0"/>
        <v>2.3199999999999998E-2</v>
      </c>
      <c r="H17" s="15" t="s">
        <v>346</v>
      </c>
      <c r="J17" s="14" t="s">
        <v>130</v>
      </c>
      <c r="K17" s="48">
        <f t="shared" si="1"/>
        <v>4.2900000000000001E-2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292</v>
      </c>
      <c r="C18" t="s">
        <v>55</v>
      </c>
      <c r="D18" t="s">
        <v>24</v>
      </c>
      <c r="E18" s="28">
        <v>58253</v>
      </c>
      <c r="F18" s="13">
        <v>947.74718349999989</v>
      </c>
      <c r="G18" s="14">
        <f t="shared" si="0"/>
        <v>2.3199999999999998E-2</v>
      </c>
      <c r="H18" s="15" t="s">
        <v>346</v>
      </c>
      <c r="J18" s="14" t="s">
        <v>21</v>
      </c>
      <c r="K18" s="48">
        <f t="shared" si="1"/>
        <v>4.2699999999999995E-2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15</v>
      </c>
      <c r="C19" t="s">
        <v>16</v>
      </c>
      <c r="D19" t="s">
        <v>9</v>
      </c>
      <c r="E19" s="28">
        <v>383301</v>
      </c>
      <c r="F19" s="13">
        <v>944.453664</v>
      </c>
      <c r="G19" s="14">
        <f t="shared" si="0"/>
        <v>2.3099999999999999E-2</v>
      </c>
      <c r="H19" s="15" t="s">
        <v>346</v>
      </c>
      <c r="J19" s="14" t="s">
        <v>39</v>
      </c>
      <c r="K19" s="48">
        <f t="shared" si="1"/>
        <v>3.5199999999999995E-2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225</v>
      </c>
      <c r="C20" t="s">
        <v>76</v>
      </c>
      <c r="D20" t="s">
        <v>24</v>
      </c>
      <c r="E20" s="28">
        <v>26016</v>
      </c>
      <c r="F20" s="13">
        <v>942.35155200000008</v>
      </c>
      <c r="G20" s="14">
        <f t="shared" si="0"/>
        <v>2.3099999999999999E-2</v>
      </c>
      <c r="H20" s="15" t="s">
        <v>346</v>
      </c>
      <c r="J20" s="14" t="s">
        <v>36</v>
      </c>
      <c r="K20" s="48">
        <f t="shared" si="1"/>
        <v>3.1699999999999999E-2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210</v>
      </c>
      <c r="C21" t="s">
        <v>18</v>
      </c>
      <c r="D21" t="s">
        <v>13</v>
      </c>
      <c r="E21" s="28">
        <v>26320</v>
      </c>
      <c r="F21" s="13">
        <v>929.64872000000003</v>
      </c>
      <c r="G21" s="14">
        <f t="shared" si="0"/>
        <v>2.2700000000000001E-2</v>
      </c>
      <c r="H21" s="15" t="s">
        <v>346</v>
      </c>
      <c r="J21" t="s">
        <v>28</v>
      </c>
      <c r="K21" s="48">
        <f t="shared" si="1"/>
        <v>2.9600000000000001E-2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324</v>
      </c>
      <c r="C22" t="s">
        <v>651</v>
      </c>
      <c r="D22" t="s">
        <v>130</v>
      </c>
      <c r="E22" s="28">
        <v>345520</v>
      </c>
      <c r="F22" s="13">
        <v>901.11616000000004</v>
      </c>
      <c r="G22" s="14">
        <f t="shared" si="0"/>
        <v>2.2100000000000002E-2</v>
      </c>
      <c r="H22" s="15" t="s">
        <v>346</v>
      </c>
      <c r="J22" s="14" t="s">
        <v>140</v>
      </c>
      <c r="K22" s="48">
        <f t="shared" si="1"/>
        <v>2.6700000000000002E-2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383</v>
      </c>
      <c r="C23" t="s">
        <v>384</v>
      </c>
      <c r="D23" t="s">
        <v>385</v>
      </c>
      <c r="E23" s="28">
        <v>424966</v>
      </c>
      <c r="F23" s="13">
        <v>831.02101299999993</v>
      </c>
      <c r="G23" s="14">
        <f t="shared" si="0"/>
        <v>2.0299999999999999E-2</v>
      </c>
      <c r="H23" s="15" t="s">
        <v>346</v>
      </c>
      <c r="J23" s="14" t="s">
        <v>385</v>
      </c>
      <c r="K23" s="48">
        <f t="shared" si="1"/>
        <v>2.0299999999999999E-2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293</v>
      </c>
      <c r="C24" t="s">
        <v>74</v>
      </c>
      <c r="D24" t="s">
        <v>36</v>
      </c>
      <c r="E24" s="28">
        <v>224228</v>
      </c>
      <c r="F24" s="13">
        <v>814.6203240000001</v>
      </c>
      <c r="G24" s="14">
        <f t="shared" si="0"/>
        <v>1.9900000000000001E-2</v>
      </c>
      <c r="H24" s="15" t="s">
        <v>346</v>
      </c>
      <c r="J24" s="14" t="s">
        <v>43</v>
      </c>
      <c r="K24" s="48">
        <f t="shared" si="1"/>
        <v>1.9E-2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218</v>
      </c>
      <c r="C25" t="s">
        <v>64</v>
      </c>
      <c r="D25" t="s">
        <v>26</v>
      </c>
      <c r="E25" s="28">
        <v>198268</v>
      </c>
      <c r="F25" s="13">
        <v>805.26548200000002</v>
      </c>
      <c r="G25" s="14">
        <f t="shared" si="0"/>
        <v>1.9699999999999999E-2</v>
      </c>
      <c r="H25" s="15" t="s">
        <v>346</v>
      </c>
      <c r="J25" s="14" t="s">
        <v>450</v>
      </c>
      <c r="K25" s="48">
        <f t="shared" si="1"/>
        <v>1.54E-2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197</v>
      </c>
      <c r="C26" t="s">
        <v>46</v>
      </c>
      <c r="D26" t="s">
        <v>24</v>
      </c>
      <c r="E26" s="28">
        <v>14166</v>
      </c>
      <c r="F26" s="13">
        <v>780.99991199999999</v>
      </c>
      <c r="G26" s="14">
        <f t="shared" si="0"/>
        <v>1.9099999999999999E-2</v>
      </c>
      <c r="H26" s="15" t="s">
        <v>346</v>
      </c>
      <c r="J26" s="14" t="s">
        <v>35</v>
      </c>
      <c r="K26" s="48">
        <f t="shared" si="1"/>
        <v>1.32E-2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237</v>
      </c>
      <c r="C27" t="s">
        <v>113</v>
      </c>
      <c r="D27" t="s">
        <v>34</v>
      </c>
      <c r="E27" s="28">
        <v>447200</v>
      </c>
      <c r="F27" s="13">
        <v>769.85479999999995</v>
      </c>
      <c r="G27" s="14">
        <f t="shared" si="0"/>
        <v>1.8800000000000001E-2</v>
      </c>
      <c r="H27" s="15" t="s">
        <v>346</v>
      </c>
      <c r="J27" s="14" t="s">
        <v>49</v>
      </c>
      <c r="K27" s="48">
        <f t="shared" si="1"/>
        <v>1.2E-2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369</v>
      </c>
      <c r="C28" t="s">
        <v>368</v>
      </c>
      <c r="D28" t="s">
        <v>24</v>
      </c>
      <c r="E28" s="28">
        <v>208229</v>
      </c>
      <c r="F28" s="13">
        <v>769.19792599999994</v>
      </c>
      <c r="G28" s="14">
        <f t="shared" si="0"/>
        <v>1.8800000000000001E-2</v>
      </c>
      <c r="H28" s="15" t="s">
        <v>346</v>
      </c>
      <c r="J28" t="s">
        <v>41</v>
      </c>
      <c r="K28" s="48">
        <f t="shared" si="1"/>
        <v>1.0999999999999999E-2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525</v>
      </c>
      <c r="C29" t="s">
        <v>526</v>
      </c>
      <c r="D29" t="s">
        <v>34</v>
      </c>
      <c r="E29" s="28">
        <v>855000</v>
      </c>
      <c r="F29" s="13">
        <v>754.96500000000003</v>
      </c>
      <c r="G29" s="14">
        <f t="shared" si="0"/>
        <v>1.8499999999999999E-2</v>
      </c>
      <c r="H29" s="15" t="s">
        <v>346</v>
      </c>
      <c r="J29" s="14" t="s">
        <v>30</v>
      </c>
      <c r="K29" s="48">
        <f t="shared" si="1"/>
        <v>7.4000000000000003E-3</v>
      </c>
      <c r="L29" s="54">
        <f>+SUM($K$9:K27)</f>
        <v>0.94789999999999985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262</v>
      </c>
      <c r="C30" t="s">
        <v>143</v>
      </c>
      <c r="D30" t="s">
        <v>39</v>
      </c>
      <c r="E30" s="28">
        <v>90103</v>
      </c>
      <c r="F30" s="13">
        <v>753.5313890000001</v>
      </c>
      <c r="G30" s="14">
        <f t="shared" si="0"/>
        <v>1.84E-2</v>
      </c>
      <c r="H30" s="15" t="s">
        <v>346</v>
      </c>
      <c r="J30" s="14" t="s">
        <v>401</v>
      </c>
      <c r="K30" s="48">
        <f t="shared" si="1"/>
        <v>6.4000000000000003E-3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527</v>
      </c>
      <c r="C31" t="s">
        <v>528</v>
      </c>
      <c r="D31" t="s">
        <v>24</v>
      </c>
      <c r="E31" s="28">
        <v>11310</v>
      </c>
      <c r="F31" s="13">
        <v>690.00613499999997</v>
      </c>
      <c r="G31" s="14">
        <f t="shared" si="0"/>
        <v>1.6899999999999998E-2</v>
      </c>
      <c r="H31" s="15" t="s">
        <v>346</v>
      </c>
      <c r="J31" s="14" t="s">
        <v>32</v>
      </c>
      <c r="K31" s="48">
        <f t="shared" si="1"/>
        <v>6.4000000000000003E-3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200</v>
      </c>
      <c r="C32" t="s">
        <v>50</v>
      </c>
      <c r="D32" t="s">
        <v>39</v>
      </c>
      <c r="E32" s="28">
        <v>588703</v>
      </c>
      <c r="F32" s="13">
        <v>687.31075250000004</v>
      </c>
      <c r="G32" s="14">
        <f t="shared" si="0"/>
        <v>1.6799999999999999E-2</v>
      </c>
      <c r="H32" s="15" t="s">
        <v>346</v>
      </c>
      <c r="J32" s="14" t="s">
        <v>100</v>
      </c>
      <c r="K32" s="48">
        <f t="shared" si="1"/>
        <v>0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206</v>
      </c>
      <c r="C33" t="s">
        <v>96</v>
      </c>
      <c r="D33" t="s">
        <v>9</v>
      </c>
      <c r="E33" s="28">
        <v>54915</v>
      </c>
      <c r="F33" s="13">
        <v>665.07556499999998</v>
      </c>
      <c r="G33" s="14">
        <f t="shared" si="0"/>
        <v>1.6299999999999999E-2</v>
      </c>
      <c r="H33" s="15" t="s">
        <v>346</v>
      </c>
      <c r="J33" s="14" t="s">
        <v>62</v>
      </c>
      <c r="K33" s="48">
        <f>+SUMIFS($G$5:$G$998,$B$5:$B$998,"CBLO / Reverse Repo Investments")+SUMIFS($G$5:$G$998,$B$5:$B$998,"Net Receivable/Payable")</f>
        <v>2.0900000000000002E-2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294</v>
      </c>
      <c r="C34" t="s">
        <v>65</v>
      </c>
      <c r="D34" t="s">
        <v>17</v>
      </c>
      <c r="E34" s="28">
        <v>435230</v>
      </c>
      <c r="F34" s="13">
        <v>640.00571500000001</v>
      </c>
      <c r="G34" s="14">
        <f t="shared" si="0"/>
        <v>1.5699999999999999E-2</v>
      </c>
      <c r="H34" s="15" t="s">
        <v>346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205</v>
      </c>
      <c r="C35" t="s">
        <v>72</v>
      </c>
      <c r="D35" t="s">
        <v>450</v>
      </c>
      <c r="E35" s="28">
        <v>424687</v>
      </c>
      <c r="F35" s="13">
        <v>628.32441649999998</v>
      </c>
      <c r="G35" s="14">
        <f t="shared" si="0"/>
        <v>1.54E-2</v>
      </c>
      <c r="H35" s="15" t="s">
        <v>346</v>
      </c>
    </row>
    <row r="36" spans="1:16" ht="12.75" customHeight="1" x14ac:dyDescent="0.2">
      <c r="A36">
        <f>+MAX($A$8:A35)+1</f>
        <v>28</v>
      </c>
      <c r="B36" t="s">
        <v>235</v>
      </c>
      <c r="C36" t="s">
        <v>110</v>
      </c>
      <c r="D36" t="s">
        <v>19</v>
      </c>
      <c r="E36" s="28">
        <v>16598</v>
      </c>
      <c r="F36" s="13">
        <v>619.47885499999995</v>
      </c>
      <c r="G36" s="14">
        <f t="shared" si="0"/>
        <v>1.52E-2</v>
      </c>
      <c r="H36" s="15" t="s">
        <v>346</v>
      </c>
    </row>
    <row r="37" spans="1:16" ht="12.75" customHeight="1" x14ac:dyDescent="0.2">
      <c r="A37">
        <f>+MAX($A$8:A36)+1</f>
        <v>29</v>
      </c>
      <c r="B37" t="s">
        <v>652</v>
      </c>
      <c r="C37" t="s">
        <v>653</v>
      </c>
      <c r="D37" t="s">
        <v>22</v>
      </c>
      <c r="E37" s="28">
        <v>140000</v>
      </c>
      <c r="F37" s="13">
        <v>596.82000000000005</v>
      </c>
      <c r="G37" s="14">
        <f t="shared" si="0"/>
        <v>1.46E-2</v>
      </c>
      <c r="H37" s="15" t="s">
        <v>346</v>
      </c>
    </row>
    <row r="38" spans="1:16" ht="12.75" customHeight="1" x14ac:dyDescent="0.2">
      <c r="A38">
        <f>+MAX($A$8:A37)+1</f>
        <v>30</v>
      </c>
      <c r="B38" t="s">
        <v>203</v>
      </c>
      <c r="C38" t="s">
        <v>47</v>
      </c>
      <c r="D38" t="s">
        <v>19</v>
      </c>
      <c r="E38" s="28">
        <v>6577</v>
      </c>
      <c r="F38" s="13">
        <v>579.75926149999998</v>
      </c>
      <c r="G38" s="14">
        <f t="shared" si="0"/>
        <v>1.4200000000000001E-2</v>
      </c>
      <c r="H38" s="15" t="s">
        <v>346</v>
      </c>
    </row>
    <row r="39" spans="1:16" ht="12.75" customHeight="1" x14ac:dyDescent="0.2">
      <c r="A39">
        <f>+MAX($A$8:A38)+1</f>
        <v>31</v>
      </c>
      <c r="B39" t="s">
        <v>587</v>
      </c>
      <c r="C39" t="s">
        <v>588</v>
      </c>
      <c r="D39" t="s">
        <v>35</v>
      </c>
      <c r="E39" s="28">
        <v>38581</v>
      </c>
      <c r="F39" s="13">
        <v>541.21426799999995</v>
      </c>
      <c r="G39" s="14">
        <f t="shared" si="0"/>
        <v>1.32E-2</v>
      </c>
      <c r="H39" s="15" t="s">
        <v>346</v>
      </c>
    </row>
    <row r="40" spans="1:16" ht="12.75" customHeight="1" x14ac:dyDescent="0.2">
      <c r="A40">
        <f>+MAX($A$8:A39)+1</f>
        <v>32</v>
      </c>
      <c r="B40" t="s">
        <v>227</v>
      </c>
      <c r="C40" t="s">
        <v>98</v>
      </c>
      <c r="D40" t="s">
        <v>19</v>
      </c>
      <c r="E40" s="28">
        <v>60750</v>
      </c>
      <c r="F40" s="13">
        <v>530.52975000000004</v>
      </c>
      <c r="G40" s="14">
        <f t="shared" si="0"/>
        <v>1.2999999999999999E-2</v>
      </c>
      <c r="H40" s="15" t="s">
        <v>346</v>
      </c>
    </row>
    <row r="41" spans="1:16" ht="12.75" customHeight="1" x14ac:dyDescent="0.2">
      <c r="A41">
        <f>+MAX($A$8:A40)+1</f>
        <v>33</v>
      </c>
      <c r="B41" t="s">
        <v>214</v>
      </c>
      <c r="C41" t="s">
        <v>61</v>
      </c>
      <c r="D41" t="s">
        <v>34</v>
      </c>
      <c r="E41" s="28">
        <v>107294</v>
      </c>
      <c r="F41" s="13">
        <v>524.13118999999995</v>
      </c>
      <c r="G41" s="14">
        <f t="shared" ref="G41:G68" si="2">+ROUND(F41/VLOOKUP("Grand Total",$B$4:$F$277,5,0),4)</f>
        <v>1.2800000000000001E-2</v>
      </c>
      <c r="H41" s="15" t="s">
        <v>346</v>
      </c>
    </row>
    <row r="42" spans="1:16" ht="12.75" customHeight="1" x14ac:dyDescent="0.2">
      <c r="A42">
        <f>+MAX($A$8:A41)+1</f>
        <v>34</v>
      </c>
      <c r="B42" t="s">
        <v>222</v>
      </c>
      <c r="C42" t="s">
        <v>77</v>
      </c>
      <c r="D42" t="s">
        <v>49</v>
      </c>
      <c r="E42" s="28">
        <v>172412</v>
      </c>
      <c r="F42" s="13">
        <v>491.37419999999997</v>
      </c>
      <c r="G42" s="14">
        <f t="shared" si="2"/>
        <v>1.2E-2</v>
      </c>
      <c r="H42" s="15" t="s">
        <v>346</v>
      </c>
    </row>
    <row r="43" spans="1:16" ht="12.75" customHeight="1" x14ac:dyDescent="0.2">
      <c r="A43">
        <f>+MAX($A$8:A42)+1</f>
        <v>35</v>
      </c>
      <c r="B43" t="s">
        <v>196</v>
      </c>
      <c r="C43" t="s">
        <v>42</v>
      </c>
      <c r="D43" t="s">
        <v>22</v>
      </c>
      <c r="E43" s="28">
        <v>75858</v>
      </c>
      <c r="F43" s="13">
        <v>486.24977999999999</v>
      </c>
      <c r="G43" s="14">
        <f t="shared" si="2"/>
        <v>1.1900000000000001E-2</v>
      </c>
      <c r="H43" s="15" t="s">
        <v>346</v>
      </c>
    </row>
    <row r="44" spans="1:16" ht="12.75" customHeight="1" x14ac:dyDescent="0.2">
      <c r="A44">
        <f>+MAX($A$8:A43)+1</f>
        <v>36</v>
      </c>
      <c r="B44" t="s">
        <v>497</v>
      </c>
      <c r="C44" t="s">
        <v>498</v>
      </c>
      <c r="D44" t="s">
        <v>130</v>
      </c>
      <c r="E44" s="28">
        <v>151654</v>
      </c>
      <c r="F44" s="13">
        <v>484.83783799999998</v>
      </c>
      <c r="G44" s="14">
        <f t="shared" si="2"/>
        <v>1.1900000000000001E-2</v>
      </c>
      <c r="H44" s="15" t="s">
        <v>346</v>
      </c>
    </row>
    <row r="45" spans="1:16" ht="12.75" customHeight="1" x14ac:dyDescent="0.2">
      <c r="A45">
        <f>+MAX($A$8:A44)+1</f>
        <v>37</v>
      </c>
      <c r="B45" t="s">
        <v>342</v>
      </c>
      <c r="C45" t="s">
        <v>343</v>
      </c>
      <c r="D45" t="s">
        <v>36</v>
      </c>
      <c r="E45" s="28">
        <v>616360</v>
      </c>
      <c r="F45" s="13">
        <v>484.15078</v>
      </c>
      <c r="G45" s="14">
        <f t="shared" si="2"/>
        <v>1.18E-2</v>
      </c>
      <c r="H45" s="15" t="s">
        <v>346</v>
      </c>
    </row>
    <row r="46" spans="1:16" ht="12.75" customHeight="1" x14ac:dyDescent="0.2">
      <c r="A46">
        <f>+MAX($A$8:A45)+1</f>
        <v>38</v>
      </c>
      <c r="B46" t="s">
        <v>496</v>
      </c>
      <c r="C46" t="s">
        <v>433</v>
      </c>
      <c r="D46" t="s">
        <v>21</v>
      </c>
      <c r="E46" s="28">
        <v>128801</v>
      </c>
      <c r="F46" s="13">
        <v>481.65133950000001</v>
      </c>
      <c r="G46" s="14">
        <f t="shared" si="2"/>
        <v>1.18E-2</v>
      </c>
      <c r="H46" s="15" t="s">
        <v>346</v>
      </c>
    </row>
    <row r="47" spans="1:16" ht="12.75" customHeight="1" x14ac:dyDescent="0.2">
      <c r="A47">
        <f>+MAX($A$8:A46)+1</f>
        <v>39</v>
      </c>
      <c r="B47" t="s">
        <v>453</v>
      </c>
      <c r="C47" t="s">
        <v>454</v>
      </c>
      <c r="D47" t="s">
        <v>22</v>
      </c>
      <c r="E47" s="28">
        <v>29674</v>
      </c>
      <c r="F47" s="13">
        <v>477.85525899999999</v>
      </c>
      <c r="G47" s="14">
        <f t="shared" si="2"/>
        <v>1.17E-2</v>
      </c>
      <c r="H47" s="15" t="s">
        <v>346</v>
      </c>
    </row>
    <row r="48" spans="1:16" ht="12.75" customHeight="1" x14ac:dyDescent="0.2">
      <c r="A48">
        <f>+MAX($A$8:A47)+1</f>
        <v>40</v>
      </c>
      <c r="B48" t="s">
        <v>199</v>
      </c>
      <c r="C48" t="s">
        <v>48</v>
      </c>
      <c r="D48" t="s">
        <v>21</v>
      </c>
      <c r="E48" s="28">
        <v>7446</v>
      </c>
      <c r="F48" s="13">
        <v>460.13673899999998</v>
      </c>
      <c r="G48" s="14">
        <f t="shared" si="2"/>
        <v>1.1299999999999999E-2</v>
      </c>
      <c r="H48" s="15" t="s">
        <v>346</v>
      </c>
    </row>
    <row r="49" spans="1:8" ht="12.75" customHeight="1" x14ac:dyDescent="0.2">
      <c r="A49">
        <f>+MAX($A$8:A48)+1</f>
        <v>41</v>
      </c>
      <c r="B49" t="s">
        <v>451</v>
      </c>
      <c r="C49" t="s">
        <v>452</v>
      </c>
      <c r="D49" t="s">
        <v>41</v>
      </c>
      <c r="E49" s="28">
        <v>40485</v>
      </c>
      <c r="F49" s="13">
        <v>450.21344249999999</v>
      </c>
      <c r="G49" s="14">
        <f t="shared" si="2"/>
        <v>1.0999999999999999E-2</v>
      </c>
      <c r="H49" s="15" t="s">
        <v>346</v>
      </c>
    </row>
    <row r="50" spans="1:8" ht="12.75" customHeight="1" x14ac:dyDescent="0.2">
      <c r="A50">
        <f>+MAX($A$8:A49)+1</f>
        <v>42</v>
      </c>
      <c r="B50" t="s">
        <v>543</v>
      </c>
      <c r="C50" t="s">
        <v>380</v>
      </c>
      <c r="D50" t="s">
        <v>9</v>
      </c>
      <c r="E50" s="28">
        <v>396203</v>
      </c>
      <c r="F50" s="13">
        <v>431.46506700000003</v>
      </c>
      <c r="G50" s="14">
        <f t="shared" si="2"/>
        <v>1.06E-2</v>
      </c>
      <c r="H50" s="15" t="s">
        <v>346</v>
      </c>
    </row>
    <row r="51" spans="1:8" ht="12.75" customHeight="1" x14ac:dyDescent="0.2">
      <c r="A51">
        <f>+MAX($A$8:A50)+1</f>
        <v>43</v>
      </c>
      <c r="B51" t="s">
        <v>303</v>
      </c>
      <c r="C51" t="s">
        <v>304</v>
      </c>
      <c r="D51" t="s">
        <v>9</v>
      </c>
      <c r="E51" s="28">
        <v>226331</v>
      </c>
      <c r="F51" s="13">
        <v>416.10954350000003</v>
      </c>
      <c r="G51" s="14">
        <f t="shared" si="2"/>
        <v>1.0200000000000001E-2</v>
      </c>
      <c r="H51" s="15" t="s">
        <v>346</v>
      </c>
    </row>
    <row r="52" spans="1:8" ht="12.75" customHeight="1" x14ac:dyDescent="0.2">
      <c r="A52">
        <f>+MAX($A$8:A51)+1</f>
        <v>44</v>
      </c>
      <c r="B52" t="s">
        <v>224</v>
      </c>
      <c r="C52" t="s">
        <v>79</v>
      </c>
      <c r="D52" t="s">
        <v>43</v>
      </c>
      <c r="E52" s="28">
        <v>125426</v>
      </c>
      <c r="F52" s="13">
        <v>409.954881</v>
      </c>
      <c r="G52" s="14">
        <f t="shared" si="2"/>
        <v>0.01</v>
      </c>
      <c r="H52" s="15" t="s">
        <v>346</v>
      </c>
    </row>
    <row r="53" spans="1:8" ht="12.75" customHeight="1" x14ac:dyDescent="0.2">
      <c r="A53">
        <f>+MAX($A$8:A52)+1</f>
        <v>45</v>
      </c>
      <c r="B53" s="65" t="s">
        <v>209</v>
      </c>
      <c r="C53" s="65" t="s">
        <v>59</v>
      </c>
      <c r="D53" t="s">
        <v>21</v>
      </c>
      <c r="E53" s="28">
        <v>63656</v>
      </c>
      <c r="F53" s="13">
        <v>408.67151999999999</v>
      </c>
      <c r="G53" s="14">
        <f t="shared" si="2"/>
        <v>0.01</v>
      </c>
      <c r="H53" s="15" t="s">
        <v>346</v>
      </c>
    </row>
    <row r="54" spans="1:8" ht="12.75" customHeight="1" x14ac:dyDescent="0.2">
      <c r="A54">
        <f>+MAX($A$8:A53)+1</f>
        <v>46</v>
      </c>
      <c r="B54" t="s">
        <v>38</v>
      </c>
      <c r="C54" t="s">
        <v>40</v>
      </c>
      <c r="D54" t="s">
        <v>9</v>
      </c>
      <c r="E54" s="28">
        <v>273565</v>
      </c>
      <c r="F54" s="13">
        <v>407.47506750000002</v>
      </c>
      <c r="G54" s="14">
        <f t="shared" si="2"/>
        <v>0.01</v>
      </c>
      <c r="H54" s="15" t="s">
        <v>346</v>
      </c>
    </row>
    <row r="55" spans="1:8" ht="12.75" customHeight="1" x14ac:dyDescent="0.2">
      <c r="A55">
        <f>+MAX($A$8:A54)+1</f>
        <v>47</v>
      </c>
      <c r="B55" t="s">
        <v>198</v>
      </c>
      <c r="C55" t="s">
        <v>51</v>
      </c>
      <c r="D55" t="s">
        <v>17</v>
      </c>
      <c r="E55" s="28">
        <v>9782</v>
      </c>
      <c r="F55" s="13">
        <v>401.92770700000005</v>
      </c>
      <c r="G55" s="14">
        <f t="shared" si="2"/>
        <v>9.7999999999999997E-3</v>
      </c>
      <c r="H55" s="15" t="s">
        <v>346</v>
      </c>
    </row>
    <row r="56" spans="1:8" ht="12.75" customHeight="1" x14ac:dyDescent="0.2">
      <c r="A56">
        <f>+MAX($A$8:A55)+1</f>
        <v>48</v>
      </c>
      <c r="B56" t="s">
        <v>217</v>
      </c>
      <c r="C56" t="s">
        <v>68</v>
      </c>
      <c r="D56" t="s">
        <v>9</v>
      </c>
      <c r="E56" s="28">
        <v>408135</v>
      </c>
      <c r="F56" s="13">
        <v>401.19670500000001</v>
      </c>
      <c r="G56" s="14">
        <f t="shared" si="2"/>
        <v>9.7999999999999997E-3</v>
      </c>
      <c r="H56" s="15" t="s">
        <v>346</v>
      </c>
    </row>
    <row r="57" spans="1:8" ht="12.75" customHeight="1" x14ac:dyDescent="0.2">
      <c r="A57">
        <f>+MAX($A$8:A56)+1</f>
        <v>49</v>
      </c>
      <c r="B57" t="s">
        <v>162</v>
      </c>
      <c r="C57" t="s">
        <v>176</v>
      </c>
      <c r="D57" t="s">
        <v>9</v>
      </c>
      <c r="E57" s="28">
        <v>149524</v>
      </c>
      <c r="F57" s="13">
        <v>397.65907799999997</v>
      </c>
      <c r="G57" s="14">
        <f t="shared" si="2"/>
        <v>9.7000000000000003E-3</v>
      </c>
      <c r="H57" s="15" t="s">
        <v>346</v>
      </c>
    </row>
    <row r="58" spans="1:8" ht="12.75" customHeight="1" x14ac:dyDescent="0.2">
      <c r="A58">
        <f>+MAX($A$8:A57)+1</f>
        <v>50</v>
      </c>
      <c r="B58" t="s">
        <v>398</v>
      </c>
      <c r="C58" t="s">
        <v>66</v>
      </c>
      <c r="D58" t="s">
        <v>21</v>
      </c>
      <c r="E58" s="28">
        <v>74439</v>
      </c>
      <c r="F58" s="13">
        <v>393.33567600000003</v>
      </c>
      <c r="G58" s="14">
        <f t="shared" si="2"/>
        <v>9.5999999999999992E-3</v>
      </c>
      <c r="H58" s="15" t="s">
        <v>346</v>
      </c>
    </row>
    <row r="59" spans="1:8" ht="12.75" customHeight="1" x14ac:dyDescent="0.2">
      <c r="A59">
        <f>+MAX($A$8:A58)+1</f>
        <v>51</v>
      </c>
      <c r="B59" t="s">
        <v>317</v>
      </c>
      <c r="C59" t="s">
        <v>318</v>
      </c>
      <c r="D59" t="s">
        <v>17</v>
      </c>
      <c r="E59" s="28">
        <v>49646</v>
      </c>
      <c r="F59" s="13">
        <v>379.36990900000001</v>
      </c>
      <c r="G59" s="14">
        <f t="shared" si="2"/>
        <v>9.2999999999999992E-3</v>
      </c>
      <c r="H59" s="15" t="s">
        <v>346</v>
      </c>
    </row>
    <row r="60" spans="1:8" ht="12.75" customHeight="1" x14ac:dyDescent="0.2">
      <c r="A60">
        <f>+MAX($A$8:A59)+1</f>
        <v>52</v>
      </c>
      <c r="B60" t="s">
        <v>190</v>
      </c>
      <c r="C60" t="s">
        <v>20</v>
      </c>
      <c r="D60" t="s">
        <v>19</v>
      </c>
      <c r="E60" s="28">
        <v>110578</v>
      </c>
      <c r="F60" s="13">
        <v>376.40751200000005</v>
      </c>
      <c r="G60" s="14">
        <f t="shared" si="2"/>
        <v>9.1999999999999998E-3</v>
      </c>
      <c r="H60" s="15" t="s">
        <v>346</v>
      </c>
    </row>
    <row r="61" spans="1:8" ht="12.75" customHeight="1" x14ac:dyDescent="0.2">
      <c r="A61">
        <f>+MAX($A$8:A60)+1</f>
        <v>53</v>
      </c>
      <c r="B61" t="s">
        <v>501</v>
      </c>
      <c r="C61" t="s">
        <v>502</v>
      </c>
      <c r="D61" t="s">
        <v>9</v>
      </c>
      <c r="E61" s="28">
        <v>588497</v>
      </c>
      <c r="F61" s="13">
        <v>375.16683749999999</v>
      </c>
      <c r="G61" s="14">
        <f t="shared" si="2"/>
        <v>9.1999999999999998E-3</v>
      </c>
      <c r="H61" s="15" t="s">
        <v>346</v>
      </c>
    </row>
    <row r="62" spans="1:8" ht="12.75" customHeight="1" x14ac:dyDescent="0.2">
      <c r="A62">
        <f>+MAX($A$8:A61)+1</f>
        <v>54</v>
      </c>
      <c r="B62" t="s">
        <v>201</v>
      </c>
      <c r="C62" t="s">
        <v>31</v>
      </c>
      <c r="D62" t="s">
        <v>17</v>
      </c>
      <c r="E62" s="28">
        <v>37195</v>
      </c>
      <c r="F62" s="13">
        <v>372.02438999999998</v>
      </c>
      <c r="G62" s="14">
        <f t="shared" si="2"/>
        <v>9.1000000000000004E-3</v>
      </c>
      <c r="H62" s="15" t="s">
        <v>346</v>
      </c>
    </row>
    <row r="63" spans="1:8" ht="12.75" customHeight="1" x14ac:dyDescent="0.2">
      <c r="A63">
        <f>+MAX($A$8:A62)+1</f>
        <v>55</v>
      </c>
      <c r="B63" t="s">
        <v>499</v>
      </c>
      <c r="C63" t="s">
        <v>500</v>
      </c>
      <c r="D63" t="s">
        <v>43</v>
      </c>
      <c r="E63" s="28">
        <v>454547</v>
      </c>
      <c r="F63" s="13">
        <v>366.1376085</v>
      </c>
      <c r="G63" s="14">
        <f t="shared" si="2"/>
        <v>8.9999999999999993E-3</v>
      </c>
      <c r="H63" s="15" t="s">
        <v>346</v>
      </c>
    </row>
    <row r="64" spans="1:8" ht="12.75" customHeight="1" x14ac:dyDescent="0.2">
      <c r="A64">
        <f>+MAX($A$8:A63)+1</f>
        <v>56</v>
      </c>
      <c r="B64" t="s">
        <v>517</v>
      </c>
      <c r="C64" t="s">
        <v>518</v>
      </c>
      <c r="D64" t="s">
        <v>130</v>
      </c>
      <c r="E64" s="28">
        <v>76679</v>
      </c>
      <c r="F64" s="13">
        <v>365.33709549999998</v>
      </c>
      <c r="G64" s="14">
        <f t="shared" si="2"/>
        <v>8.8999999999999999E-3</v>
      </c>
      <c r="H64" s="15" t="s">
        <v>346</v>
      </c>
    </row>
    <row r="65" spans="1:9" ht="12.75" customHeight="1" x14ac:dyDescent="0.2">
      <c r="A65">
        <f>+MAX($A$8:A64)+1</f>
        <v>57</v>
      </c>
      <c r="B65" t="s">
        <v>211</v>
      </c>
      <c r="C65" t="s">
        <v>27</v>
      </c>
      <c r="D65" t="s">
        <v>9</v>
      </c>
      <c r="E65" s="28">
        <v>67240</v>
      </c>
      <c r="F65" s="13">
        <v>347.83251999999999</v>
      </c>
      <c r="G65" s="14">
        <f t="shared" si="2"/>
        <v>8.5000000000000006E-3</v>
      </c>
      <c r="H65" s="15" t="s">
        <v>346</v>
      </c>
    </row>
    <row r="66" spans="1:9" ht="12.75" customHeight="1" x14ac:dyDescent="0.2">
      <c r="A66">
        <f>+MAX($A$8:A65)+1</f>
        <v>58</v>
      </c>
      <c r="B66" t="s">
        <v>601</v>
      </c>
      <c r="C66" t="s">
        <v>602</v>
      </c>
      <c r="D66" t="s">
        <v>30</v>
      </c>
      <c r="E66" s="28">
        <v>146000</v>
      </c>
      <c r="F66" s="13">
        <v>301.27100000000002</v>
      </c>
      <c r="G66" s="14">
        <f t="shared" si="2"/>
        <v>7.4000000000000003E-3</v>
      </c>
      <c r="H66" s="15" t="s">
        <v>346</v>
      </c>
    </row>
    <row r="67" spans="1:9" ht="12.75" customHeight="1" x14ac:dyDescent="0.2">
      <c r="A67">
        <f>+MAX($A$8:A66)+1</f>
        <v>59</v>
      </c>
      <c r="B67" t="s">
        <v>399</v>
      </c>
      <c r="C67" t="s">
        <v>400</v>
      </c>
      <c r="D67" t="s">
        <v>401</v>
      </c>
      <c r="E67" s="28">
        <v>118442</v>
      </c>
      <c r="F67" s="13">
        <v>260.03941100000003</v>
      </c>
      <c r="G67" s="14">
        <f t="shared" si="2"/>
        <v>6.4000000000000003E-3</v>
      </c>
      <c r="H67" s="15" t="s">
        <v>346</v>
      </c>
    </row>
    <row r="68" spans="1:9" ht="12.75" customHeight="1" x14ac:dyDescent="0.2">
      <c r="A68">
        <f>+MAX($A$8:A67)+1</f>
        <v>60</v>
      </c>
      <c r="B68" t="s">
        <v>208</v>
      </c>
      <c r="C68" t="s">
        <v>63</v>
      </c>
      <c r="D68" t="s">
        <v>32</v>
      </c>
      <c r="E68" s="28">
        <v>63471</v>
      </c>
      <c r="F68" s="13">
        <v>259.94548050000003</v>
      </c>
      <c r="G68" s="14">
        <f t="shared" si="2"/>
        <v>6.4000000000000003E-3</v>
      </c>
      <c r="H68" s="15" t="s">
        <v>346</v>
      </c>
    </row>
    <row r="69" spans="1:9" ht="12.75" customHeight="1" x14ac:dyDescent="0.2">
      <c r="A69">
        <f>+MAX($A$8:A68)+1</f>
        <v>61</v>
      </c>
      <c r="B69" t="s">
        <v>544</v>
      </c>
      <c r="C69" t="s">
        <v>545</v>
      </c>
      <c r="D69" t="s">
        <v>9</v>
      </c>
      <c r="E69" s="28">
        <v>442985</v>
      </c>
      <c r="F69" s="13">
        <v>244.08473499999999</v>
      </c>
      <c r="G69" s="14">
        <f t="shared" ref="G69" si="3">+ROUND(F69/VLOOKUP("Grand Total",$B$4:$F$277,5,0),4)</f>
        <v>6.0000000000000001E-3</v>
      </c>
      <c r="H69" s="15" t="s">
        <v>346</v>
      </c>
    </row>
    <row r="70" spans="1:9" ht="12.75" customHeight="1" x14ac:dyDescent="0.2">
      <c r="A70">
        <f>+MAX($A$8:A69)+1</f>
        <v>62</v>
      </c>
      <c r="B70" t="s">
        <v>301</v>
      </c>
      <c r="C70" t="s">
        <v>70</v>
      </c>
      <c r="D70" t="s">
        <v>26</v>
      </c>
      <c r="E70" s="28">
        <v>838614</v>
      </c>
      <c r="F70" s="13">
        <v>197.912904</v>
      </c>
      <c r="G70" s="14">
        <f t="shared" ref="G70:G71" si="4">+ROUND(F70/VLOOKUP("Grand Total",$B$4:$F$277,5,0),4)</f>
        <v>4.7999999999999996E-3</v>
      </c>
      <c r="H70" s="15" t="s">
        <v>346</v>
      </c>
    </row>
    <row r="71" spans="1:9" ht="12.75" customHeight="1" x14ac:dyDescent="0.2">
      <c r="A71">
        <f>+MAX($A$8:A70)+1</f>
        <v>63</v>
      </c>
      <c r="B71" t="s">
        <v>213</v>
      </c>
      <c r="C71" t="s">
        <v>73</v>
      </c>
      <c r="D71" t="s">
        <v>34</v>
      </c>
      <c r="E71" s="28">
        <v>2533170</v>
      </c>
      <c r="F71" s="13">
        <v>129.19166999999999</v>
      </c>
      <c r="G71" s="14">
        <f t="shared" si="4"/>
        <v>3.2000000000000002E-3</v>
      </c>
      <c r="H71" s="15" t="s">
        <v>346</v>
      </c>
    </row>
    <row r="72" spans="1:9" ht="12.75" customHeight="1" x14ac:dyDescent="0.2">
      <c r="A72">
        <f>+MAX($A$8:A71)+1</f>
        <v>64</v>
      </c>
      <c r="B72" t="s">
        <v>423</v>
      </c>
      <c r="C72" s="121" t="s">
        <v>695</v>
      </c>
      <c r="D72" t="s">
        <v>36</v>
      </c>
      <c r="E72" s="28">
        <v>2250</v>
      </c>
      <c r="F72" s="13">
        <v>0</v>
      </c>
      <c r="G72" s="108" t="s">
        <v>494</v>
      </c>
      <c r="H72" s="15" t="s">
        <v>346</v>
      </c>
    </row>
    <row r="73" spans="1:9" ht="12.75" customHeight="1" x14ac:dyDescent="0.2">
      <c r="A73">
        <f>+MAX($A$8:A72)+1</f>
        <v>65</v>
      </c>
      <c r="B73" t="s">
        <v>519</v>
      </c>
      <c r="C73" t="s">
        <v>82</v>
      </c>
      <c r="D73" t="s">
        <v>100</v>
      </c>
      <c r="E73" s="28">
        <v>374002</v>
      </c>
      <c r="F73" s="13">
        <v>0</v>
      </c>
      <c r="G73" s="108" t="s">
        <v>494</v>
      </c>
      <c r="H73" s="15" t="s">
        <v>346</v>
      </c>
    </row>
    <row r="74" spans="1:9" ht="12.75" customHeight="1" x14ac:dyDescent="0.2">
      <c r="B74" s="18" t="s">
        <v>83</v>
      </c>
      <c r="C74" s="18"/>
      <c r="D74" s="18"/>
      <c r="E74" s="29"/>
      <c r="F74" s="19">
        <f>SUM(F9:F73)</f>
        <v>40008.698275499999</v>
      </c>
      <c r="G74" s="20">
        <f>SUM(G9:G73)</f>
        <v>0.97910000000000019</v>
      </c>
      <c r="H74" s="21"/>
      <c r="I74" s="49"/>
    </row>
    <row r="75" spans="1:9" ht="12.75" customHeight="1" x14ac:dyDescent="0.2">
      <c r="F75" s="13"/>
      <c r="G75" s="14"/>
      <c r="H75" s="15"/>
    </row>
    <row r="76" spans="1:9" ht="12.75" customHeight="1" x14ac:dyDescent="0.2">
      <c r="A76" s="95" t="s">
        <v>345</v>
      </c>
      <c r="B76" s="16" t="s">
        <v>91</v>
      </c>
      <c r="C76" s="16"/>
      <c r="F76" s="13">
        <v>929.74628700000005</v>
      </c>
      <c r="G76" s="14">
        <f>+ROUND(F76/VLOOKUP("Grand Total",$B$4:$F$277,5,0),4)</f>
        <v>2.2800000000000001E-2</v>
      </c>
      <c r="H76" s="15">
        <v>43222</v>
      </c>
    </row>
    <row r="77" spans="1:9" ht="12.75" customHeight="1" x14ac:dyDescent="0.2">
      <c r="B77" s="18" t="s">
        <v>83</v>
      </c>
      <c r="C77" s="18"/>
      <c r="D77" s="18"/>
      <c r="E77" s="29"/>
      <c r="F77" s="19">
        <f>SUM(F76)</f>
        <v>929.74628700000005</v>
      </c>
      <c r="G77" s="20">
        <f>SUM(G76)</f>
        <v>2.2800000000000001E-2</v>
      </c>
      <c r="H77" s="21"/>
      <c r="I77" s="35"/>
    </row>
    <row r="78" spans="1:9" ht="12.75" customHeight="1" x14ac:dyDescent="0.2">
      <c r="F78" s="13"/>
      <c r="G78" s="14"/>
      <c r="H78" s="15"/>
    </row>
    <row r="79" spans="1:9" ht="12.75" customHeight="1" x14ac:dyDescent="0.2">
      <c r="B79" s="16" t="s">
        <v>92</v>
      </c>
      <c r="C79" s="16"/>
      <c r="F79" s="13"/>
      <c r="G79" s="14"/>
      <c r="H79" s="15"/>
    </row>
    <row r="80" spans="1:9" ht="12.75" customHeight="1" x14ac:dyDescent="0.2">
      <c r="B80" s="16" t="s">
        <v>93</v>
      </c>
      <c r="C80" s="16"/>
      <c r="F80" s="13">
        <v>-72.386848699992697</v>
      </c>
      <c r="G80" s="122">
        <f>+ROUND(F80/VLOOKUP("Grand Total",$B$4:$F$277,5,0),4)-0.01%</f>
        <v>-1.9E-3</v>
      </c>
      <c r="H80" s="15"/>
    </row>
    <row r="81" spans="2:9" ht="12.75" customHeight="1" x14ac:dyDescent="0.2">
      <c r="B81" s="18" t="s">
        <v>83</v>
      </c>
      <c r="C81" s="18"/>
      <c r="D81" s="18"/>
      <c r="E81" s="29"/>
      <c r="F81" s="19">
        <f>SUM(F80)</f>
        <v>-72.386848699992697</v>
      </c>
      <c r="G81" s="123">
        <f>SUM(G80)</f>
        <v>-1.9E-3</v>
      </c>
      <c r="H81" s="21"/>
      <c r="I81" s="35"/>
    </row>
    <row r="82" spans="2:9" ht="12.75" customHeight="1" x14ac:dyDescent="0.2">
      <c r="B82" s="22" t="s">
        <v>94</v>
      </c>
      <c r="C82" s="22"/>
      <c r="D82" s="22"/>
      <c r="E82" s="30"/>
      <c r="F82" s="23">
        <f>+SUMIF($B$5:B81,"Total",$F$5:F81)</f>
        <v>40866.057713800008</v>
      </c>
      <c r="G82" s="24">
        <f>+SUMIF($B$5:B81,"Total",$G$5:G81)</f>
        <v>1.0000000000000002</v>
      </c>
      <c r="H82" s="25"/>
      <c r="I82" s="35"/>
    </row>
    <row r="83" spans="2:9" ht="12.75" customHeight="1" x14ac:dyDescent="0.2"/>
    <row r="84" spans="2:9" ht="12.75" customHeight="1" x14ac:dyDescent="0.2">
      <c r="B84" s="16" t="s">
        <v>182</v>
      </c>
      <c r="C84" s="16"/>
    </row>
    <row r="85" spans="2:9" ht="12.75" customHeight="1" x14ac:dyDescent="0.2">
      <c r="B85" s="16" t="s">
        <v>184</v>
      </c>
      <c r="C85" s="16"/>
      <c r="F85" s="43"/>
      <c r="G85" s="43"/>
    </row>
    <row r="86" spans="2:9" ht="12.75" customHeight="1" x14ac:dyDescent="0.2">
      <c r="B86" s="16" t="s">
        <v>181</v>
      </c>
      <c r="C86" s="16"/>
    </row>
    <row r="87" spans="2:9" ht="12.75" customHeight="1" x14ac:dyDescent="0.2">
      <c r="B87" s="53" t="s">
        <v>291</v>
      </c>
    </row>
    <row r="88" spans="2:9" ht="12.75" customHeight="1" x14ac:dyDescent="0.2"/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</sheetData>
  <sheetProtection password="EDB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354</v>
      </c>
      <c r="B1" s="128" t="s">
        <v>160</v>
      </c>
      <c r="C1" s="129"/>
      <c r="D1" s="129"/>
      <c r="E1" s="129"/>
      <c r="F1" s="129"/>
      <c r="G1" s="129"/>
      <c r="H1" s="130"/>
    </row>
    <row r="2" spans="1:13" x14ac:dyDescent="0.2">
      <c r="A2" s="96" t="s">
        <v>0</v>
      </c>
      <c r="B2" s="3" t="s">
        <v>649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178</v>
      </c>
      <c r="F4" s="11" t="s">
        <v>4</v>
      </c>
      <c r="G4" s="12" t="s">
        <v>5</v>
      </c>
      <c r="H4" s="32" t="s">
        <v>6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179</v>
      </c>
      <c r="F7" s="13"/>
      <c r="G7" s="14"/>
      <c r="H7" s="15"/>
    </row>
    <row r="8" spans="1:13" ht="12.75" customHeight="1" x14ac:dyDescent="0.2">
      <c r="B8" s="31" t="s">
        <v>180</v>
      </c>
      <c r="C8" s="16"/>
      <c r="F8" s="13"/>
      <c r="G8" s="14"/>
      <c r="H8" s="15"/>
      <c r="J8" s="17" t="s">
        <v>586</v>
      </c>
      <c r="K8" s="37" t="s">
        <v>11</v>
      </c>
    </row>
    <row r="9" spans="1:13" ht="12.75" customHeight="1" x14ac:dyDescent="0.2">
      <c r="A9">
        <f>+MAX($A$8:A8)+1</f>
        <v>1</v>
      </c>
      <c r="B9" t="s">
        <v>161</v>
      </c>
      <c r="C9" s="121" t="s">
        <v>695</v>
      </c>
      <c r="D9" t="s">
        <v>302</v>
      </c>
      <c r="E9" s="28">
        <v>39643.476999999999</v>
      </c>
      <c r="F9" s="13">
        <v>1726.8959831999998</v>
      </c>
      <c r="G9" s="14">
        <f>+ROUND(F9/VLOOKUP("Grand Total",$B$4:$F$288,5,0),4)</f>
        <v>0.97399999999999998</v>
      </c>
      <c r="H9" s="15" t="s">
        <v>346</v>
      </c>
      <c r="J9" s="14" t="s">
        <v>302</v>
      </c>
      <c r="K9" s="48">
        <f>SUMIFS($G$5:$G$321,$D$5:$D$321,J9)</f>
        <v>0.97399999999999998</v>
      </c>
    </row>
    <row r="10" spans="1:13" ht="12.75" customHeight="1" x14ac:dyDescent="0.2">
      <c r="B10" s="18" t="s">
        <v>83</v>
      </c>
      <c r="C10" s="18"/>
      <c r="D10" s="18"/>
      <c r="E10" s="29"/>
      <c r="F10" s="19">
        <f>SUM(F9)</f>
        <v>1726.8959831999998</v>
      </c>
      <c r="G10" s="20">
        <f>SUM(G9)</f>
        <v>0.97399999999999998</v>
      </c>
      <c r="H10" s="21"/>
      <c r="I10" s="35"/>
      <c r="J10" s="14" t="s">
        <v>62</v>
      </c>
      <c r="K10" s="48">
        <f>+SUMIFS($G$5:$G$998,$B$5:$B$998,"CBLO / Reverse Repo Investments")+SUMIFS($G$5:$G$998,$B$5:$B$998,"Net Receivable/Payable")</f>
        <v>2.5999999999999999E-2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345</v>
      </c>
      <c r="B12" s="16" t="s">
        <v>91</v>
      </c>
      <c r="C12" s="16"/>
      <c r="F12" s="13">
        <v>85.248045700000006</v>
      </c>
      <c r="G12" s="14">
        <f>+ROUND(F12/VLOOKUP("Grand Total",$B$4:$F$288,5,0),4)</f>
        <v>4.8099999999999997E-2</v>
      </c>
      <c r="H12" s="15">
        <v>43222</v>
      </c>
      <c r="J12" s="14"/>
      <c r="L12" s="54"/>
      <c r="M12" s="62"/>
    </row>
    <row r="13" spans="1:13" ht="12.75" customHeight="1" x14ac:dyDescent="0.2">
      <c r="B13" s="18" t="s">
        <v>83</v>
      </c>
      <c r="C13" s="18"/>
      <c r="D13" s="18"/>
      <c r="E13" s="29"/>
      <c r="F13" s="19">
        <f>SUM(F12)</f>
        <v>85.248045700000006</v>
      </c>
      <c r="G13" s="20">
        <f>SUM(G12)</f>
        <v>4.8099999999999997E-2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92</v>
      </c>
      <c r="C15" s="16"/>
      <c r="F15" s="13"/>
      <c r="G15" s="14"/>
      <c r="H15" s="15"/>
    </row>
    <row r="16" spans="1:13" ht="12.75" customHeight="1" x14ac:dyDescent="0.2">
      <c r="B16" s="16" t="s">
        <v>93</v>
      </c>
      <c r="C16" s="16"/>
      <c r="F16" s="43">
        <v>-39.066661299999851</v>
      </c>
      <c r="G16" s="122">
        <f>+ROUND(F16/VLOOKUP("Grand Total",$B$4:$F$288,5,0),4)-0.01%</f>
        <v>-2.2099999999999998E-2</v>
      </c>
      <c r="H16" s="15"/>
    </row>
    <row r="17" spans="2:9" ht="12.75" customHeight="1" x14ac:dyDescent="0.2">
      <c r="B17" s="18" t="s">
        <v>83</v>
      </c>
      <c r="C17" s="18"/>
      <c r="D17" s="18"/>
      <c r="E17" s="29"/>
      <c r="F17" s="50">
        <f>SUM(F16)</f>
        <v>-39.066661299999851</v>
      </c>
      <c r="G17" s="123">
        <f>SUM(G16)</f>
        <v>-2.2099999999999998E-2</v>
      </c>
      <c r="H17" s="21"/>
      <c r="I17" s="35"/>
    </row>
    <row r="18" spans="2:9" ht="12.75" customHeight="1" x14ac:dyDescent="0.2">
      <c r="B18" s="22" t="s">
        <v>94</v>
      </c>
      <c r="C18" s="22"/>
      <c r="D18" s="22"/>
      <c r="E18" s="30"/>
      <c r="F18" s="23">
        <f>+SUMIF($B$5:B17,"Total",$F$5:F17)</f>
        <v>1773.0773675999999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2018-05-10T05:56:50Z</dcterms:modified>
</cp:coreProperties>
</file>