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8-2019\Aug 18\"/>
    </mc:Choice>
  </mc:AlternateContent>
  <bookViews>
    <workbookView xWindow="0" yWindow="675" windowWidth="15480" windowHeight="10980" tabRatio="740"/>
  </bookViews>
  <sheets>
    <sheet name="GROWTH" sheetId="2" r:id="rId1"/>
    <sheet name="100 EQUAL WEIGHT" sheetId="3" r:id="rId2"/>
    <sheet name="FOCUSED MULTICAP" sheetId="4" r:id="rId3"/>
    <sheet name="DIVIDEND YIELD" sheetId="5" r:id="rId4"/>
    <sheet name="EMERGING BLUECHIP" sheetId="6" r:id="rId5"/>
    <sheet name="PERSONAL TAX SAVER" sheetId="7" r:id="rId6"/>
    <sheet name="TAX SAVINGS" sheetId="9" r:id="rId7"/>
    <sheet name="GLOBAL OPP" sheetId="10" r:id="rId8"/>
    <sheet name="LOW DURATION" sheetId="11" r:id="rId9"/>
    <sheet name="CREDIT RISK" sheetId="12" r:id="rId10"/>
    <sheet name="DYNAMIC BOND" sheetId="14" r:id="rId11"/>
    <sheet name="SHORT TERM" sheetId="16" r:id="rId12"/>
    <sheet name="CORPORATE BOND" sheetId="18" r:id="rId13"/>
    <sheet name="Hybrid Equity" sheetId="19" r:id="rId14"/>
    <sheet name="CASH MANAGEMENT" sheetId="20" r:id="rId15"/>
    <sheet name="ULTRA SHORT TERM" sheetId="21" r:id="rId16"/>
    <sheet name="Retirement-PROG" sheetId="35" r:id="rId17"/>
    <sheet name="Balanced Advantage" sheetId="8" r:id="rId18"/>
    <sheet name="Equity Savings" sheetId="17" r:id="rId19"/>
    <sheet name="Retirement-MP" sheetId="31" r:id="rId20"/>
    <sheet name="Retirement-CP" sheetId="34" r:id="rId21"/>
    <sheet name="ARBITRAGE FUND" sheetId="36" r:id="rId22"/>
  </sheets>
  <definedNames>
    <definedName name="_xlnm._FilterDatabase" localSheetId="21" hidden="1">'ARBITRAGE FUND'!#REF!</definedName>
    <definedName name="_xlnm._FilterDatabase" localSheetId="17" hidden="1">'Balanced Advantage'!$B$35:$I$66</definedName>
    <definedName name="_xlnm._FilterDatabase" localSheetId="18" hidden="1">'Equity Savings'!$A$35:$Q$86</definedName>
    <definedName name="_xlnm._FilterDatabase" localSheetId="0" hidden="1">GROWTH!$D$4:$D$152</definedName>
  </definedNames>
  <calcPr calcId="152511"/>
</workbook>
</file>

<file path=xl/calcChain.xml><?xml version="1.0" encoding="utf-8"?>
<calcChain xmlns="http://schemas.openxmlformats.org/spreadsheetml/2006/main">
  <c r="A12" i="36" l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11" i="36"/>
  <c r="A10" i="36"/>
  <c r="A77" i="34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76" i="34"/>
  <c r="A80" i="31"/>
  <c r="A81" i="31" s="1"/>
  <c r="A82" i="31" s="1"/>
  <c r="A83" i="31" s="1"/>
  <c r="A84" i="31" s="1"/>
  <c r="A85" i="31" s="1"/>
  <c r="A86" i="31" s="1"/>
  <c r="A87" i="31" s="1"/>
  <c r="A79" i="31"/>
  <c r="A38" i="17"/>
  <c r="A37" i="17"/>
  <c r="A38" i="8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37" i="8"/>
  <c r="A39" i="17" l="1"/>
  <c r="A42" i="17" s="1"/>
  <c r="A40" i="17"/>
  <c r="A41" i="17"/>
  <c r="F55" i="36"/>
  <c r="H54" i="36"/>
  <c r="H52" i="36"/>
  <c r="H50" i="36"/>
  <c r="H48" i="36"/>
  <c r="H46" i="36"/>
  <c r="H44" i="36"/>
  <c r="H42" i="36"/>
  <c r="H40" i="36"/>
  <c r="H38" i="36"/>
  <c r="H36" i="36"/>
  <c r="H34" i="36"/>
  <c r="H32" i="36"/>
  <c r="H30" i="36"/>
  <c r="H28" i="36"/>
  <c r="H26" i="36"/>
  <c r="H24" i="36"/>
  <c r="H22" i="36"/>
  <c r="H20" i="36"/>
  <c r="H18" i="36"/>
  <c r="H16" i="36"/>
  <c r="H14" i="36"/>
  <c r="H12" i="36"/>
  <c r="H10" i="36"/>
  <c r="F89" i="34"/>
  <c r="F72" i="34"/>
  <c r="G87" i="34"/>
  <c r="L16" i="34" s="1"/>
  <c r="G85" i="34"/>
  <c r="G83" i="34"/>
  <c r="G81" i="34"/>
  <c r="G79" i="34"/>
  <c r="G77" i="34"/>
  <c r="G75" i="34"/>
  <c r="F88" i="31"/>
  <c r="F72" i="31"/>
  <c r="G86" i="31"/>
  <c r="G84" i="31"/>
  <c r="G82" i="31"/>
  <c r="G80" i="31"/>
  <c r="G78" i="31"/>
  <c r="F86" i="17"/>
  <c r="H45" i="17"/>
  <c r="G44" i="17"/>
  <c r="H41" i="17"/>
  <c r="G40" i="17"/>
  <c r="F33" i="17"/>
  <c r="G52" i="17"/>
  <c r="G72" i="17"/>
  <c r="G68" i="17"/>
  <c r="G48" i="17"/>
  <c r="G82" i="17"/>
  <c r="G78" i="17"/>
  <c r="G74" i="17"/>
  <c r="G66" i="17"/>
  <c r="G62" i="17"/>
  <c r="G60" i="17"/>
  <c r="L32" i="17" s="1"/>
  <c r="G84" i="17"/>
  <c r="G64" i="17"/>
  <c r="G50" i="17"/>
  <c r="L28" i="17" s="1"/>
  <c r="G54" i="17"/>
  <c r="L30" i="17" s="1"/>
  <c r="G56" i="17"/>
  <c r="G70" i="17"/>
  <c r="L31" i="17" s="1"/>
  <c r="G80" i="17"/>
  <c r="G36" i="17"/>
  <c r="G38" i="17"/>
  <c r="G42" i="17"/>
  <c r="L16" i="17" s="1"/>
  <c r="G76" i="17"/>
  <c r="L35" i="17" s="1"/>
  <c r="G58" i="17"/>
  <c r="G46" i="17"/>
  <c r="F66" i="8"/>
  <c r="G44" i="8"/>
  <c r="G50" i="8"/>
  <c r="G46" i="8"/>
  <c r="G38" i="8"/>
  <c r="G64" i="8"/>
  <c r="G62" i="8"/>
  <c r="G54" i="8"/>
  <c r="G60" i="8"/>
  <c r="G42" i="8"/>
  <c r="G40" i="8"/>
  <c r="G48" i="8"/>
  <c r="G58" i="8"/>
  <c r="G36" i="8"/>
  <c r="G52" i="8"/>
  <c r="L19" i="8" s="1"/>
  <c r="G56" i="8"/>
  <c r="H88" i="34"/>
  <c r="H86" i="34"/>
  <c r="H84" i="34"/>
  <c r="H82" i="34"/>
  <c r="H80" i="34"/>
  <c r="H78" i="34"/>
  <c r="H76" i="34"/>
  <c r="H87" i="31"/>
  <c r="H85" i="31"/>
  <c r="H83" i="31"/>
  <c r="H81" i="31"/>
  <c r="H79" i="31"/>
  <c r="H85" i="17"/>
  <c r="H83" i="17"/>
  <c r="H81" i="17"/>
  <c r="H79" i="17"/>
  <c r="H77" i="17"/>
  <c r="H75" i="17"/>
  <c r="H73" i="17"/>
  <c r="H71" i="17"/>
  <c r="H69" i="17"/>
  <c r="H67" i="17"/>
  <c r="H65" i="17"/>
  <c r="H63" i="17"/>
  <c r="H61" i="17"/>
  <c r="H59" i="17"/>
  <c r="H57" i="17"/>
  <c r="H55" i="17"/>
  <c r="H53" i="17"/>
  <c r="H51" i="17"/>
  <c r="H49" i="17"/>
  <c r="H47" i="17"/>
  <c r="H43" i="17"/>
  <c r="H39" i="17"/>
  <c r="H37" i="17"/>
  <c r="H65" i="8"/>
  <c r="H63" i="8"/>
  <c r="H61" i="8"/>
  <c r="H59" i="8"/>
  <c r="H57" i="8"/>
  <c r="H55" i="8"/>
  <c r="H53" i="8"/>
  <c r="H51" i="8"/>
  <c r="H49" i="8"/>
  <c r="H47" i="8"/>
  <c r="H45" i="8"/>
  <c r="H43" i="8"/>
  <c r="H41" i="8"/>
  <c r="H39" i="8"/>
  <c r="H37" i="8"/>
  <c r="A43" i="17" l="1"/>
  <c r="H55" i="36"/>
  <c r="G89" i="34"/>
  <c r="H89" i="34"/>
  <c r="G88" i="31"/>
  <c r="H88" i="31"/>
  <c r="G86" i="17"/>
  <c r="H86" i="17"/>
  <c r="G66" i="8"/>
  <c r="H66" i="8"/>
  <c r="A44" i="17" l="1"/>
  <c r="K34" i="7"/>
  <c r="K33" i="7"/>
  <c r="K35" i="5"/>
  <c r="F81" i="8"/>
  <c r="A47" i="17" l="1"/>
  <c r="A46" i="17"/>
  <c r="A48" i="17" s="1"/>
  <c r="A45" i="17"/>
  <c r="F68" i="36"/>
  <c r="G67" i="36"/>
  <c r="L27" i="36" s="1"/>
  <c r="G53" i="36"/>
  <c r="G51" i="36"/>
  <c r="L26" i="36" s="1"/>
  <c r="G49" i="36"/>
  <c r="L25" i="36" s="1"/>
  <c r="G47" i="36"/>
  <c r="G45" i="36"/>
  <c r="L24" i="36" s="1"/>
  <c r="G43" i="36"/>
  <c r="G41" i="36"/>
  <c r="L23" i="36" s="1"/>
  <c r="G39" i="36"/>
  <c r="G37" i="36"/>
  <c r="L21" i="36" s="1"/>
  <c r="G35" i="36"/>
  <c r="G33" i="36"/>
  <c r="G31" i="36"/>
  <c r="L22" i="36" s="1"/>
  <c r="G29" i="36"/>
  <c r="G27" i="36"/>
  <c r="L15" i="36" s="1"/>
  <c r="G25" i="36"/>
  <c r="L18" i="36" s="1"/>
  <c r="G23" i="36"/>
  <c r="L17" i="36" s="1"/>
  <c r="G21" i="36"/>
  <c r="L14" i="36" s="1"/>
  <c r="G19" i="36"/>
  <c r="G17" i="36"/>
  <c r="G15" i="36"/>
  <c r="G13" i="36"/>
  <c r="G11" i="36"/>
  <c r="L13" i="36" s="1"/>
  <c r="F77" i="35"/>
  <c r="F94" i="34"/>
  <c r="G93" i="34"/>
  <c r="L22" i="34" s="1"/>
  <c r="G71" i="34"/>
  <c r="G70" i="34"/>
  <c r="G69" i="34"/>
  <c r="G68" i="34"/>
  <c r="L35" i="34" s="1"/>
  <c r="G67" i="34"/>
  <c r="G66" i="34"/>
  <c r="G65" i="34"/>
  <c r="L34" i="34" s="1"/>
  <c r="G64" i="34"/>
  <c r="F98" i="31"/>
  <c r="G97" i="31"/>
  <c r="G96" i="31"/>
  <c r="L9" i="31" s="1"/>
  <c r="F93" i="31"/>
  <c r="G92" i="31"/>
  <c r="L24" i="31" s="1"/>
  <c r="G71" i="31"/>
  <c r="G70" i="31"/>
  <c r="G69" i="31"/>
  <c r="G68" i="31"/>
  <c r="L34" i="31" s="1"/>
  <c r="G67" i="31"/>
  <c r="G66" i="31"/>
  <c r="G92" i="17"/>
  <c r="G91" i="17"/>
  <c r="G32" i="17"/>
  <c r="G31" i="17"/>
  <c r="G30" i="17"/>
  <c r="G29" i="17"/>
  <c r="G28" i="17"/>
  <c r="G27" i="17"/>
  <c r="G26" i="17"/>
  <c r="G25" i="17"/>
  <c r="F40" i="20"/>
  <c r="F36" i="14"/>
  <c r="F15" i="10"/>
  <c r="F80" i="9"/>
  <c r="F79" i="7"/>
  <c r="F103" i="6"/>
  <c r="F115" i="3"/>
  <c r="F90" i="2"/>
  <c r="A51" i="17" l="1"/>
  <c r="A52" i="17"/>
  <c r="A49" i="17"/>
  <c r="A50" i="17"/>
  <c r="L9" i="36"/>
  <c r="L26" i="17"/>
  <c r="L11" i="36"/>
  <c r="L24" i="17"/>
  <c r="L33" i="17"/>
  <c r="G68" i="36"/>
  <c r="G94" i="34"/>
  <c r="G98" i="31"/>
  <c r="G93" i="31"/>
  <c r="A53" i="17" l="1"/>
  <c r="K40" i="2"/>
  <c r="F99" i="34"/>
  <c r="F103" i="34" s="1"/>
  <c r="G103" i="34" s="1"/>
  <c r="A54" i="17" l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F81" i="35"/>
  <c r="F41" i="21"/>
  <c r="F97" i="17"/>
  <c r="F82" i="5"/>
  <c r="F44" i="4"/>
  <c r="F41" i="14" l="1"/>
  <c r="F99" i="2" l="1"/>
  <c r="F120" i="3"/>
  <c r="F49" i="4"/>
  <c r="F91" i="5"/>
  <c r="F113" i="6"/>
  <c r="F84" i="7"/>
  <c r="F85" i="9"/>
  <c r="F20" i="10"/>
  <c r="F46" i="11"/>
  <c r="F40" i="12"/>
  <c r="F41" i="16"/>
  <c r="F34" i="18"/>
  <c r="F125" i="19"/>
  <c r="F46" i="21"/>
  <c r="F104" i="34"/>
  <c r="F86" i="35"/>
  <c r="F33" i="8" l="1"/>
  <c r="K39" i="2" l="1"/>
  <c r="F30" i="21"/>
  <c r="F27" i="11"/>
  <c r="F10" i="10"/>
  <c r="F98" i="6"/>
  <c r="F110" i="3" l="1"/>
  <c r="F26" i="21" l="1"/>
  <c r="F69" i="19"/>
  <c r="F10" i="14"/>
  <c r="F12" i="11"/>
  <c r="F94" i="2" l="1"/>
  <c r="F91" i="8" l="1"/>
  <c r="F73" i="8"/>
  <c r="F64" i="36" l="1"/>
  <c r="F120" i="19" l="1"/>
  <c r="F107" i="17" l="1"/>
  <c r="K38" i="2" l="1"/>
  <c r="F75" i="9"/>
  <c r="F69" i="7"/>
  <c r="A9" i="36"/>
  <c r="F15" i="16"/>
  <c r="A9" i="14" l="1"/>
  <c r="F12" i="20"/>
  <c r="F81" i="19"/>
  <c r="F93" i="17"/>
  <c r="A13" i="14" l="1"/>
  <c r="A14" i="14" l="1"/>
  <c r="A15" i="14" l="1"/>
  <c r="F35" i="20"/>
  <c r="A9" i="20"/>
  <c r="F107" i="19"/>
  <c r="F17" i="12"/>
  <c r="A10" i="20" l="1"/>
  <c r="A11" i="20" s="1"/>
  <c r="A16" i="14"/>
  <c r="F36" i="16"/>
  <c r="A17" i="14" l="1"/>
  <c r="F116" i="19"/>
  <c r="F103" i="19"/>
  <c r="F64" i="19"/>
  <c r="F30" i="20"/>
  <c r="F10" i="18" l="1"/>
  <c r="A9" i="18"/>
  <c r="A22" i="14" l="1"/>
  <c r="F72" i="36"/>
  <c r="F76" i="36" s="1"/>
  <c r="G76" i="36" s="1"/>
  <c r="F77" i="36" l="1"/>
  <c r="A23" i="14"/>
  <c r="A24" i="14" s="1"/>
  <c r="A25" i="14" s="1"/>
  <c r="A26" i="14" s="1"/>
  <c r="A27" i="14" s="1"/>
  <c r="A28" i="14" s="1"/>
  <c r="A29" i="14" s="1"/>
  <c r="F95" i="8"/>
  <c r="A30" i="14" l="1"/>
  <c r="A31" i="14" s="1"/>
  <c r="A35" i="14" s="1"/>
  <c r="G62" i="36"/>
  <c r="L20" i="36" s="1"/>
  <c r="G63" i="36"/>
  <c r="G75" i="36"/>
  <c r="L28" i="36" s="1"/>
  <c r="F75" i="2"/>
  <c r="G77" i="36" l="1"/>
  <c r="F86" i="5"/>
  <c r="F77" i="5"/>
  <c r="F69" i="5"/>
  <c r="F72" i="35" l="1"/>
  <c r="F87" i="35" s="1"/>
  <c r="G85" i="35" s="1"/>
  <c r="F12" i="21"/>
  <c r="F29" i="18"/>
  <c r="F111" i="17"/>
  <c r="F115" i="17" s="1"/>
  <c r="G115" i="17" s="1"/>
  <c r="F10" i="16"/>
  <c r="F32" i="14"/>
  <c r="F18" i="14"/>
  <c r="F35" i="12"/>
  <c r="F13" i="12"/>
  <c r="F41" i="11"/>
  <c r="F23" i="11"/>
  <c r="F77" i="8"/>
  <c r="F99" i="8" s="1"/>
  <c r="F74" i="7"/>
  <c r="F108" i="6"/>
  <c r="F94" i="6"/>
  <c r="F39" i="4"/>
  <c r="F50" i="4" s="1"/>
  <c r="G48" i="4" s="1"/>
  <c r="F85" i="2"/>
  <c r="F100" i="2" s="1"/>
  <c r="G89" i="2" l="1"/>
  <c r="G90" i="2" s="1"/>
  <c r="G98" i="2"/>
  <c r="G72" i="2"/>
  <c r="G73" i="2"/>
  <c r="F116" i="17"/>
  <c r="G24" i="17"/>
  <c r="G22" i="17"/>
  <c r="G21" i="17"/>
  <c r="G20" i="17"/>
  <c r="G23" i="17"/>
  <c r="G19" i="17"/>
  <c r="G18" i="17"/>
  <c r="G96" i="17"/>
  <c r="L36" i="17" s="1"/>
  <c r="G114" i="17"/>
  <c r="L37" i="17" s="1"/>
  <c r="G17" i="17"/>
  <c r="G15" i="17"/>
  <c r="G12" i="17"/>
  <c r="G10" i="17"/>
  <c r="G11" i="17"/>
  <c r="G16" i="17"/>
  <c r="G14" i="17"/>
  <c r="G9" i="17"/>
  <c r="G13" i="17"/>
  <c r="G43" i="4"/>
  <c r="K26" i="4" s="1"/>
  <c r="G71" i="2"/>
  <c r="G47" i="4"/>
  <c r="K27" i="4" s="1"/>
  <c r="G33" i="17" l="1"/>
  <c r="L14" i="17"/>
  <c r="L15" i="17"/>
  <c r="L19" i="17"/>
  <c r="L13" i="17"/>
  <c r="L11" i="17"/>
  <c r="L25" i="17"/>
  <c r="F100" i="8"/>
  <c r="G99" i="8" s="1"/>
  <c r="G97" i="17"/>
  <c r="G44" i="4"/>
  <c r="G49" i="4"/>
  <c r="F47" i="11"/>
  <c r="F114" i="6"/>
  <c r="G112" i="6" s="1"/>
  <c r="F92" i="5"/>
  <c r="G31" i="8" l="1"/>
  <c r="G32" i="8"/>
  <c r="G28" i="8"/>
  <c r="G27" i="8"/>
  <c r="L12" i="8" s="1"/>
  <c r="G30" i="8"/>
  <c r="G26" i="8"/>
  <c r="G29" i="8"/>
  <c r="L25" i="8" s="1"/>
  <c r="G23" i="8"/>
  <c r="G24" i="8"/>
  <c r="G20" i="8"/>
  <c r="G21" i="8"/>
  <c r="G90" i="8"/>
  <c r="G25" i="8"/>
  <c r="G19" i="8"/>
  <c r="G71" i="8"/>
  <c r="G22" i="8"/>
  <c r="G72" i="8"/>
  <c r="L28" i="8" s="1"/>
  <c r="G98" i="8"/>
  <c r="L29" i="8" s="1"/>
  <c r="G22" i="11"/>
  <c r="G21" i="11"/>
  <c r="G45" i="11"/>
  <c r="G11" i="11"/>
  <c r="G10" i="11"/>
  <c r="G107" i="6"/>
  <c r="G102" i="6"/>
  <c r="G111" i="6"/>
  <c r="K43" i="6" s="1"/>
  <c r="G81" i="5"/>
  <c r="G65" i="5"/>
  <c r="G67" i="5"/>
  <c r="K32" i="5" s="1"/>
  <c r="G66" i="5"/>
  <c r="K31" i="5" s="1"/>
  <c r="G90" i="5"/>
  <c r="G116" i="17"/>
  <c r="G39" i="11"/>
  <c r="K18" i="11" s="1"/>
  <c r="G40" i="11"/>
  <c r="K19" i="11" s="1"/>
  <c r="G44" i="11"/>
  <c r="K21" i="11" s="1"/>
  <c r="G89" i="5"/>
  <c r="K36" i="5" s="1"/>
  <c r="G64" i="5"/>
  <c r="G90" i="6"/>
  <c r="G86" i="6"/>
  <c r="G82" i="6"/>
  <c r="G78" i="6"/>
  <c r="G74" i="6"/>
  <c r="G70" i="6"/>
  <c r="G66" i="6"/>
  <c r="G62" i="6"/>
  <c r="G58" i="6"/>
  <c r="G54" i="6"/>
  <c r="G50" i="6"/>
  <c r="G46" i="6"/>
  <c r="K29" i="6" s="1"/>
  <c r="G42" i="6"/>
  <c r="G38" i="6"/>
  <c r="K28" i="6" s="1"/>
  <c r="G34" i="6"/>
  <c r="G30" i="6"/>
  <c r="G26" i="6"/>
  <c r="G22" i="6"/>
  <c r="G18" i="6"/>
  <c r="G14" i="6"/>
  <c r="G10" i="6"/>
  <c r="G88" i="6"/>
  <c r="K37" i="6" s="1"/>
  <c r="G76" i="6"/>
  <c r="G64" i="6"/>
  <c r="K33" i="6" s="1"/>
  <c r="G56" i="6"/>
  <c r="G44" i="6"/>
  <c r="G32" i="6"/>
  <c r="G16" i="6"/>
  <c r="G106" i="6"/>
  <c r="K40" i="6" s="1"/>
  <c r="G93" i="6"/>
  <c r="K41" i="6" s="1"/>
  <c r="G89" i="6"/>
  <c r="G85" i="6"/>
  <c r="G81" i="6"/>
  <c r="G77" i="6"/>
  <c r="G73" i="6"/>
  <c r="G69" i="6"/>
  <c r="G65" i="6"/>
  <c r="G61" i="6"/>
  <c r="K32" i="6" s="1"/>
  <c r="G57" i="6"/>
  <c r="G53" i="6"/>
  <c r="K31" i="6" s="1"/>
  <c r="G49" i="6"/>
  <c r="G45" i="6"/>
  <c r="G41" i="6"/>
  <c r="G37" i="6"/>
  <c r="G33" i="6"/>
  <c r="G29" i="6"/>
  <c r="G25" i="6"/>
  <c r="G21" i="6"/>
  <c r="G17" i="6"/>
  <c r="G13" i="6"/>
  <c r="G92" i="6"/>
  <c r="K38" i="6" s="1"/>
  <c r="G84" i="6"/>
  <c r="K36" i="6" s="1"/>
  <c r="G72" i="6"/>
  <c r="K35" i="6" s="1"/>
  <c r="G60" i="6"/>
  <c r="G48" i="6"/>
  <c r="G40" i="6"/>
  <c r="G28" i="6"/>
  <c r="G20" i="6"/>
  <c r="G97" i="6"/>
  <c r="K39" i="6" s="1"/>
  <c r="G91" i="6"/>
  <c r="G87" i="6"/>
  <c r="G83" i="6"/>
  <c r="G79" i="6"/>
  <c r="G75" i="6"/>
  <c r="G71" i="6"/>
  <c r="G67" i="6"/>
  <c r="G63" i="6"/>
  <c r="K34" i="6" s="1"/>
  <c r="G59" i="6"/>
  <c r="G55" i="6"/>
  <c r="G51" i="6"/>
  <c r="G47" i="6"/>
  <c r="G43" i="6"/>
  <c r="K22" i="6" s="1"/>
  <c r="G39" i="6"/>
  <c r="G35" i="6"/>
  <c r="G31" i="6"/>
  <c r="G27" i="6"/>
  <c r="G23" i="6"/>
  <c r="G19" i="6"/>
  <c r="G15" i="6"/>
  <c r="G11" i="6"/>
  <c r="G80" i="6"/>
  <c r="K27" i="6" s="1"/>
  <c r="G68" i="6"/>
  <c r="G52" i="6"/>
  <c r="K30" i="6" s="1"/>
  <c r="G36" i="6"/>
  <c r="G24" i="6"/>
  <c r="G12" i="6"/>
  <c r="G62" i="5"/>
  <c r="G63" i="5"/>
  <c r="G26" i="11"/>
  <c r="K20" i="11" s="1"/>
  <c r="G60" i="5"/>
  <c r="G61" i="5"/>
  <c r="K24" i="5" s="1"/>
  <c r="G37" i="11"/>
  <c r="G57" i="5"/>
  <c r="G59" i="5"/>
  <c r="G58" i="5"/>
  <c r="G20" i="11"/>
  <c r="G19" i="11"/>
  <c r="K26" i="6" l="1"/>
  <c r="G82" i="5"/>
  <c r="K34" i="5"/>
  <c r="G103" i="6"/>
  <c r="K42" i="6"/>
  <c r="G100" i="8"/>
  <c r="K20" i="6"/>
  <c r="K19" i="6"/>
  <c r="K17" i="6"/>
  <c r="K12" i="6"/>
  <c r="K21" i="6"/>
  <c r="G113" i="6"/>
  <c r="K25" i="6"/>
  <c r="K24" i="6"/>
  <c r="K16" i="6"/>
  <c r="K18" i="6"/>
  <c r="K23" i="6"/>
  <c r="K15" i="6"/>
  <c r="K14" i="6"/>
  <c r="K13" i="6"/>
  <c r="G91" i="5"/>
  <c r="G46" i="11"/>
  <c r="G27" i="11"/>
  <c r="G98" i="6"/>
  <c r="G108" i="6"/>
  <c r="A9" i="11" l="1"/>
  <c r="A10" i="11" l="1"/>
  <c r="A11" i="11" s="1"/>
  <c r="G34" i="11"/>
  <c r="K14" i="11" s="1"/>
  <c r="G15" i="11"/>
  <c r="G36" i="11"/>
  <c r="G31" i="11"/>
  <c r="G16" i="11"/>
  <c r="G33" i="11"/>
  <c r="G18" i="11"/>
  <c r="K17" i="11" s="1"/>
  <c r="G32" i="11"/>
  <c r="K13" i="11" s="1"/>
  <c r="G35" i="11"/>
  <c r="K16" i="11" s="1"/>
  <c r="G9" i="11"/>
  <c r="K12" i="11" s="1"/>
  <c r="G17" i="11"/>
  <c r="K15" i="11" s="1"/>
  <c r="G38" i="11"/>
  <c r="K11" i="11" l="1"/>
  <c r="K10" i="11"/>
  <c r="G12" i="11"/>
  <c r="K9" i="11"/>
  <c r="G41" i="11"/>
  <c r="G23" i="11"/>
  <c r="G47" i="11" l="1"/>
  <c r="A15" i="11" l="1"/>
  <c r="A16" i="11" l="1"/>
  <c r="A17" i="11" l="1"/>
  <c r="A18" i="11" l="1"/>
  <c r="I146" i="7"/>
  <c r="I142" i="7"/>
  <c r="I138" i="7"/>
  <c r="I137" i="7"/>
  <c r="I132" i="7"/>
  <c r="I131" i="7"/>
  <c r="I127" i="7"/>
  <c r="I123" i="7"/>
  <c r="I122" i="7"/>
  <c r="I121" i="7"/>
  <c r="I120" i="7"/>
  <c r="I119" i="7"/>
  <c r="I118" i="7"/>
  <c r="A19" i="11" l="1"/>
  <c r="A20" i="11" l="1"/>
  <c r="A21" i="11" s="1"/>
  <c r="A22" i="11" s="1"/>
  <c r="A26" i="11" l="1"/>
  <c r="A31" i="11" l="1"/>
  <c r="A32" i="11" s="1"/>
  <c r="A33" i="11" s="1"/>
  <c r="A34" i="11" s="1"/>
  <c r="A35" i="11" s="1"/>
  <c r="A36" i="11" s="1"/>
  <c r="A37" i="11" s="1"/>
  <c r="A38" i="11" s="1"/>
  <c r="A39" i="11" s="1"/>
  <c r="A40" i="11" s="1"/>
  <c r="F75" i="31"/>
  <c r="F102" i="31" s="1"/>
  <c r="G102" i="31" s="1"/>
  <c r="A9" i="35"/>
  <c r="A9" i="19"/>
  <c r="A9" i="12"/>
  <c r="A9" i="10"/>
  <c r="A14" i="10" s="1"/>
  <c r="A9" i="9"/>
  <c r="A9" i="7"/>
  <c r="A9" i="6"/>
  <c r="A9" i="5"/>
  <c r="A9" i="4"/>
  <c r="A9" i="3"/>
  <c r="A9" i="2"/>
  <c r="F41" i="20"/>
  <c r="F86" i="9"/>
  <c r="G84" i="9" s="1"/>
  <c r="F121" i="3"/>
  <c r="G119" i="3" s="1"/>
  <c r="G38" i="20" l="1"/>
  <c r="K14" i="20" s="1"/>
  <c r="G39" i="20"/>
  <c r="G28" i="20"/>
  <c r="G29" i="20"/>
  <c r="G79" i="9"/>
  <c r="G72" i="9"/>
  <c r="K33" i="9"/>
  <c r="A10" i="6"/>
  <c r="A11" i="6" s="1"/>
  <c r="G114" i="3"/>
  <c r="K36" i="3" s="1"/>
  <c r="F103" i="31"/>
  <c r="A10" i="35"/>
  <c r="A11" i="35" s="1"/>
  <c r="G61" i="34"/>
  <c r="G57" i="34"/>
  <c r="G53" i="34"/>
  <c r="G49" i="34"/>
  <c r="G45" i="34"/>
  <c r="G41" i="34"/>
  <c r="G37" i="34"/>
  <c r="G33" i="34"/>
  <c r="G29" i="34"/>
  <c r="G25" i="34"/>
  <c r="G21" i="34"/>
  <c r="G17" i="34"/>
  <c r="G13" i="34"/>
  <c r="G9" i="34"/>
  <c r="G62" i="34"/>
  <c r="L32" i="34" s="1"/>
  <c r="G58" i="34"/>
  <c r="G54" i="34"/>
  <c r="G50" i="34"/>
  <c r="G46" i="34"/>
  <c r="G42" i="34"/>
  <c r="G38" i="34"/>
  <c r="G34" i="34"/>
  <c r="L21" i="34" s="1"/>
  <c r="G30" i="34"/>
  <c r="G26" i="34"/>
  <c r="G22" i="34"/>
  <c r="G18" i="34"/>
  <c r="G14" i="34"/>
  <c r="G10" i="34"/>
  <c r="G63" i="34"/>
  <c r="L33" i="34" s="1"/>
  <c r="G59" i="34"/>
  <c r="L31" i="34" s="1"/>
  <c r="G55" i="34"/>
  <c r="G51" i="34"/>
  <c r="G47" i="34"/>
  <c r="G43" i="34"/>
  <c r="G39" i="34"/>
  <c r="G35" i="34"/>
  <c r="G31" i="34"/>
  <c r="G27" i="34"/>
  <c r="G23" i="34"/>
  <c r="G19" i="34"/>
  <c r="G15" i="34"/>
  <c r="G11" i="34"/>
  <c r="G60" i="34"/>
  <c r="G56" i="34"/>
  <c r="L29" i="34" s="1"/>
  <c r="G52" i="34"/>
  <c r="G48" i="34"/>
  <c r="G44" i="34"/>
  <c r="G40" i="34"/>
  <c r="G36" i="34"/>
  <c r="G32" i="34"/>
  <c r="L30" i="34" s="1"/>
  <c r="G28" i="34"/>
  <c r="G24" i="34"/>
  <c r="L18" i="34" s="1"/>
  <c r="G20" i="34"/>
  <c r="G16" i="34"/>
  <c r="G12" i="34"/>
  <c r="G97" i="34"/>
  <c r="G98" i="34"/>
  <c r="G27" i="20"/>
  <c r="G11" i="20"/>
  <c r="G10" i="20"/>
  <c r="K12" i="20" s="1"/>
  <c r="G70" i="9"/>
  <c r="K31" i="9" s="1"/>
  <c r="G71" i="9"/>
  <c r="G69" i="9"/>
  <c r="G102" i="34"/>
  <c r="L36" i="34" s="1"/>
  <c r="G83" i="9"/>
  <c r="K34" i="9" s="1"/>
  <c r="G118" i="3"/>
  <c r="K37" i="3" s="1"/>
  <c r="G34" i="20"/>
  <c r="G109" i="3"/>
  <c r="G107" i="3"/>
  <c r="G105" i="3"/>
  <c r="G101" i="3"/>
  <c r="G99" i="3"/>
  <c r="K28" i="3" s="1"/>
  <c r="G95" i="3"/>
  <c r="G93" i="3"/>
  <c r="G89" i="3"/>
  <c r="G85" i="3"/>
  <c r="G81" i="3"/>
  <c r="G79" i="3"/>
  <c r="G75" i="3"/>
  <c r="G71" i="3"/>
  <c r="G67" i="3"/>
  <c r="G65" i="3"/>
  <c r="G61" i="3"/>
  <c r="G57" i="3"/>
  <c r="G108" i="3"/>
  <c r="G104" i="3"/>
  <c r="G98" i="3"/>
  <c r="G92" i="3"/>
  <c r="G88" i="3"/>
  <c r="G84" i="3"/>
  <c r="G80" i="3"/>
  <c r="G74" i="3"/>
  <c r="G70" i="3"/>
  <c r="G64" i="3"/>
  <c r="G58" i="3"/>
  <c r="G102" i="3"/>
  <c r="G96" i="3"/>
  <c r="G90" i="3"/>
  <c r="G86" i="3"/>
  <c r="G82" i="3"/>
  <c r="K35" i="3" s="1"/>
  <c r="G76" i="3"/>
  <c r="G72" i="3"/>
  <c r="G66" i="3"/>
  <c r="G60" i="3"/>
  <c r="K34" i="3" s="1"/>
  <c r="G103" i="3"/>
  <c r="G97" i="3"/>
  <c r="G91" i="3"/>
  <c r="G87" i="3"/>
  <c r="G83" i="3"/>
  <c r="G77" i="3"/>
  <c r="G73" i="3"/>
  <c r="G69" i="3"/>
  <c r="G63" i="3"/>
  <c r="G59" i="3"/>
  <c r="G106" i="3"/>
  <c r="G100" i="3"/>
  <c r="G94" i="3"/>
  <c r="G78" i="3"/>
  <c r="G68" i="3"/>
  <c r="G62" i="3"/>
  <c r="G56" i="3"/>
  <c r="G55" i="3"/>
  <c r="G51" i="3"/>
  <c r="G47" i="3"/>
  <c r="G43" i="3"/>
  <c r="G39" i="3"/>
  <c r="G35" i="3"/>
  <c r="G31" i="3"/>
  <c r="G23" i="3"/>
  <c r="G15" i="3"/>
  <c r="G10" i="3"/>
  <c r="G54" i="3"/>
  <c r="K33" i="3" s="1"/>
  <c r="G50" i="3"/>
  <c r="G46" i="3"/>
  <c r="G42" i="3"/>
  <c r="K32" i="3" s="1"/>
  <c r="G38" i="3"/>
  <c r="K31" i="3" s="1"/>
  <c r="G34" i="3"/>
  <c r="G30" i="3"/>
  <c r="K29" i="3" s="1"/>
  <c r="G26" i="3"/>
  <c r="G22" i="3"/>
  <c r="G18" i="3"/>
  <c r="G53" i="3"/>
  <c r="G49" i="3"/>
  <c r="G45" i="3"/>
  <c r="G41" i="3"/>
  <c r="G37" i="3"/>
  <c r="K30" i="3" s="1"/>
  <c r="G33" i="3"/>
  <c r="G29" i="3"/>
  <c r="G25" i="3"/>
  <c r="G21" i="3"/>
  <c r="G17" i="3"/>
  <c r="G13" i="3"/>
  <c r="G52" i="3"/>
  <c r="G48" i="3"/>
  <c r="G44" i="3"/>
  <c r="G40" i="3"/>
  <c r="G36" i="3"/>
  <c r="G32" i="3"/>
  <c r="G28" i="3"/>
  <c r="G24" i="3"/>
  <c r="G20" i="3"/>
  <c r="G16" i="3"/>
  <c r="G12" i="3"/>
  <c r="G27" i="3"/>
  <c r="G19" i="3"/>
  <c r="G11" i="3"/>
  <c r="G14" i="3"/>
  <c r="G67" i="9"/>
  <c r="G68" i="9"/>
  <c r="G66" i="9"/>
  <c r="K30" i="9" s="1"/>
  <c r="G65" i="9"/>
  <c r="G9" i="20"/>
  <c r="A10" i="12"/>
  <c r="A11" i="12" s="1"/>
  <c r="A12" i="12" s="1"/>
  <c r="G64" i="9"/>
  <c r="G63" i="9"/>
  <c r="K29" i="9" s="1"/>
  <c r="G55" i="5"/>
  <c r="G56" i="5"/>
  <c r="K30" i="5" s="1"/>
  <c r="A10" i="5"/>
  <c r="A10" i="19"/>
  <c r="A10" i="9"/>
  <c r="F42" i="16"/>
  <c r="G40" i="16" s="1"/>
  <c r="G97" i="2"/>
  <c r="K41" i="2" s="1"/>
  <c r="A10" i="3"/>
  <c r="A11" i="3" s="1"/>
  <c r="G76" i="35"/>
  <c r="A10" i="4"/>
  <c r="A10" i="2"/>
  <c r="F41" i="12"/>
  <c r="G39" i="12" s="1"/>
  <c r="F42" i="14"/>
  <c r="G40" i="14" s="1"/>
  <c r="F126" i="19"/>
  <c r="G124" i="19" s="1"/>
  <c r="F47" i="21"/>
  <c r="G45" i="21" s="1"/>
  <c r="A10" i="7"/>
  <c r="F35" i="18"/>
  <c r="G33" i="18" s="1"/>
  <c r="F21" i="10"/>
  <c r="F85" i="7"/>
  <c r="G83" i="7" s="1"/>
  <c r="L15" i="34" l="1"/>
  <c r="G40" i="20"/>
  <c r="G77" i="35"/>
  <c r="K28" i="35"/>
  <c r="G14" i="10"/>
  <c r="G19" i="10"/>
  <c r="L25" i="34"/>
  <c r="L9" i="34"/>
  <c r="L26" i="34"/>
  <c r="L23" i="34"/>
  <c r="L19" i="34"/>
  <c r="L14" i="34"/>
  <c r="L24" i="34"/>
  <c r="L13" i="34"/>
  <c r="G72" i="34"/>
  <c r="L20" i="34"/>
  <c r="L17" i="34"/>
  <c r="L10" i="34"/>
  <c r="L12" i="34"/>
  <c r="G80" i="9"/>
  <c r="K32" i="9"/>
  <c r="L11" i="34"/>
  <c r="L27" i="34"/>
  <c r="L28" i="34"/>
  <c r="G40" i="21"/>
  <c r="G39" i="21"/>
  <c r="G38" i="21"/>
  <c r="G37" i="21"/>
  <c r="G11" i="21"/>
  <c r="G10" i="21"/>
  <c r="G80" i="19"/>
  <c r="G77" i="19"/>
  <c r="K38" i="19" s="1"/>
  <c r="G79" i="19"/>
  <c r="K39" i="19" s="1"/>
  <c r="G78" i="19"/>
  <c r="G76" i="19"/>
  <c r="G59" i="19"/>
  <c r="K44" i="19" s="1"/>
  <c r="G55" i="19"/>
  <c r="G51" i="19"/>
  <c r="G47" i="19"/>
  <c r="K37" i="19" s="1"/>
  <c r="G43" i="19"/>
  <c r="G39" i="19"/>
  <c r="G35" i="19"/>
  <c r="G31" i="19"/>
  <c r="G27" i="19"/>
  <c r="G23" i="19"/>
  <c r="K28" i="19" s="1"/>
  <c r="G19" i="19"/>
  <c r="G15" i="19"/>
  <c r="G62" i="19"/>
  <c r="K47" i="19" s="1"/>
  <c r="G58" i="19"/>
  <c r="G54" i="19"/>
  <c r="G50" i="19"/>
  <c r="G46" i="19"/>
  <c r="G42" i="19"/>
  <c r="G38" i="19"/>
  <c r="G34" i="19"/>
  <c r="G30" i="19"/>
  <c r="G26" i="19"/>
  <c r="K30" i="19" s="1"/>
  <c r="G22" i="19"/>
  <c r="K27" i="19" s="1"/>
  <c r="G18" i="19"/>
  <c r="G14" i="19"/>
  <c r="G10" i="19"/>
  <c r="G61" i="19"/>
  <c r="G57" i="19"/>
  <c r="K40" i="19" s="1"/>
  <c r="G53" i="19"/>
  <c r="G49" i="19"/>
  <c r="G45" i="19"/>
  <c r="K36" i="19" s="1"/>
  <c r="G41" i="19"/>
  <c r="K23" i="19" s="1"/>
  <c r="G37" i="19"/>
  <c r="K22" i="19" s="1"/>
  <c r="G33" i="19"/>
  <c r="K32" i="19" s="1"/>
  <c r="G29" i="19"/>
  <c r="G25" i="19"/>
  <c r="G21" i="19"/>
  <c r="G17" i="19"/>
  <c r="G13" i="19"/>
  <c r="G60" i="19"/>
  <c r="G56" i="19"/>
  <c r="G52" i="19"/>
  <c r="G48" i="19"/>
  <c r="G44" i="19"/>
  <c r="G40" i="19"/>
  <c r="G36" i="19"/>
  <c r="G32" i="19"/>
  <c r="G28" i="19"/>
  <c r="K31" i="19" s="1"/>
  <c r="G24" i="19"/>
  <c r="K29" i="19" s="1"/>
  <c r="G20" i="19"/>
  <c r="G16" i="19"/>
  <c r="G12" i="19"/>
  <c r="G11" i="19"/>
  <c r="G33" i="16"/>
  <c r="G34" i="16"/>
  <c r="G35" i="16"/>
  <c r="G35" i="14"/>
  <c r="K12" i="14" s="1"/>
  <c r="G12" i="12"/>
  <c r="G11" i="12"/>
  <c r="K16" i="12" s="1"/>
  <c r="G78" i="7"/>
  <c r="K32" i="7" s="1"/>
  <c r="G67" i="7"/>
  <c r="K31" i="7" s="1"/>
  <c r="A12" i="6"/>
  <c r="A13" i="6" s="1"/>
  <c r="K16" i="3"/>
  <c r="K17" i="3"/>
  <c r="K27" i="3"/>
  <c r="K26" i="3"/>
  <c r="K22" i="3"/>
  <c r="K20" i="3"/>
  <c r="K18" i="3"/>
  <c r="K21" i="3"/>
  <c r="K24" i="3"/>
  <c r="K19" i="3"/>
  <c r="G115" i="3"/>
  <c r="K25" i="3"/>
  <c r="K15" i="3"/>
  <c r="K13" i="3"/>
  <c r="K11" i="3"/>
  <c r="K12" i="3"/>
  <c r="K14" i="3"/>
  <c r="G99" i="34"/>
  <c r="G85" i="9"/>
  <c r="A12" i="35"/>
  <c r="G71" i="35"/>
  <c r="G69" i="35"/>
  <c r="G65" i="35"/>
  <c r="K32" i="35" s="1"/>
  <c r="G61" i="35"/>
  <c r="G57" i="35"/>
  <c r="G53" i="35"/>
  <c r="G49" i="35"/>
  <c r="G45" i="35"/>
  <c r="G41" i="35"/>
  <c r="G37" i="35"/>
  <c r="G33" i="35"/>
  <c r="K27" i="35" s="1"/>
  <c r="G29" i="35"/>
  <c r="G25" i="35"/>
  <c r="G21" i="35"/>
  <c r="G17" i="35"/>
  <c r="G13" i="35"/>
  <c r="G12" i="35"/>
  <c r="G68" i="35"/>
  <c r="K33" i="35" s="1"/>
  <c r="G62" i="35"/>
  <c r="K29" i="35" s="1"/>
  <c r="G58" i="35"/>
  <c r="G54" i="35"/>
  <c r="G50" i="35"/>
  <c r="G46" i="35"/>
  <c r="G42" i="35"/>
  <c r="G38" i="35"/>
  <c r="G34" i="35"/>
  <c r="G30" i="35"/>
  <c r="G26" i="35"/>
  <c r="G22" i="35"/>
  <c r="K22" i="35" s="1"/>
  <c r="G18" i="35"/>
  <c r="G10" i="35"/>
  <c r="G70" i="35"/>
  <c r="G66" i="35"/>
  <c r="G64" i="35"/>
  <c r="G60" i="35"/>
  <c r="K30" i="35" s="1"/>
  <c r="G56" i="35"/>
  <c r="G52" i="35"/>
  <c r="G48" i="35"/>
  <c r="G44" i="35"/>
  <c r="K23" i="35" s="1"/>
  <c r="G40" i="35"/>
  <c r="G36" i="35"/>
  <c r="G32" i="35"/>
  <c r="G28" i="35"/>
  <c r="G24" i="35"/>
  <c r="K25" i="35" s="1"/>
  <c r="G20" i="35"/>
  <c r="G16" i="35"/>
  <c r="G67" i="35"/>
  <c r="G63" i="35"/>
  <c r="K31" i="35" s="1"/>
  <c r="G59" i="35"/>
  <c r="G55" i="35"/>
  <c r="G51" i="35"/>
  <c r="G47" i="35"/>
  <c r="G43" i="35"/>
  <c r="G39" i="35"/>
  <c r="G35" i="35"/>
  <c r="G31" i="35"/>
  <c r="G27" i="35"/>
  <c r="G23" i="35"/>
  <c r="K24" i="35" s="1"/>
  <c r="G19" i="35"/>
  <c r="G15" i="35"/>
  <c r="G11" i="35"/>
  <c r="K10" i="35" s="1"/>
  <c r="G14" i="35"/>
  <c r="G80" i="35"/>
  <c r="K8" i="35" s="1"/>
  <c r="G104" i="34"/>
  <c r="G64" i="31"/>
  <c r="G60" i="31"/>
  <c r="G56" i="31"/>
  <c r="L28" i="31" s="1"/>
  <c r="G52" i="31"/>
  <c r="G48" i="31"/>
  <c r="G44" i="31"/>
  <c r="G40" i="31"/>
  <c r="G36" i="31"/>
  <c r="G32" i="31"/>
  <c r="G28" i="31"/>
  <c r="G24" i="31"/>
  <c r="L27" i="31" s="1"/>
  <c r="G20" i="31"/>
  <c r="G16" i="31"/>
  <c r="G12" i="31"/>
  <c r="G65" i="31"/>
  <c r="L33" i="31" s="1"/>
  <c r="G61" i="31"/>
  <c r="G57" i="31"/>
  <c r="G53" i="31"/>
  <c r="G49" i="31"/>
  <c r="G45" i="31"/>
  <c r="G41" i="31"/>
  <c r="G37" i="31"/>
  <c r="G33" i="31"/>
  <c r="L29" i="31" s="1"/>
  <c r="G29" i="31"/>
  <c r="G25" i="31"/>
  <c r="G21" i="31"/>
  <c r="L21" i="31" s="1"/>
  <c r="G17" i="31"/>
  <c r="L13" i="31" s="1"/>
  <c r="G13" i="31"/>
  <c r="G9" i="31"/>
  <c r="G62" i="31"/>
  <c r="L31" i="31" s="1"/>
  <c r="G58" i="31"/>
  <c r="G54" i="31"/>
  <c r="G50" i="31"/>
  <c r="G46" i="31"/>
  <c r="G42" i="31"/>
  <c r="G38" i="31"/>
  <c r="G34" i="31"/>
  <c r="G30" i="31"/>
  <c r="G26" i="31"/>
  <c r="G22" i="31"/>
  <c r="L25" i="31" s="1"/>
  <c r="G18" i="31"/>
  <c r="G14" i="31"/>
  <c r="G10" i="31"/>
  <c r="G63" i="31"/>
  <c r="L32" i="31" s="1"/>
  <c r="G59" i="31"/>
  <c r="L30" i="31" s="1"/>
  <c r="G55" i="31"/>
  <c r="G51" i="31"/>
  <c r="G47" i="31"/>
  <c r="G43" i="31"/>
  <c r="G39" i="31"/>
  <c r="G35" i="31"/>
  <c r="G31" i="31"/>
  <c r="L20" i="31" s="1"/>
  <c r="G27" i="31"/>
  <c r="G23" i="31"/>
  <c r="L26" i="31" s="1"/>
  <c r="G19" i="31"/>
  <c r="L17" i="31" s="1"/>
  <c r="G15" i="31"/>
  <c r="G11" i="31"/>
  <c r="G44" i="21"/>
  <c r="K16" i="21" s="1"/>
  <c r="G35" i="21"/>
  <c r="G36" i="21"/>
  <c r="G102" i="19"/>
  <c r="K46" i="19" s="1"/>
  <c r="G26" i="18"/>
  <c r="G27" i="18"/>
  <c r="G28" i="18"/>
  <c r="G39" i="16"/>
  <c r="K17" i="16" s="1"/>
  <c r="G32" i="16"/>
  <c r="G30" i="14"/>
  <c r="G31" i="14"/>
  <c r="K14" i="14" s="1"/>
  <c r="G82" i="7"/>
  <c r="K35" i="7" s="1"/>
  <c r="G66" i="7"/>
  <c r="G120" i="3"/>
  <c r="G39" i="14"/>
  <c r="K15" i="14" s="1"/>
  <c r="G84" i="35"/>
  <c r="K34" i="35" s="1"/>
  <c r="G101" i="31"/>
  <c r="L35" i="31" s="1"/>
  <c r="G123" i="19"/>
  <c r="K48" i="19" s="1"/>
  <c r="G32" i="18"/>
  <c r="K15" i="18" s="1"/>
  <c r="G38" i="12"/>
  <c r="K20" i="12" s="1"/>
  <c r="G18" i="10"/>
  <c r="K11" i="10" s="1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15" i="2"/>
  <c r="G99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1" i="2"/>
  <c r="G34" i="21"/>
  <c r="G114" i="19"/>
  <c r="G115" i="19"/>
  <c r="G25" i="18"/>
  <c r="G17" i="14"/>
  <c r="G9" i="10"/>
  <c r="G65" i="7"/>
  <c r="G63" i="7"/>
  <c r="G64" i="7"/>
  <c r="G9" i="14"/>
  <c r="K11" i="14" s="1"/>
  <c r="G23" i="21"/>
  <c r="G19" i="21"/>
  <c r="G24" i="21"/>
  <c r="G20" i="21"/>
  <c r="G25" i="21"/>
  <c r="G21" i="21"/>
  <c r="G22" i="21"/>
  <c r="G16" i="21"/>
  <c r="G17" i="21"/>
  <c r="G18" i="21"/>
  <c r="G15" i="21"/>
  <c r="G24" i="18"/>
  <c r="G22" i="18"/>
  <c r="G23" i="18"/>
  <c r="G21" i="18"/>
  <c r="G61" i="7"/>
  <c r="G60" i="7"/>
  <c r="G62" i="7"/>
  <c r="K30" i="7" s="1"/>
  <c r="K37" i="2"/>
  <c r="G34" i="12"/>
  <c r="G111" i="19"/>
  <c r="G99" i="19"/>
  <c r="K42" i="19" s="1"/>
  <c r="G95" i="19"/>
  <c r="G91" i="19"/>
  <c r="G87" i="19"/>
  <c r="G72" i="19"/>
  <c r="G110" i="19"/>
  <c r="G98" i="19"/>
  <c r="K41" i="19" s="1"/>
  <c r="G94" i="19"/>
  <c r="G90" i="19"/>
  <c r="G86" i="19"/>
  <c r="G75" i="19"/>
  <c r="K34" i="19" s="1"/>
  <c r="G68" i="19"/>
  <c r="G113" i="19"/>
  <c r="G106" i="19"/>
  <c r="K35" i="19" s="1"/>
  <c r="G101" i="19"/>
  <c r="K45" i="19" s="1"/>
  <c r="G97" i="19"/>
  <c r="G93" i="19"/>
  <c r="G89" i="19"/>
  <c r="G85" i="19"/>
  <c r="G74" i="19"/>
  <c r="G119" i="19"/>
  <c r="K33" i="19" s="1"/>
  <c r="G112" i="19"/>
  <c r="G100" i="19"/>
  <c r="K43" i="19" s="1"/>
  <c r="G96" i="19"/>
  <c r="G92" i="19"/>
  <c r="G88" i="19"/>
  <c r="G73" i="19"/>
  <c r="G33" i="12"/>
  <c r="G31" i="12"/>
  <c r="G30" i="12"/>
  <c r="G32" i="12"/>
  <c r="G29" i="12"/>
  <c r="G28" i="12"/>
  <c r="K18" i="12" s="1"/>
  <c r="G59" i="7"/>
  <c r="K29" i="7" s="1"/>
  <c r="G18" i="18"/>
  <c r="K12" i="18" s="1"/>
  <c r="G16" i="18"/>
  <c r="G19" i="18"/>
  <c r="G17" i="18"/>
  <c r="K11" i="18" s="1"/>
  <c r="G20" i="18"/>
  <c r="G15" i="18"/>
  <c r="G13" i="16"/>
  <c r="G14" i="16"/>
  <c r="G12" i="20"/>
  <c r="G58" i="7"/>
  <c r="K28" i="7" s="1"/>
  <c r="G16" i="12"/>
  <c r="K19" i="12" s="1"/>
  <c r="G57" i="7"/>
  <c r="K33" i="2"/>
  <c r="K35" i="2"/>
  <c r="K34" i="2"/>
  <c r="G30" i="16"/>
  <c r="K16" i="16" s="1"/>
  <c r="G53" i="7"/>
  <c r="G49" i="7"/>
  <c r="G45" i="7"/>
  <c r="G41" i="7"/>
  <c r="G37" i="7"/>
  <c r="G33" i="7"/>
  <c r="G29" i="7"/>
  <c r="G25" i="7"/>
  <c r="G21" i="7"/>
  <c r="G17" i="7"/>
  <c r="G13" i="7"/>
  <c r="G11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K27" i="7" s="1"/>
  <c r="G43" i="7"/>
  <c r="G39" i="7"/>
  <c r="G35" i="7"/>
  <c r="G31" i="7"/>
  <c r="G27" i="7"/>
  <c r="G23" i="7"/>
  <c r="G19" i="7"/>
  <c r="G15" i="7"/>
  <c r="G54" i="7"/>
  <c r="G50" i="7"/>
  <c r="G46" i="7"/>
  <c r="G42" i="7"/>
  <c r="G38" i="7"/>
  <c r="G34" i="7"/>
  <c r="K26" i="7" s="1"/>
  <c r="G30" i="7"/>
  <c r="G26" i="7"/>
  <c r="G22" i="7"/>
  <c r="G18" i="7"/>
  <c r="G14" i="7"/>
  <c r="G10" i="7"/>
  <c r="G27" i="12"/>
  <c r="G29" i="21"/>
  <c r="G16" i="14"/>
  <c r="G9" i="18"/>
  <c r="G93" i="2"/>
  <c r="G94" i="2" s="1"/>
  <c r="G26" i="12"/>
  <c r="G29" i="14"/>
  <c r="G9" i="12"/>
  <c r="K15" i="12" s="1"/>
  <c r="G10" i="12"/>
  <c r="K17" i="12" s="1"/>
  <c r="G28" i="14"/>
  <c r="K13" i="14" s="1"/>
  <c r="G27" i="14"/>
  <c r="G14" i="14"/>
  <c r="G13" i="14"/>
  <c r="G15" i="14"/>
  <c r="G26" i="14"/>
  <c r="G31" i="16"/>
  <c r="G29" i="16"/>
  <c r="G25" i="16"/>
  <c r="K13" i="16" s="1"/>
  <c r="G21" i="16"/>
  <c r="G28" i="16"/>
  <c r="G24" i="16"/>
  <c r="K12" i="16" s="1"/>
  <c r="G20" i="16"/>
  <c r="K11" i="16" s="1"/>
  <c r="G22" i="16"/>
  <c r="G27" i="16"/>
  <c r="G23" i="16"/>
  <c r="G19" i="16"/>
  <c r="G26" i="16"/>
  <c r="G9" i="16"/>
  <c r="K14" i="16" s="1"/>
  <c r="G25" i="14"/>
  <c r="G24" i="20"/>
  <c r="G21" i="20"/>
  <c r="G17" i="20"/>
  <c r="G23" i="20"/>
  <c r="G22" i="20"/>
  <c r="G18" i="20"/>
  <c r="G25" i="20"/>
  <c r="A11" i="9"/>
  <c r="A12" i="9" s="1"/>
  <c r="A11" i="7"/>
  <c r="A11" i="5"/>
  <c r="A11" i="2"/>
  <c r="G24" i="12"/>
  <c r="G22" i="12"/>
  <c r="G25" i="12"/>
  <c r="G23" i="12"/>
  <c r="G28" i="5"/>
  <c r="A11" i="4"/>
  <c r="A11" i="19"/>
  <c r="G61" i="9"/>
  <c r="G18" i="9"/>
  <c r="G53" i="5"/>
  <c r="K29" i="5" s="1"/>
  <c r="G48" i="5"/>
  <c r="K27" i="5" s="1"/>
  <c r="G85" i="5"/>
  <c r="K33" i="5" s="1"/>
  <c r="G31" i="5"/>
  <c r="G31" i="9"/>
  <c r="G38" i="9"/>
  <c r="G49" i="9"/>
  <c r="G42" i="9"/>
  <c r="G46" i="9"/>
  <c r="G9" i="35"/>
  <c r="G16" i="20"/>
  <c r="G21" i="12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K26" i="5" s="1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K23" i="5" s="1"/>
  <c r="G20" i="5"/>
  <c r="G18" i="5"/>
  <c r="G12" i="5"/>
  <c r="G36" i="5"/>
  <c r="G37" i="5"/>
  <c r="K25" i="5" s="1"/>
  <c r="G34" i="5"/>
  <c r="G40" i="5"/>
  <c r="G17" i="5"/>
  <c r="G47" i="5"/>
  <c r="G32" i="5"/>
  <c r="G9" i="5"/>
  <c r="G49" i="5"/>
  <c r="G50" i="5"/>
  <c r="G30" i="5"/>
  <c r="G29" i="5"/>
  <c r="G39" i="5"/>
  <c r="G42" i="5"/>
  <c r="G25" i="5"/>
  <c r="G14" i="5"/>
  <c r="G23" i="5"/>
  <c r="G52" i="5"/>
  <c r="G22" i="5"/>
  <c r="G13" i="5"/>
  <c r="G15" i="5"/>
  <c r="G33" i="5"/>
  <c r="G51" i="5"/>
  <c r="K28" i="5" s="1"/>
  <c r="G54" i="5"/>
  <c r="G59" i="9"/>
  <c r="A12" i="3"/>
  <c r="A13" i="3" s="1"/>
  <c r="G74" i="31"/>
  <c r="G15" i="20"/>
  <c r="G20" i="20"/>
  <c r="G19" i="20"/>
  <c r="G24" i="14"/>
  <c r="G56" i="9"/>
  <c r="G54" i="9"/>
  <c r="G28" i="9"/>
  <c r="G9" i="3"/>
  <c r="G9" i="2"/>
  <c r="G22" i="14"/>
  <c r="G17" i="9"/>
  <c r="G9" i="21"/>
  <c r="G9" i="19"/>
  <c r="G14" i="18"/>
  <c r="G23" i="14"/>
  <c r="G29" i="9"/>
  <c r="G37" i="9"/>
  <c r="G13" i="9"/>
  <c r="G40" i="9"/>
  <c r="G12" i="9"/>
  <c r="G33" i="9"/>
  <c r="K27" i="9" s="1"/>
  <c r="G14" i="9"/>
  <c r="G25" i="9"/>
  <c r="G48" i="9"/>
  <c r="G16" i="9"/>
  <c r="G55" i="9"/>
  <c r="G22" i="9"/>
  <c r="G62" i="9"/>
  <c r="G15" i="9"/>
  <c r="G57" i="9"/>
  <c r="G11" i="9"/>
  <c r="G58" i="9"/>
  <c r="G47" i="9"/>
  <c r="G19" i="9"/>
  <c r="G9" i="9"/>
  <c r="G32" i="9"/>
  <c r="G60" i="9"/>
  <c r="K28" i="9" s="1"/>
  <c r="G44" i="9"/>
  <c r="G36" i="9"/>
  <c r="G20" i="9"/>
  <c r="G51" i="9"/>
  <c r="G43" i="9"/>
  <c r="G34" i="9"/>
  <c r="G33" i="20"/>
  <c r="K11" i="20" s="1"/>
  <c r="G26" i="20"/>
  <c r="K13" i="20" s="1"/>
  <c r="G9" i="7"/>
  <c r="G45" i="9"/>
  <c r="G10" i="9"/>
  <c r="A14" i="18"/>
  <c r="K18" i="35" l="1"/>
  <c r="G15" i="10"/>
  <c r="K10" i="10"/>
  <c r="K16" i="35"/>
  <c r="K13" i="21"/>
  <c r="K19" i="35"/>
  <c r="K26" i="35"/>
  <c r="K13" i="18"/>
  <c r="L16" i="31"/>
  <c r="L23" i="31"/>
  <c r="L14" i="31"/>
  <c r="L22" i="31"/>
  <c r="L19" i="31"/>
  <c r="L18" i="31"/>
  <c r="L10" i="31"/>
  <c r="L15" i="31"/>
  <c r="G72" i="31"/>
  <c r="K10" i="16"/>
  <c r="K15" i="5"/>
  <c r="K20" i="19"/>
  <c r="K24" i="19"/>
  <c r="K26" i="19"/>
  <c r="K25" i="19"/>
  <c r="K17" i="19"/>
  <c r="K21" i="19"/>
  <c r="K10" i="14"/>
  <c r="G46" i="21"/>
  <c r="K9" i="35"/>
  <c r="K14" i="35"/>
  <c r="K17" i="35"/>
  <c r="K21" i="35"/>
  <c r="K15" i="35"/>
  <c r="K11" i="35"/>
  <c r="L73" i="35" s="1"/>
  <c r="K20" i="35"/>
  <c r="K13" i="35"/>
  <c r="K12" i="35"/>
  <c r="L11" i="31"/>
  <c r="K15" i="21"/>
  <c r="K12" i="21"/>
  <c r="K11" i="21"/>
  <c r="K10" i="21"/>
  <c r="K14" i="21"/>
  <c r="K19" i="19"/>
  <c r="K15" i="19"/>
  <c r="K18" i="19"/>
  <c r="K14" i="18"/>
  <c r="K10" i="18"/>
  <c r="G36" i="14"/>
  <c r="K9" i="14"/>
  <c r="K12" i="12"/>
  <c r="K11" i="12"/>
  <c r="K13" i="12"/>
  <c r="G10" i="10"/>
  <c r="K16" i="9"/>
  <c r="K19" i="9"/>
  <c r="K26" i="9"/>
  <c r="K22" i="9"/>
  <c r="K23" i="9"/>
  <c r="K25" i="9"/>
  <c r="K24" i="9"/>
  <c r="K18" i="9"/>
  <c r="K11" i="9"/>
  <c r="K13" i="9"/>
  <c r="G79" i="7"/>
  <c r="K15" i="7"/>
  <c r="K24" i="7"/>
  <c r="K25" i="7"/>
  <c r="K16" i="7"/>
  <c r="K20" i="7"/>
  <c r="K17" i="7"/>
  <c r="K23" i="7"/>
  <c r="K18" i="7"/>
  <c r="K22" i="7"/>
  <c r="K21" i="7"/>
  <c r="K14" i="7"/>
  <c r="A14" i="6"/>
  <c r="K22" i="5"/>
  <c r="K16" i="5"/>
  <c r="K23" i="3"/>
  <c r="L12" i="31"/>
  <c r="K13" i="5"/>
  <c r="K14" i="5"/>
  <c r="K10" i="20"/>
  <c r="G41" i="16"/>
  <c r="K21" i="9"/>
  <c r="K12" i="9"/>
  <c r="K20" i="9"/>
  <c r="K10" i="9"/>
  <c r="K14" i="9"/>
  <c r="K15" i="9"/>
  <c r="K17" i="9"/>
  <c r="K19" i="7"/>
  <c r="K18" i="5"/>
  <c r="K21" i="5"/>
  <c r="K9" i="21"/>
  <c r="K14" i="19"/>
  <c r="K13" i="19"/>
  <c r="K16" i="19"/>
  <c r="K15" i="16"/>
  <c r="K14" i="12"/>
  <c r="K10" i="5"/>
  <c r="K17" i="5"/>
  <c r="K11" i="5"/>
  <c r="K19" i="5"/>
  <c r="K12" i="5"/>
  <c r="K20" i="5"/>
  <c r="A13" i="35"/>
  <c r="G81" i="35"/>
  <c r="G103" i="31"/>
  <c r="G41" i="21"/>
  <c r="G125" i="19"/>
  <c r="G34" i="18"/>
  <c r="G40" i="12"/>
  <c r="G20" i="10"/>
  <c r="G84" i="7"/>
  <c r="G86" i="35"/>
  <c r="G41" i="14"/>
  <c r="K12" i="19"/>
  <c r="G30" i="21"/>
  <c r="K10" i="12"/>
  <c r="G35" i="20"/>
  <c r="K11" i="19"/>
  <c r="K10" i="19"/>
  <c r="K9" i="16"/>
  <c r="K12" i="7"/>
  <c r="K13" i="7"/>
  <c r="K11" i="7"/>
  <c r="K10" i="7"/>
  <c r="A14" i="3"/>
  <c r="A15" i="3" s="1"/>
  <c r="A16" i="3" s="1"/>
  <c r="K8" i="14"/>
  <c r="K32" i="2"/>
  <c r="G69" i="19"/>
  <c r="G10" i="14"/>
  <c r="G26" i="21"/>
  <c r="K8" i="21"/>
  <c r="A12" i="7"/>
  <c r="K10" i="3"/>
  <c r="K9" i="3"/>
  <c r="G107" i="19"/>
  <c r="G120" i="19"/>
  <c r="K31" i="2"/>
  <c r="K28" i="2"/>
  <c r="K30" i="2"/>
  <c r="G75" i="9"/>
  <c r="G69" i="7"/>
  <c r="G86" i="5"/>
  <c r="G15" i="16"/>
  <c r="K22" i="2"/>
  <c r="K8" i="16"/>
  <c r="K20" i="2"/>
  <c r="K29" i="2"/>
  <c r="K26" i="2"/>
  <c r="G81" i="19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G17" i="12"/>
  <c r="K9" i="20"/>
  <c r="G64" i="19"/>
  <c r="G103" i="19"/>
  <c r="G116" i="19"/>
  <c r="G30" i="20"/>
  <c r="G10" i="18"/>
  <c r="K9" i="18"/>
  <c r="G75" i="2"/>
  <c r="A12" i="2"/>
  <c r="K9" i="5"/>
  <c r="G69" i="5"/>
  <c r="A12" i="4"/>
  <c r="G72" i="35"/>
  <c r="G29" i="18"/>
  <c r="G12" i="21"/>
  <c r="G10" i="16"/>
  <c r="G36" i="16"/>
  <c r="G32" i="14"/>
  <c r="G18" i="14"/>
  <c r="G35" i="12"/>
  <c r="G13" i="12"/>
  <c r="G110" i="3"/>
  <c r="K9" i="19"/>
  <c r="A12" i="5"/>
  <c r="G75" i="31"/>
  <c r="K9" i="12"/>
  <c r="K9" i="10"/>
  <c r="K9" i="2"/>
  <c r="K9" i="9"/>
  <c r="K9" i="7"/>
  <c r="A15" i="18"/>
  <c r="A16" i="18" s="1"/>
  <c r="A12" i="19"/>
  <c r="A13" i="9"/>
  <c r="M98" i="31" l="1"/>
  <c r="M93" i="31"/>
  <c r="A13" i="7"/>
  <c r="A14" i="7" s="1"/>
  <c r="A15" i="7" s="1"/>
  <c r="A15" i="6"/>
  <c r="A14" i="35"/>
  <c r="M88" i="31"/>
  <c r="A13" i="4"/>
  <c r="G100" i="2"/>
  <c r="A17" i="3"/>
  <c r="L26" i="21"/>
  <c r="A13" i="5"/>
  <c r="A16" i="12"/>
  <c r="G105" i="34"/>
  <c r="A13" i="2"/>
  <c r="A17" i="18"/>
  <c r="G104" i="31"/>
  <c r="L12" i="18"/>
  <c r="M73" i="34"/>
  <c r="M72" i="31"/>
  <c r="L12" i="21"/>
  <c r="L32" i="19"/>
  <c r="G42" i="16"/>
  <c r="G21" i="10"/>
  <c r="G86" i="9"/>
  <c r="L32" i="3"/>
  <c r="G126" i="19"/>
  <c r="L29" i="9"/>
  <c r="L26" i="7"/>
  <c r="G92" i="5"/>
  <c r="A14" i="9"/>
  <c r="A13" i="19"/>
  <c r="G87" i="35"/>
  <c r="G47" i="21"/>
  <c r="G41" i="12"/>
  <c r="G42" i="14"/>
  <c r="G41" i="20"/>
  <c r="A9" i="21"/>
  <c r="G121" i="3"/>
  <c r="G35" i="18"/>
  <c r="G85" i="7"/>
  <c r="A10" i="21" l="1"/>
  <c r="A11" i="21" s="1"/>
  <c r="A16" i="6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6" i="35" s="1"/>
  <c r="A14" i="4"/>
  <c r="A15" i="4" s="1"/>
  <c r="A18" i="18"/>
  <c r="A19" i="18" s="1"/>
  <c r="A18" i="3"/>
  <c r="A14" i="5"/>
  <c r="A14" i="2"/>
  <c r="A15" i="9"/>
  <c r="A16" i="9" s="1"/>
  <c r="A17" i="9" s="1"/>
  <c r="A18" i="9" s="1"/>
  <c r="A14" i="19"/>
  <c r="A16" i="7"/>
  <c r="A9" i="16"/>
  <c r="A19" i="3" l="1"/>
  <c r="A20" i="18"/>
  <c r="A21" i="18" s="1"/>
  <c r="A22" i="18" s="1"/>
  <c r="A23" i="18" s="1"/>
  <c r="A15" i="5"/>
  <c r="A16" i="5" s="1"/>
  <c r="A17" i="5" s="1"/>
  <c r="A21" i="12"/>
  <c r="A15" i="2"/>
  <c r="A16" i="2" s="1"/>
  <c r="A15" i="19"/>
  <c r="A19" i="9"/>
  <c r="A17" i="7"/>
  <c r="A16" i="4"/>
  <c r="A80" i="35" l="1"/>
  <c r="A20" i="3"/>
  <c r="A24" i="18"/>
  <c r="A25" i="18" s="1"/>
  <c r="A26" i="18" s="1"/>
  <c r="A27" i="18" s="1"/>
  <c r="A28" i="18" s="1"/>
  <c r="A13" i="16"/>
  <c r="A22" i="12"/>
  <c r="A23" i="12" s="1"/>
  <c r="A24" i="12" s="1"/>
  <c r="A25" i="12" s="1"/>
  <c r="A26" i="12" s="1"/>
  <c r="A27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6" i="19"/>
  <c r="A17" i="19" s="1"/>
  <c r="A20" i="9"/>
  <c r="A18" i="7"/>
  <c r="A17" i="4"/>
  <c r="A18" i="4" s="1"/>
  <c r="A17" i="2"/>
  <c r="A18" i="2" s="1"/>
  <c r="A9" i="8" l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4" i="16"/>
  <c r="A28" i="12"/>
  <c r="A56" i="5"/>
  <c r="A57" i="5" s="1"/>
  <c r="A18" i="19"/>
  <c r="A19" i="19" s="1"/>
  <c r="A21" i="9"/>
  <c r="A19" i="7"/>
  <c r="A19" i="4"/>
  <c r="A19" i="2"/>
  <c r="A10" i="8" l="1"/>
  <c r="A12" i="8" s="1"/>
  <c r="A11" i="8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4" i="3" s="1"/>
  <c r="A29" i="12"/>
  <c r="A58" i="5"/>
  <c r="A59" i="5" s="1"/>
  <c r="A60" i="5" s="1"/>
  <c r="A61" i="5" s="1"/>
  <c r="A62" i="5" s="1"/>
  <c r="A63" i="5" s="1"/>
  <c r="A64" i="5" s="1"/>
  <c r="A65" i="5" s="1"/>
  <c r="A20" i="19"/>
  <c r="A22" i="9"/>
  <c r="A20" i="7"/>
  <c r="A20" i="4"/>
  <c r="A20" i="2"/>
  <c r="A13" i="8" l="1"/>
  <c r="A66" i="5"/>
  <c r="A67" i="5" s="1"/>
  <c r="A68" i="5" s="1"/>
  <c r="A9" i="31"/>
  <c r="A9" i="17"/>
  <c r="A15" i="21"/>
  <c r="A30" i="12"/>
  <c r="A19" i="16"/>
  <c r="A21" i="19"/>
  <c r="A23" i="9"/>
  <c r="A21" i="7"/>
  <c r="A21" i="4"/>
  <c r="A21" i="2"/>
  <c r="A10" i="31" l="1"/>
  <c r="A11" i="31" s="1"/>
  <c r="A14" i="8"/>
  <c r="A15" i="8" s="1"/>
  <c r="A10" i="17"/>
  <c r="A11" i="17" s="1"/>
  <c r="A12" i="17" s="1"/>
  <c r="A20" i="16"/>
  <c r="A21" i="16" s="1"/>
  <c r="A22" i="16" s="1"/>
  <c r="A23" i="16" s="1"/>
  <c r="A24" i="16" s="1"/>
  <c r="A16" i="21"/>
  <c r="A17" i="21" s="1"/>
  <c r="A18" i="21" s="1"/>
  <c r="A31" i="12"/>
  <c r="A32" i="12" s="1"/>
  <c r="A33" i="12" s="1"/>
  <c r="A34" i="12" s="1"/>
  <c r="A25" i="16"/>
  <c r="A26" i="16" s="1"/>
  <c r="A27" i="16" s="1"/>
  <c r="A28" i="16" s="1"/>
  <c r="A29" i="16" s="1"/>
  <c r="A30" i="16" s="1"/>
  <c r="A31" i="16" s="1"/>
  <c r="A15" i="20"/>
  <c r="A22" i="19"/>
  <c r="A24" i="9"/>
  <c r="A22" i="7"/>
  <c r="A22" i="4"/>
  <c r="A22" i="2"/>
  <c r="A12" i="31" l="1"/>
  <c r="A13" i="31"/>
  <c r="A16" i="8"/>
  <c r="A17" i="8" s="1"/>
  <c r="A13" i="17"/>
  <c r="A14" i="17" s="1"/>
  <c r="A32" i="16"/>
  <c r="A33" i="16" s="1"/>
  <c r="A19" i="21"/>
  <c r="A16" i="20"/>
  <c r="A17" i="20" s="1"/>
  <c r="A18" i="20" s="1"/>
  <c r="A19" i="20" s="1"/>
  <c r="A23" i="19"/>
  <c r="A25" i="9"/>
  <c r="A23" i="7"/>
  <c r="A23" i="4"/>
  <c r="A23" i="2"/>
  <c r="A34" i="16" l="1"/>
  <c r="A35" i="16" s="1"/>
  <c r="A14" i="31"/>
  <c r="A18" i="8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15" i="17"/>
  <c r="A9" i="34"/>
  <c r="A20" i="21"/>
  <c r="A21" i="21" s="1"/>
  <c r="A22" i="21" s="1"/>
  <c r="A20" i="20"/>
  <c r="A24" i="19"/>
  <c r="A26" i="9"/>
  <c r="A24" i="7"/>
  <c r="A24" i="4"/>
  <c r="A24" i="2"/>
  <c r="A10" i="34" l="1"/>
  <c r="A11" i="34"/>
  <c r="A15" i="31"/>
  <c r="A16" i="17"/>
  <c r="A23" i="21"/>
  <c r="A24" i="21" s="1"/>
  <c r="A25" i="21" s="1"/>
  <c r="A29" i="21" s="1"/>
  <c r="A34" i="21" s="1"/>
  <c r="A21" i="20"/>
  <c r="A25" i="19"/>
  <c r="A27" i="9"/>
  <c r="A25" i="7"/>
  <c r="A25" i="4"/>
  <c r="A25" i="2"/>
  <c r="A12" i="34" l="1"/>
  <c r="A16" i="31"/>
  <c r="A17" i="31" s="1"/>
  <c r="A17" i="17"/>
  <c r="A35" i="21"/>
  <c r="A36" i="21" s="1"/>
  <c r="A37" i="21" s="1"/>
  <c r="A38" i="21" s="1"/>
  <c r="A22" i="20"/>
  <c r="A23" i="20" s="1"/>
  <c r="A24" i="20" s="1"/>
  <c r="A25" i="20" s="1"/>
  <c r="A26" i="20" s="1"/>
  <c r="A27" i="20" s="1"/>
  <c r="A28" i="20" s="1"/>
  <c r="A29" i="20" s="1"/>
  <c r="A26" i="19"/>
  <c r="A28" i="9"/>
  <c r="A26" i="7"/>
  <c r="A26" i="4"/>
  <c r="A26" i="2"/>
  <c r="A39" i="21" l="1"/>
  <c r="A40" i="21" s="1"/>
  <c r="A13" i="34"/>
  <c r="A18" i="3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18" i="17"/>
  <c r="A27" i="19"/>
  <c r="A29" i="9"/>
  <c r="A27" i="7"/>
  <c r="A27" i="4"/>
  <c r="A27" i="2"/>
  <c r="A14" i="34" l="1"/>
  <c r="A15" i="34"/>
  <c r="A16" i="34" s="1"/>
  <c r="A19" i="17"/>
  <c r="A20" i="17" s="1"/>
  <c r="A36" i="8"/>
  <c r="A28" i="19"/>
  <c r="A30" i="9"/>
  <c r="A28" i="7"/>
  <c r="A28" i="4"/>
  <c r="A28" i="2"/>
  <c r="A17" i="34" l="1"/>
  <c r="A21" i="17"/>
  <c r="A22" i="17" s="1"/>
  <c r="A23" i="17" s="1"/>
  <c r="A24" i="17" s="1"/>
  <c r="A25" i="17" s="1"/>
  <c r="A33" i="20"/>
  <c r="A34" i="20" s="1"/>
  <c r="A29" i="19"/>
  <c r="A31" i="9"/>
  <c r="A29" i="7"/>
  <c r="A29" i="4"/>
  <c r="A29" i="2"/>
  <c r="A18" i="34" l="1"/>
  <c r="A19" i="34" s="1"/>
  <c r="A20" i="34" s="1"/>
  <c r="A21" i="34" s="1"/>
  <c r="A22" i="34" s="1"/>
  <c r="A23" i="34" s="1"/>
  <c r="A24" i="34" s="1"/>
  <c r="A25" i="34" s="1"/>
  <c r="A26" i="34" s="1"/>
  <c r="A26" i="17"/>
  <c r="A27" i="17" s="1"/>
  <c r="A28" i="17" s="1"/>
  <c r="A29" i="17" s="1"/>
  <c r="A30" i="17" s="1"/>
  <c r="A31" i="17" s="1"/>
  <c r="A32" i="17" s="1"/>
  <c r="A30" i="19"/>
  <c r="A32" i="9"/>
  <c r="A30" i="7"/>
  <c r="A30" i="4"/>
  <c r="A30" i="2"/>
  <c r="G12" i="4"/>
  <c r="G33" i="4"/>
  <c r="K22" i="4" s="1"/>
  <c r="G21" i="4"/>
  <c r="G36" i="4"/>
  <c r="G14" i="4"/>
  <c r="G38" i="4"/>
  <c r="K25" i="4" s="1"/>
  <c r="G35" i="4"/>
  <c r="K24" i="4" s="1"/>
  <c r="G26" i="4"/>
  <c r="G18" i="4"/>
  <c r="G25" i="4"/>
  <c r="G28" i="4"/>
  <c r="G9" i="4"/>
  <c r="G19" i="4"/>
  <c r="G16" i="4"/>
  <c r="G24" i="4"/>
  <c r="K17" i="4" s="1"/>
  <c r="G30" i="4"/>
  <c r="G34" i="4"/>
  <c r="K23" i="4" s="1"/>
  <c r="G29" i="4"/>
  <c r="G13" i="4"/>
  <c r="G20" i="4"/>
  <c r="G17" i="4"/>
  <c r="G32" i="4"/>
  <c r="K21" i="4" s="1"/>
  <c r="G31" i="4"/>
  <c r="G37" i="4"/>
  <c r="G10" i="4"/>
  <c r="K14" i="4" s="1"/>
  <c r="G15" i="4"/>
  <c r="G22" i="4"/>
  <c r="G27" i="4"/>
  <c r="G23" i="4"/>
  <c r="G11" i="4"/>
  <c r="A27" i="34" l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K16" i="4"/>
  <c r="K20" i="4"/>
  <c r="A78" i="31"/>
  <c r="A36" i="17"/>
  <c r="K13" i="4"/>
  <c r="K15" i="4"/>
  <c r="K19" i="4"/>
  <c r="K18" i="4"/>
  <c r="K12" i="4"/>
  <c r="K10" i="4"/>
  <c r="K11" i="4"/>
  <c r="G39" i="4"/>
  <c r="G50" i="4" s="1"/>
  <c r="K9" i="4"/>
  <c r="A31" i="19"/>
  <c r="A33" i="9"/>
  <c r="A31" i="7"/>
  <c r="A31" i="4"/>
  <c r="A31" i="2"/>
  <c r="A75" i="34" l="1"/>
  <c r="A92" i="31"/>
  <c r="A96" i="31" s="1"/>
  <c r="A97" i="31" s="1"/>
  <c r="A32" i="19"/>
  <c r="A34" i="9"/>
  <c r="A32" i="7"/>
  <c r="A32" i="4"/>
  <c r="A32" i="2"/>
  <c r="A93" i="34" l="1"/>
  <c r="A33" i="19"/>
  <c r="A35" i="9"/>
  <c r="A33" i="7"/>
  <c r="A33" i="4"/>
  <c r="A33" i="2"/>
  <c r="A34" i="19" l="1"/>
  <c r="A36" i="9"/>
  <c r="A34" i="7"/>
  <c r="A34" i="4"/>
  <c r="A34" i="2"/>
  <c r="A35" i="19" l="1"/>
  <c r="A37" i="9"/>
  <c r="A35" i="7"/>
  <c r="A35" i="4"/>
  <c r="A35" i="2"/>
  <c r="A97" i="34" l="1"/>
  <c r="A98" i="34" s="1"/>
  <c r="A36" i="19"/>
  <c r="A38" i="9"/>
  <c r="A36" i="7"/>
  <c r="A36" i="4"/>
  <c r="A36" i="2"/>
  <c r="A37" i="19" l="1"/>
  <c r="A39" i="9"/>
  <c r="A37" i="7"/>
  <c r="A37" i="4"/>
  <c r="A37" i="2"/>
  <c r="A38" i="19" l="1"/>
  <c r="A40" i="9"/>
  <c r="A38" i="7"/>
  <c r="A38" i="4"/>
  <c r="A43" i="4" s="1"/>
  <c r="A38" i="2"/>
  <c r="A39" i="19" l="1"/>
  <c r="A41" i="9"/>
  <c r="A39" i="7"/>
  <c r="A39" i="2"/>
  <c r="A40" i="19" l="1"/>
  <c r="A42" i="9"/>
  <c r="A40" i="7"/>
  <c r="A40" i="2"/>
  <c r="A41" i="19" l="1"/>
  <c r="A43" i="9"/>
  <c r="A41" i="7"/>
  <c r="A41" i="2"/>
  <c r="A42" i="19" l="1"/>
  <c r="A44" i="9"/>
  <c r="A42" i="7"/>
  <c r="A42" i="2"/>
  <c r="G9" i="6"/>
  <c r="K10" i="6" l="1"/>
  <c r="K11" i="6"/>
  <c r="G94" i="6"/>
  <c r="K9" i="6"/>
  <c r="A43" i="19"/>
  <c r="A45" i="9"/>
  <c r="A43" i="7"/>
  <c r="A43" i="2"/>
  <c r="L36" i="6" l="1"/>
  <c r="A44" i="19"/>
  <c r="A46" i="9"/>
  <c r="A44" i="7"/>
  <c r="G114" i="6"/>
  <c r="A44" i="2"/>
  <c r="A45" i="19" l="1"/>
  <c r="A47" i="9"/>
  <c r="A45" i="7"/>
  <c r="A45" i="2"/>
  <c r="A46" i="19" l="1"/>
  <c r="A48" i="9"/>
  <c r="A46" i="7"/>
  <c r="A46" i="2"/>
  <c r="A47" i="19" l="1"/>
  <c r="A49" i="9"/>
  <c r="A47" i="7"/>
  <c r="A47" i="2"/>
  <c r="A48" i="19" l="1"/>
  <c r="A50" i="9"/>
  <c r="A48" i="7"/>
  <c r="A48" i="2"/>
  <c r="A49" i="19" l="1"/>
  <c r="A51" i="9"/>
  <c r="A49" i="7"/>
  <c r="A50" i="7" s="1"/>
  <c r="A51" i="7" s="1"/>
  <c r="A52" i="7" s="1"/>
  <c r="A49" i="2"/>
  <c r="A53" i="7" l="1"/>
  <c r="A54" i="7" s="1"/>
  <c r="A55" i="7" s="1"/>
  <c r="A56" i="7" s="1"/>
  <c r="A57" i="7" s="1"/>
  <c r="A58" i="7" s="1"/>
  <c r="A50" i="19"/>
  <c r="A52" i="9"/>
  <c r="A50" i="2"/>
  <c r="A59" i="7" l="1"/>
  <c r="A60" i="7" s="1"/>
  <c r="A51" i="19"/>
  <c r="A53" i="9"/>
  <c r="A51" i="2"/>
  <c r="A61" i="7" l="1"/>
  <c r="A62" i="7" s="1"/>
  <c r="A63" i="7" s="1"/>
  <c r="A64" i="7" s="1"/>
  <c r="A65" i="7" s="1"/>
  <c r="A66" i="7" s="1"/>
  <c r="A67" i="7" s="1"/>
  <c r="A68" i="7" s="1"/>
  <c r="A52" i="19"/>
  <c r="A54" i="9"/>
  <c r="A52" i="2"/>
  <c r="A72" i="7" l="1"/>
  <c r="A53" i="19"/>
  <c r="A55" i="9"/>
  <c r="A53" i="2"/>
  <c r="A73" i="7" l="1"/>
  <c r="A78" i="7" s="1"/>
  <c r="A54" i="19"/>
  <c r="A56" i="9"/>
  <c r="A54" i="2"/>
  <c r="A55" i="19" l="1"/>
  <c r="A57" i="9"/>
  <c r="A55" i="2"/>
  <c r="A56" i="19" l="1"/>
  <c r="A58" i="9"/>
  <c r="A56" i="2"/>
  <c r="A57" i="19" l="1"/>
  <c r="A59" i="9"/>
  <c r="A57" i="2"/>
  <c r="A58" i="19" l="1"/>
  <c r="A60" i="9"/>
  <c r="A58" i="2"/>
  <c r="A59" i="19" l="1"/>
  <c r="A60" i="19" s="1"/>
  <c r="A61" i="19" s="1"/>
  <c r="A62" i="19" s="1"/>
  <c r="A63" i="19" s="1"/>
  <c r="A61" i="9"/>
  <c r="A59" i="2"/>
  <c r="A62" i="9" l="1"/>
  <c r="A60" i="2"/>
  <c r="A68" i="19" l="1"/>
  <c r="A63" i="9"/>
  <c r="A61" i="2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9" i="9" s="1"/>
  <c r="A62" i="2"/>
  <c r="A72" i="19" l="1"/>
  <c r="A73" i="19" s="1"/>
  <c r="A74" i="19" s="1"/>
  <c r="A63" i="2"/>
  <c r="A75" i="19" l="1"/>
  <c r="A76" i="19" s="1"/>
  <c r="A77" i="19" s="1"/>
  <c r="A78" i="19" s="1"/>
  <c r="A79" i="19" s="1"/>
  <c r="A80" i="19" s="1"/>
  <c r="A64" i="2"/>
  <c r="A85" i="19" l="1"/>
  <c r="A86" i="19" s="1"/>
  <c r="A87" i="19" s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88" i="19" l="1"/>
  <c r="A89" i="19" s="1"/>
  <c r="A90" i="19" s="1"/>
  <c r="A91" i="19" l="1"/>
  <c r="A92" i="19" l="1"/>
  <c r="A93" i="19" l="1"/>
  <c r="A94" i="19" s="1"/>
  <c r="A95" i="19" s="1"/>
  <c r="A96" i="19" l="1"/>
  <c r="A97" i="19" s="1"/>
  <c r="A98" i="19" s="1"/>
  <c r="A99" i="19" s="1"/>
  <c r="A100" i="19" s="1"/>
  <c r="A101" i="19" s="1"/>
  <c r="A102" i="19" s="1"/>
  <c r="A106" i="19" l="1"/>
  <c r="A110" i="19" s="1"/>
  <c r="A111" i="19" s="1"/>
  <c r="A112" i="19" s="1"/>
  <c r="A113" i="19" s="1"/>
  <c r="A114" i="19" s="1"/>
  <c r="A115" i="19" l="1"/>
  <c r="A72" i="5" l="1"/>
  <c r="A73" i="5" s="1"/>
  <c r="A74" i="5" s="1"/>
  <c r="A75" i="5" s="1"/>
  <c r="A76" i="5" s="1"/>
  <c r="A81" i="5" s="1"/>
  <c r="A119" i="19" l="1"/>
  <c r="A85" i="5" l="1"/>
  <c r="A97" i="6" l="1"/>
  <c r="A102" i="6" s="1"/>
  <c r="A78" i="2"/>
  <c r="A79" i="2" s="1"/>
  <c r="A80" i="2" s="1"/>
  <c r="A81" i="2" s="1"/>
  <c r="A82" i="2" s="1"/>
  <c r="A106" i="6" l="1"/>
  <c r="A107" i="6" s="1"/>
  <c r="A83" i="2"/>
  <c r="A84" i="2" s="1"/>
  <c r="A89" i="2" l="1"/>
  <c r="A93" i="2" s="1"/>
  <c r="G110" i="17"/>
  <c r="G101" i="17"/>
  <c r="L17" i="17" s="1"/>
  <c r="G103" i="17"/>
  <c r="G102" i="17"/>
  <c r="L21" i="17" s="1"/>
  <c r="G90" i="17"/>
  <c r="G104" i="17"/>
  <c r="G105" i="17"/>
  <c r="L34" i="17" s="1"/>
  <c r="G106" i="17"/>
  <c r="L12" i="17" l="1"/>
  <c r="L23" i="17"/>
  <c r="L22" i="17"/>
  <c r="L9" i="17"/>
  <c r="L18" i="17"/>
  <c r="L10" i="17"/>
  <c r="L20" i="17"/>
  <c r="L29" i="17"/>
  <c r="L27" i="17"/>
  <c r="G111" i="17"/>
  <c r="G93" i="17"/>
  <c r="G107" i="17"/>
  <c r="G117" i="17" l="1"/>
  <c r="A90" i="17"/>
  <c r="A91" i="17" s="1"/>
  <c r="A92" i="17" s="1"/>
  <c r="A96" i="17" l="1"/>
  <c r="A101" i="17" l="1"/>
  <c r="A102" i="17" l="1"/>
  <c r="A103" i="17" s="1"/>
  <c r="A104" i="17" s="1"/>
  <c r="A105" i="17" s="1"/>
  <c r="A106" i="17" l="1"/>
  <c r="A70" i="8"/>
  <c r="A71" i="8" l="1"/>
  <c r="A72" i="8" s="1"/>
  <c r="A110" i="17"/>
  <c r="A76" i="8" l="1"/>
  <c r="A80" i="8" s="1"/>
  <c r="A85" i="8" l="1"/>
  <c r="A86" i="8" s="1"/>
  <c r="A87" i="8" s="1"/>
  <c r="A88" i="8" s="1"/>
  <c r="A89" i="8" s="1"/>
  <c r="A59" i="36"/>
  <c r="A90" i="8" l="1"/>
  <c r="A60" i="36"/>
  <c r="A61" i="36" s="1"/>
  <c r="A62" i="36" l="1"/>
  <c r="A63" i="36" s="1"/>
  <c r="A94" i="8"/>
  <c r="A67" i="36" l="1"/>
  <c r="G61" i="36"/>
  <c r="L19" i="36" s="1"/>
  <c r="G71" i="36"/>
  <c r="L10" i="36" s="1"/>
  <c r="G59" i="36"/>
  <c r="L12" i="36" s="1"/>
  <c r="G60" i="36"/>
  <c r="L16" i="36" s="1"/>
  <c r="G9" i="36"/>
  <c r="G55" i="36" s="1"/>
  <c r="A71" i="36" l="1"/>
  <c r="L8" i="36"/>
  <c r="G72" i="36"/>
  <c r="G64" i="36"/>
  <c r="G78" i="36" l="1"/>
  <c r="G16" i="8" l="1"/>
  <c r="G18" i="8"/>
  <c r="G14" i="8"/>
  <c r="G15" i="8"/>
  <c r="G17" i="8"/>
  <c r="G80" i="8"/>
  <c r="G81" i="8" s="1"/>
  <c r="G85" i="8"/>
  <c r="L16" i="8" s="1"/>
  <c r="G87" i="8"/>
  <c r="G10" i="8"/>
  <c r="G9" i="8"/>
  <c r="G94" i="8"/>
  <c r="L20" i="8" s="1"/>
  <c r="G13" i="8"/>
  <c r="G89" i="8"/>
  <c r="L23" i="8" s="1"/>
  <c r="G88" i="8"/>
  <c r="L21" i="8" s="1"/>
  <c r="G11" i="8"/>
  <c r="G86" i="8"/>
  <c r="L15" i="8" s="1"/>
  <c r="G76" i="8"/>
  <c r="G70" i="8"/>
  <c r="L14" i="8" s="1"/>
  <c r="G12" i="8"/>
  <c r="L27" i="8" l="1"/>
  <c r="L17" i="8"/>
  <c r="L24" i="8"/>
  <c r="L9" i="8"/>
  <c r="L11" i="8"/>
  <c r="L13" i="8"/>
  <c r="L26" i="8"/>
  <c r="L18" i="8"/>
  <c r="L22" i="8"/>
  <c r="L10" i="8"/>
  <c r="G33" i="8"/>
  <c r="G95" i="8"/>
  <c r="G77" i="8"/>
  <c r="G91" i="8"/>
  <c r="G73" i="8"/>
  <c r="G101" i="8" l="1"/>
</calcChain>
</file>

<file path=xl/sharedStrings.xml><?xml version="1.0" encoding="utf-8"?>
<sst xmlns="http://schemas.openxmlformats.org/spreadsheetml/2006/main" count="5109" uniqueCount="793">
  <si>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</si>
  <si>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</si>
  <si>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</si>
  <si>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</si>
  <si>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</si>
  <si>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</si>
  <si>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</si>
  <si>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</si>
  <si>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</si>
  <si>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</si>
  <si>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</si>
  <si>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</si>
  <si>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</si>
  <si>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</si>
  <si>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</si>
  <si>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</si>
  <si>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</si>
  <si>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</si>
  <si>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</si>
  <si>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</si>
  <si>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</si>
  <si>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</si>
  <si>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</si>
  <si>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</si>
  <si>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</si>
  <si>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</si>
  <si>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</si>
  <si>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</si>
  <si>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</si>
  <si>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</si>
  <si>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</si>
  <si>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</si>
  <si>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</si>
  <si>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</si>
  <si>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</si>
  <si>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</si>
  <si>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</si>
  <si>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</si>
  <si>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</si>
  <si>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</si>
  <si>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</si>
  <si>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</si>
  <si>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</si>
  <si>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</si>
  <si>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</si>
  <si>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</si>
  <si>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</si>
  <si>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</si>
  <si>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</si>
  <si>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</si>
  <si>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</si>
  <si>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</si>
  <si>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</si>
  <si>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</si>
  <si>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</si>
  <si>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</si>
  <si>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</si>
  <si>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</si>
  <si>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</si>
  <si>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</si>
  <si>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</si>
  <si>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</si>
  <si>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</si>
  <si>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</si>
  <si>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</si>
  <si>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</si>
  <si>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</si>
  <si>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</si>
  <si>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</si>
  <si>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</si>
  <si>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</si>
  <si>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</si>
  <si>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</si>
  <si>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</si>
  <si>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</si>
  <si>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</si>
  <si>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</si>
  <si>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</si>
  <si>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</si>
  <si>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</si>
  <si>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</si>
  <si>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</si>
  <si>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</si>
  <si>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</si>
  <si>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</si>
  <si>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</si>
  <si>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</si>
  <si>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</si>
  <si>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</si>
  <si>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</si>
  <si>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</si>
  <si>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</si>
  <si>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</si>
  <si>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</si>
  <si>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</si>
  <si>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</si>
  <si>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</si>
  <si>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</si>
  <si>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</si>
  <si>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</si>
  <si>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</si>
  <si>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</si>
  <si>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</si>
  <si>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</si>
  <si>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</si>
  <si>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</si>
  <si>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</si>
  <si>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</si>
  <si>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</si>
  <si>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</si>
  <si>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</si>
  <si>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</si>
  <si>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</si>
  <si>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</si>
  <si>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</si>
  <si>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</si>
  <si>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INE079A01024</t>
  </si>
  <si>
    <t>INE081A01012</t>
  </si>
  <si>
    <t>INE012A01025</t>
  </si>
  <si>
    <t>INE038A01020</t>
  </si>
  <si>
    <t>BONDS &amp; NCDs</t>
  </si>
  <si>
    <t>INE070A01015</t>
  </si>
  <si>
    <t>INE259A01022</t>
  </si>
  <si>
    <t>IN9155A01020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</si>
  <si>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</si>
  <si>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</si>
  <si>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</si>
  <si>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</si>
  <si>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</si>
  <si>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</si>
  <si>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</si>
  <si>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</si>
  <si>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</si>
  <si>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</si>
  <si>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</si>
  <si>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</si>
  <si>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</si>
  <si>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</si>
  <si>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</si>
  <si>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</si>
  <si>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</si>
  <si>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</si>
  <si>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</si>
  <si>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INE825A01012</t>
  </si>
  <si>
    <t>INE176A01028</t>
  </si>
  <si>
    <t>INE180K01011</t>
  </si>
  <si>
    <t>INE212H01026</t>
  </si>
  <si>
    <t>INE628A01036</t>
  </si>
  <si>
    <t>INE181A01010</t>
  </si>
  <si>
    <t>CRISIL A1+</t>
  </si>
  <si>
    <t>CARE A1+</t>
  </si>
  <si>
    <t>Canara Bank</t>
  </si>
  <si>
    <t>CARE AAA</t>
  </si>
  <si>
    <t>Treasury Bill</t>
  </si>
  <si>
    <t>CENTRAL GOVERNMENT SECURITIES</t>
  </si>
  <si>
    <t>CARE AA+</t>
  </si>
  <si>
    <t>INE242A01010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</si>
  <si>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</si>
  <si>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</si>
  <si>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</si>
  <si>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</si>
  <si>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</si>
  <si>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</si>
  <si>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</si>
  <si>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</si>
  <si>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</si>
  <si>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</si>
  <si>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</si>
  <si>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</si>
  <si>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</si>
  <si>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</si>
  <si>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</si>
  <si>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</si>
  <si>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</si>
  <si>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</si>
  <si>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</si>
  <si>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</si>
  <si>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</si>
  <si>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</si>
  <si>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</si>
  <si>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</si>
  <si>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</si>
  <si>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</si>
  <si>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</si>
  <si>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</si>
  <si>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</si>
  <si>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</si>
  <si>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</si>
  <si>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</si>
  <si>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</si>
  <si>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</si>
  <si>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</si>
  <si>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</si>
  <si>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</si>
  <si>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</si>
  <si>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</si>
  <si>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</si>
  <si>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</si>
  <si>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</si>
  <si>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</si>
  <si>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</si>
  <si>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</si>
  <si>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</si>
  <si>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</si>
  <si>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</si>
  <si>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</si>
  <si>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</si>
  <si>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</si>
  <si>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</si>
  <si>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</si>
  <si>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</si>
  <si>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</si>
  <si>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</si>
  <si>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</si>
  <si>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</si>
  <si>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</si>
  <si>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</si>
  <si>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</si>
  <si>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</si>
  <si>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</si>
  <si>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</si>
  <si>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</si>
  <si>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</si>
  <si>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</si>
  <si>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</si>
  <si>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</si>
  <si>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</si>
  <si>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</si>
  <si>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Ambuja Cements Ltd.</t>
  </si>
  <si>
    <t>ACC Ltd.</t>
  </si>
  <si>
    <t>Hindalco Industries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</si>
  <si>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</si>
  <si>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</si>
  <si>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</si>
  <si>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</si>
  <si>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</si>
  <si>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</si>
  <si>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</si>
  <si>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</si>
  <si>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</si>
  <si>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</si>
  <si>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</si>
  <si>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</si>
  <si>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</si>
  <si>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</si>
  <si>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</si>
  <si>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</si>
  <si>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</si>
  <si>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Atul Ltd.</t>
  </si>
  <si>
    <t>AIA Engineering Ltd.</t>
  </si>
  <si>
    <t>UPL Ltd.</t>
  </si>
  <si>
    <t>Petronet LNG Ltd.</t>
  </si>
  <si>
    <t>INE513A01014</t>
  </si>
  <si>
    <t>Indian Oil Corporation Ltd.</t>
  </si>
  <si>
    <t>Finolex Cables Ltd.</t>
  </si>
  <si>
    <t>[ICRA]A1+</t>
  </si>
  <si>
    <t>Cox &amp; Kings Ltd.</t>
  </si>
  <si>
    <t>[ICRA]AA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</si>
  <si>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</si>
  <si>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</si>
  <si>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</si>
  <si>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</si>
  <si>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</si>
  <si>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</si>
  <si>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INF173K01FS6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</si>
  <si>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</si>
  <si>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</si>
  <si>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</si>
  <si>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</si>
  <si>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</si>
  <si>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</si>
  <si>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</si>
  <si>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</si>
  <si>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</si>
  <si>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</si>
  <si>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</si>
  <si>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</si>
  <si>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</si>
  <si>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</si>
  <si>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</si>
  <si>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</si>
  <si>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</si>
  <si>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</si>
  <si>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Bharti Infratel Ltd.</t>
  </si>
  <si>
    <t>INE121J01017</t>
  </si>
  <si>
    <t>INE658R07141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</si>
  <si>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</si>
  <si>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</si>
  <si>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</si>
  <si>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</si>
  <si>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</si>
  <si>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</si>
  <si>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</si>
  <si>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</si>
  <si>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</si>
  <si>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</si>
  <si>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</si>
  <si>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</si>
  <si>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</si>
  <si>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INF173K01DA9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</si>
  <si>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</si>
  <si>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</si>
  <si>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</si>
  <si>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</si>
  <si>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</si>
  <si>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</si>
  <si>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BWR AAA</t>
  </si>
  <si>
    <t>INE296A01024</t>
  </si>
  <si>
    <t>INE586V01016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</si>
  <si>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</si>
  <si>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</si>
  <si>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</si>
  <si>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</si>
  <si>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</si>
  <si>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</si>
  <si>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</si>
  <si>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</si>
  <si>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</si>
  <si>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</si>
  <si>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</si>
  <si>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</si>
  <si>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</si>
  <si>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</si>
  <si>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</si>
  <si>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</si>
  <si>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</si>
  <si>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</si>
  <si>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</si>
  <si>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</si>
  <si>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</si>
  <si>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</si>
  <si>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</si>
  <si>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</si>
  <si>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</si>
  <si>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</si>
  <si>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</si>
  <si>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</si>
  <si>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</si>
  <si>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</si>
  <si>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</si>
  <si>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</si>
  <si>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</si>
  <si>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</si>
  <si>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</si>
  <si>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</si>
  <si>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</si>
  <si>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INE036D01028</t>
  </si>
  <si>
    <t>Listed / awaiting listing on the stock exchanges</t>
  </si>
  <si>
    <t>INE733E07KB4</t>
  </si>
  <si>
    <t>Chambal Fertilisers and Chemicals Ltd.</t>
  </si>
  <si>
    <t>INE085A01013</t>
  </si>
  <si>
    <t>Fertilisers</t>
  </si>
  <si>
    <t>INE202B07IJ3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</si>
  <si>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</si>
  <si>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</si>
  <si>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</si>
  <si>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</si>
  <si>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</si>
  <si>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</si>
  <si>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</si>
  <si>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</si>
  <si>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</si>
  <si>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INE514E08BS9</t>
  </si>
  <si>
    <t>Vedanta Ltd.</t>
  </si>
  <si>
    <t>INE205A01025</t>
  </si>
  <si>
    <t>INE263A01024</t>
  </si>
  <si>
    <t>Himadri Speciality Chemical Ltd.</t>
  </si>
  <si>
    <t>INE019C01026</t>
  </si>
  <si>
    <t>Principal Cash Management Fund - Growth Option</t>
  </si>
  <si>
    <t>CRISIL AA</t>
  </si>
  <si>
    <t>9.05% Dewan Housing Finance Corporation Ltd.</t>
  </si>
  <si>
    <t>Magma Fincorp Ltd.</t>
  </si>
  <si>
    <t>INE511C01022</t>
  </si>
  <si>
    <t>INE001A07QE5</t>
  </si>
  <si>
    <t>Milestone Global Ltd. **</t>
  </si>
  <si>
    <t>Apollo Tyres Ltd. #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</si>
  <si>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</si>
  <si>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</si>
  <si>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</si>
  <si>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</si>
  <si>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</si>
  <si>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</si>
  <si>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</si>
  <si>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</si>
  <si>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</si>
  <si>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</si>
  <si>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</si>
  <si>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</si>
  <si>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</si>
  <si>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</si>
  <si>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</si>
  <si>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Escorts Ltd.</t>
  </si>
  <si>
    <t>INE042A01014</t>
  </si>
  <si>
    <t>8.15% Piramal Enterprises Ltd.</t>
  </si>
  <si>
    <t>INE140A07344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</si>
  <si>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</si>
  <si>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</si>
  <si>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</si>
  <si>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</si>
  <si>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</si>
  <si>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</si>
  <si>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</si>
  <si>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</si>
  <si>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</si>
  <si>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</si>
  <si>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</si>
  <si>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</si>
  <si>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Paper</t>
  </si>
  <si>
    <t>Mahindra &amp; Mahindra Financial Services Ltd.</t>
  </si>
  <si>
    <t>INE774D01024</t>
  </si>
  <si>
    <t>SREI Equipment Finance Ltd.</t>
  </si>
  <si>
    <t>INE523H07841</t>
  </si>
  <si>
    <t>7.50% Power Finance Corporation Ltd.</t>
  </si>
  <si>
    <t>INE134E08IW3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</si>
  <si>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</si>
  <si>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</si>
  <si>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</si>
  <si>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</si>
  <si>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</si>
  <si>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</si>
  <si>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</si>
  <si>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</si>
  <si>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</si>
  <si>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</si>
  <si>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</si>
  <si>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</si>
  <si>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</si>
  <si>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8.70% JM Financial Products Ltd.</t>
  </si>
  <si>
    <t>INE202B07IK1</t>
  </si>
  <si>
    <t>INE155A08365</t>
  </si>
  <si>
    <t>***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</si>
  <si>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</si>
  <si>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</si>
  <si>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</si>
  <si>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</si>
  <si>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</si>
  <si>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</si>
  <si>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</si>
  <si>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</si>
  <si>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Graphite India Ltd.</t>
  </si>
  <si>
    <t>INE371A01025</t>
  </si>
  <si>
    <t>Dixon Technologies (India) Ltd.</t>
  </si>
  <si>
    <t>INE935N01012</t>
  </si>
  <si>
    <t>INE008I14JK1</t>
  </si>
  <si>
    <t>HCL Infosystems Ltd.</t>
  </si>
  <si>
    <t>[ICRA]A1</t>
  </si>
  <si>
    <t>INE261F08907</t>
  </si>
  <si>
    <t>INE002A08476</t>
  </si>
  <si>
    <t>Chennai Super Kings Ltd. @**</t>
  </si>
  <si>
    <t>BWR A1+</t>
  </si>
  <si>
    <t>TBILL 91 DAYS 2018</t>
  </si>
  <si>
    <t>INE001A07PT5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</si>
  <si>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</si>
  <si>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</si>
  <si>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</si>
  <si>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</si>
  <si>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</si>
  <si>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</si>
  <si>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</si>
  <si>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Parag Milk Foods Ltd.</t>
  </si>
  <si>
    <t>INE883N01014</t>
  </si>
  <si>
    <t>INE008I14KL7</t>
  </si>
  <si>
    <t>INE008I14KK9</t>
  </si>
  <si>
    <t>INE936D07067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</si>
  <si>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</si>
  <si>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</si>
  <si>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</si>
  <si>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</si>
  <si>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</si>
  <si>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</si>
  <si>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</si>
  <si>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</si>
  <si>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Amara Raja Batteries Ltd.</t>
  </si>
  <si>
    <t>INE110L07054</t>
  </si>
  <si>
    <t>INE053F09FU0</t>
  </si>
  <si>
    <t>DLF Ltd.</t>
  </si>
  <si>
    <t>INE271C01023</t>
  </si>
  <si>
    <t>Reliance Capital Ltd.</t>
  </si>
  <si>
    <t>INE013A01015</t>
  </si>
  <si>
    <t>INE001A07QV9</t>
  </si>
  <si>
    <t>INF173K01FX6</t>
  </si>
  <si>
    <t>IND A (SO)</t>
  </si>
  <si>
    <t>CARE AA+ (SO)</t>
  </si>
  <si>
    <t>All corporate ratings are assigned by rating agencies like CRISIL; CARE; ICRA; IND; BRW.</t>
  </si>
  <si>
    <t>Shree Cement Ltd.</t>
  </si>
  <si>
    <t>Texmaco Rail &amp; Engineering Ltd.</t>
  </si>
  <si>
    <t>INE621L01012</t>
  </si>
  <si>
    <t>INE124N07085</t>
  </si>
  <si>
    <t>INE140A07369</t>
  </si>
  <si>
    <t>CESC Ltd.</t>
  </si>
  <si>
    <t>INE486A01013</t>
  </si>
  <si>
    <t>Dish TV India Ltd.</t>
  </si>
  <si>
    <t>INE836F01026</t>
  </si>
  <si>
    <t>Industry / Rating</t>
  </si>
  <si>
    <t>Interglobe Aviation Ltd.</t>
  </si>
  <si>
    <t>INE646L01027</t>
  </si>
  <si>
    <t>Sterlite Technologies Ltd.</t>
  </si>
  <si>
    <t>INE089C01029</t>
  </si>
  <si>
    <t>Avanse Financial Services Ltd.</t>
  </si>
  <si>
    <t>Cash Future Arbitrage</t>
  </si>
  <si>
    <t>Gayatri Projects Ltd.</t>
  </si>
  <si>
    <t>INE336H01023</t>
  </si>
  <si>
    <t>Bandhan Bank Ltd.</t>
  </si>
  <si>
    <t>INE545U01014</t>
  </si>
  <si>
    <t>Rural Electrification Corporation Ltd.</t>
  </si>
  <si>
    <t>INE020B14516</t>
  </si>
  <si>
    <t>8.55% Indiabulls Housing Finance Ltd.</t>
  </si>
  <si>
    <t>9.20% Avanse Financial Services Ltd.</t>
  </si>
  <si>
    <t>10.35% Ess Kay Fincorp Ltd.</t>
  </si>
  <si>
    <t>INE428Q08040</t>
  </si>
  <si>
    <t>[ICRA]A-</t>
  </si>
  <si>
    <t>INE090A08UB4</t>
  </si>
  <si>
    <t>[ICRA]AA+</t>
  </si>
  <si>
    <t>7.35% Government of India Security</t>
  </si>
  <si>
    <t>IN0020090034</t>
  </si>
  <si>
    <t>INE557F08FA4</t>
  </si>
  <si>
    <t>INE134E08JO8</t>
  </si>
  <si>
    <t>IL&amp;FS Financial Services Ltd.</t>
  </si>
  <si>
    <t>Piramal Enterprises Ltd.</t>
  </si>
  <si>
    <t>Certificate of Deposit **</t>
  </si>
  <si>
    <t>Principal Multi Cap Growth Fund</t>
  </si>
  <si>
    <t>INE602A01023</t>
  </si>
  <si>
    <t>ICICI Prudential Life Insurance Company Ltd.</t>
  </si>
  <si>
    <t>INE726G01019</t>
  </si>
  <si>
    <t>Titan Company Ltd.</t>
  </si>
  <si>
    <t>INE280A01028</t>
  </si>
  <si>
    <t>Cadila Healthcare Ltd.</t>
  </si>
  <si>
    <t>INE010B01027</t>
  </si>
  <si>
    <t>INE095N01031</t>
  </si>
  <si>
    <t>INE238A161A6</t>
  </si>
  <si>
    <t>8.75% Muthoot Finance Ltd.</t>
  </si>
  <si>
    <t>INE414G07CM0</t>
  </si>
  <si>
    <t>11.55% Suryoday Small Finance Bank Ltd.</t>
  </si>
  <si>
    <t>8.13% Piramal Enterprises Ltd.</t>
  </si>
  <si>
    <t>7.37% Government of India Security</t>
  </si>
  <si>
    <t>IN0020180025</t>
  </si>
  <si>
    <t>7.59% National Housing Bank</t>
  </si>
  <si>
    <t>INE020B08AN6</t>
  </si>
  <si>
    <t>7.99% Power Finance Corporation Ltd.</t>
  </si>
  <si>
    <t>9.25% Power Grid Corporation of India Ltd.</t>
  </si>
  <si>
    <t>INE038A07266</t>
  </si>
  <si>
    <t>Aadhar Housing Finance Ltd.</t>
  </si>
  <si>
    <t>Multi Commodity Exchange of India Ltd.</t>
  </si>
  <si>
    <t>INE745G01035</t>
  </si>
  <si>
    <t>TV18 Broadcast Ltd.</t>
  </si>
  <si>
    <t>INE886H01027</t>
  </si>
  <si>
    <t>Unlisted **</t>
  </si>
  <si>
    <t>Balmer Lawrie Freight Containers Ltd.</t>
  </si>
  <si>
    <t>Sangam Health Care Products Ltd.</t>
  </si>
  <si>
    <t>Virtual Dynamics Software Ltd.</t>
  </si>
  <si>
    <t>Noble Brothers Impex Ltd.</t>
  </si>
  <si>
    <t>Precision Fasteners Ltd.</t>
  </si>
  <si>
    <t>Crescent Finstock Ltd.</t>
  </si>
  <si>
    <t>Mukerian Papers Ltd.</t>
  </si>
  <si>
    <t>Western Paques (India) Ltd.</t>
  </si>
  <si>
    <t>Minerava Holdings Ltd.</t>
  </si>
  <si>
    <t>Crystal Cable Industries Ltd.</t>
  </si>
  <si>
    <t>Sandur Laminates Ltd.</t>
  </si>
  <si>
    <t>Tirrihannah Company Ltd.</t>
  </si>
  <si>
    <t>Punjab Wireless Systems Ltd.</t>
  </si>
  <si>
    <t>Principal Short Term Debt Fund - Direct Plan - Growth Option</t>
  </si>
  <si>
    <t>Pidilite Industries Ltd.</t>
  </si>
  <si>
    <t>INE318A01026</t>
  </si>
  <si>
    <t>Avenue Supermarts Ltd.</t>
  </si>
  <si>
    <t>INE192R01011</t>
  </si>
  <si>
    <t>Retailing</t>
  </si>
  <si>
    <t>Havells India Ltd.</t>
  </si>
  <si>
    <t>INE176B01034</t>
  </si>
  <si>
    <t>L&amp;T Finance Holdings Ltd.</t>
  </si>
  <si>
    <t>INE498L01015</t>
  </si>
  <si>
    <t>Bosch Ltd.</t>
  </si>
  <si>
    <t>INE323A01026</t>
  </si>
  <si>
    <t>Godrej Consumer Products Ltd.</t>
  </si>
  <si>
    <t>INE102D01028</t>
  </si>
  <si>
    <t>SBI Life Insurance Company Ltd.</t>
  </si>
  <si>
    <t>INE123W01016</t>
  </si>
  <si>
    <t>Oracle Financial Services Software Ltd.</t>
  </si>
  <si>
    <t>INE881D01027</t>
  </si>
  <si>
    <t>General Insurance Corporation Of India</t>
  </si>
  <si>
    <t>INE481Y01014</t>
  </si>
  <si>
    <t>Bharat Heavy Electricals Ltd.</t>
  </si>
  <si>
    <t>INE257A01026</t>
  </si>
  <si>
    <t>NHPC Ltd.</t>
  </si>
  <si>
    <t>INE848E01016</t>
  </si>
  <si>
    <t>Procter &amp; Gamble Hygiene and Health Care Ltd.</t>
  </si>
  <si>
    <t>INE179A01014</t>
  </si>
  <si>
    <t>Marico Ltd.</t>
  </si>
  <si>
    <t>INE196A01026</t>
  </si>
  <si>
    <t>Aditya Birla Capital Ltd.</t>
  </si>
  <si>
    <t>INE674K01013</t>
  </si>
  <si>
    <t>Emami Ltd.</t>
  </si>
  <si>
    <t>INE548C01032</t>
  </si>
  <si>
    <t>NMDC Ltd.</t>
  </si>
  <si>
    <t>INE584A01023</t>
  </si>
  <si>
    <t>INE140A01024</t>
  </si>
  <si>
    <t>Cummins India Ltd.</t>
  </si>
  <si>
    <t>INE298A01020</t>
  </si>
  <si>
    <t>ABB India Ltd.</t>
  </si>
  <si>
    <t>INE117A01022</t>
  </si>
  <si>
    <t>Siemens Ltd.</t>
  </si>
  <si>
    <t>INE003A01024</t>
  </si>
  <si>
    <t>INE020B01018</t>
  </si>
  <si>
    <t>Power Finance Corporation Ltd.</t>
  </si>
  <si>
    <t>INE134E01011</t>
  </si>
  <si>
    <t>LIC Housing Finance Ltd.</t>
  </si>
  <si>
    <t>INE115A01026</t>
  </si>
  <si>
    <t>Punjab National Bank</t>
  </si>
  <si>
    <t>INE160A01022</t>
  </si>
  <si>
    <t>Idea Cellular Ltd.</t>
  </si>
  <si>
    <t>INE669E01016</t>
  </si>
  <si>
    <t>Jubilant Foodworks Ltd.</t>
  </si>
  <si>
    <t>INE797F01012</t>
  </si>
  <si>
    <t>Thomas Cook (India) Ltd.</t>
  </si>
  <si>
    <t>INE332A01027</t>
  </si>
  <si>
    <t>Services</t>
  </si>
  <si>
    <t>Biocon Ltd.</t>
  </si>
  <si>
    <t>INE376G01013</t>
  </si>
  <si>
    <t>INE556F08JC4</t>
  </si>
  <si>
    <t>PGIF Origin Global Smaller Companies Fund - Usd I Class Accumulation</t>
  </si>
  <si>
    <t>IE00B94VTJ31</t>
  </si>
  <si>
    <t>INE038A07258</t>
  </si>
  <si>
    <t>7.16% Government of India Security</t>
  </si>
  <si>
    <t>IN0020130012</t>
  </si>
  <si>
    <t>8.79% Government of India Security</t>
  </si>
  <si>
    <t>IN0020110030</t>
  </si>
  <si>
    <t>7.48% Housing Development Finance Corporation Ltd.</t>
  </si>
  <si>
    <t>7.40% Tata Motors Ltd.</t>
  </si>
  <si>
    <t>7.00% Reliance Industries Ltd.</t>
  </si>
  <si>
    <t>7.50% Small Industries Development Bank of India</t>
  </si>
  <si>
    <t>INE556F08JE0</t>
  </si>
  <si>
    <t>Northern Arc Capital Ltd.</t>
  </si>
  <si>
    <t>INE850M14745</t>
  </si>
  <si>
    <t>Principal Credit Risk Fund - Direct Plan - Growth Option</t>
  </si>
  <si>
    <t>CBLO / Reverse Repo</t>
  </si>
  <si>
    <t>INE854D01024</t>
  </si>
  <si>
    <t>INE111A01025</t>
  </si>
  <si>
    <t>NIIT Ltd.</t>
  </si>
  <si>
    <t>INE161A01038</t>
  </si>
  <si>
    <t>INE686Y01026</t>
  </si>
  <si>
    <t>Jindal Steel &amp; Power Ltd.</t>
  </si>
  <si>
    <t>INE749A01030</t>
  </si>
  <si>
    <t>Future Retail Ltd.</t>
  </si>
  <si>
    <t>INE752P01024</t>
  </si>
  <si>
    <t>8.90% Dewan Housing Finance Corporation Ltd.</t>
  </si>
  <si>
    <t>INE202B07IY2</t>
  </si>
  <si>
    <t>7.60% Vedanta Ltd.</t>
  </si>
  <si>
    <t>INE205A07113</t>
  </si>
  <si>
    <t>INE556F16432</t>
  </si>
  <si>
    <t>INE238A16Z24</t>
  </si>
  <si>
    <t>INE002A14896</t>
  </si>
  <si>
    <t>INE121H14JU3</t>
  </si>
  <si>
    <t>8.10% Reliance Jio Infocomm Ltd.</t>
  </si>
  <si>
    <t>INE236A14HL7</t>
  </si>
  <si>
    <t>8.65% IIFL Home Finance Ltd.</t>
  </si>
  <si>
    <t>INE477L07818</t>
  </si>
  <si>
    <t>9.55% Hindalco Industries Ltd.</t>
  </si>
  <si>
    <t>8.55% Indian Railway Finance Corporation Ltd.</t>
  </si>
  <si>
    <t>7.25% Small Industries Development Bank of India</t>
  </si>
  <si>
    <t>8.10% NTPC Ltd.</t>
  </si>
  <si>
    <t>6.99% Rural Electrification Corporation Ltd.</t>
  </si>
  <si>
    <t>8.25% National Bank for Agriculture and Rural Development</t>
  </si>
  <si>
    <t>INE261F08AH9</t>
  </si>
  <si>
    <t>INE087P14515</t>
  </si>
  <si>
    <t>IDFC Bank Ltd.</t>
  </si>
  <si>
    <t>INE092T16FL3</t>
  </si>
  <si>
    <t>The South Indian Bank Ltd.</t>
  </si>
  <si>
    <t>INE121H14JR9</t>
  </si>
  <si>
    <t>INE538L14AV7</t>
  </si>
  <si>
    <t>INE538L14AU9</t>
  </si>
  <si>
    <t>INE087P14499</t>
  </si>
  <si>
    <t>IN002018X112</t>
  </si>
  <si>
    <t>Portfolio as on August 31, 2018</t>
  </si>
  <si>
    <t>IN002018X229</t>
  </si>
  <si>
    <t>NOCIL Ltd.</t>
  </si>
  <si>
    <t>INE163A01018</t>
  </si>
  <si>
    <t>Fine Organic Industries Ltd.</t>
  </si>
  <si>
    <t>International Paper Appm Ltd.</t>
  </si>
  <si>
    <t>INE435A01028</t>
  </si>
  <si>
    <t>Sheela Foam Ltd.</t>
  </si>
  <si>
    <t>INE916U01025</t>
  </si>
  <si>
    <t>MindTree Ltd.</t>
  </si>
  <si>
    <t>INE018I01017</t>
  </si>
  <si>
    <t>INE885A01032</t>
  </si>
  <si>
    <t>Cholamandalam Investment and Finance Company Ltd.</t>
  </si>
  <si>
    <t>INE121A01016</t>
  </si>
  <si>
    <t>Divi's Laboratories Ltd.</t>
  </si>
  <si>
    <t>INE361B01024</t>
  </si>
  <si>
    <t>INE040A16CC8</t>
  </si>
  <si>
    <t>IND A1+</t>
  </si>
  <si>
    <t>Kribhco Fertilizers Ltd.</t>
  </si>
  <si>
    <t>INE486H14995</t>
  </si>
  <si>
    <t>Vardhman Special Steels Ltd.</t>
  </si>
  <si>
    <t>INE050M14510</t>
  </si>
  <si>
    <t>10.95% Aspire Home Finance Corporation Ltd.</t>
  </si>
  <si>
    <t>[ICRA]A+</t>
  </si>
  <si>
    <t>INE081A14833</t>
  </si>
  <si>
    <t>9.70% Coastal Gujarat Power Ltd. @**</t>
  </si>
  <si>
    <t>INE295J08014</t>
  </si>
  <si>
    <t>CARE AA (SO)</t>
  </si>
  <si>
    <t>8.32% Power Grid Corporation of India Ltd.</t>
  </si>
  <si>
    <t>INE752E07NJ1</t>
  </si>
  <si>
    <t>6.57% Government of India Security</t>
  </si>
  <si>
    <t>IN0020160100</t>
  </si>
  <si>
    <t>6.79% Government of India Security</t>
  </si>
  <si>
    <t>IN0020170026</t>
  </si>
  <si>
    <t>7.69% Bharat Petroleum Corporation Ltd.</t>
  </si>
  <si>
    <t>INE029A08040</t>
  </si>
  <si>
    <t>Unlisted</t>
  </si>
  <si>
    <t>7.80% Power Finance Corporation Ltd.</t>
  </si>
  <si>
    <t>INE134E08JL4</t>
  </si>
  <si>
    <t>8.85% HDFC Bank Ltd.</t>
  </si>
  <si>
    <t>INE040A08377</t>
  </si>
  <si>
    <t>CRISIL AA+</t>
  </si>
  <si>
    <t>INE538L14BA9</t>
  </si>
  <si>
    <t>INE114A14FX5</t>
  </si>
  <si>
    <t>Edelweiss Agri Value Chain Ltd.</t>
  </si>
  <si>
    <t>INE616U14321</t>
  </si>
  <si>
    <t>INE245A14925</t>
  </si>
  <si>
    <t>INE683A16LD4</t>
  </si>
  <si>
    <t>INE028A16BA9</t>
  </si>
  <si>
    <t>INE085A14EA8</t>
  </si>
  <si>
    <t>L&amp;T Housing Finance Ltd.</t>
  </si>
  <si>
    <t>INE476M14BM5</t>
  </si>
  <si>
    <t>Aditya Birla Finance Ltd.</t>
  </si>
  <si>
    <t>INE860H14G68</t>
  </si>
  <si>
    <t>INE881J14OK9</t>
  </si>
  <si>
    <t>8.90% Indiabulls Housing Finance Ltd.</t>
  </si>
  <si>
    <t>INE148I07JC6</t>
  </si>
  <si>
    <t>Wockhardt Ltd.</t>
  </si>
  <si>
    <t>INE049B01025</t>
  </si>
  <si>
    <t>INE114A14FZ0</t>
  </si>
  <si>
    <t>Adani Enterprises Ltd.</t>
  </si>
  <si>
    <t>INE423A01024</t>
  </si>
  <si>
    <t>Trading</t>
  </si>
  <si>
    <t>Principal Nifty 100 Equal Weight Fund</t>
  </si>
  <si>
    <t>Principal Focused Multicap Fund</t>
  </si>
  <si>
    <t>Principal Dividend Yield Fund</t>
  </si>
  <si>
    <t>Principal Emerging Bluechip Fund</t>
  </si>
  <si>
    <t>Principal Personal Tax Saver Fund</t>
  </si>
  <si>
    <t>Principal Tax Savings Fund</t>
  </si>
  <si>
    <t>Principal Global Opportunities Fund</t>
  </si>
  <si>
    <t>Principal Low Duration Fund</t>
  </si>
  <si>
    <t>Principal Credit Risk Fund</t>
  </si>
  <si>
    <t>Principal Dynamic Bond Fund</t>
  </si>
  <si>
    <t>Principal Short Term Debt Fund</t>
  </si>
  <si>
    <t>Principal Corporate Bond Fund</t>
  </si>
  <si>
    <t>Principal Hybrid Equity Fund</t>
  </si>
  <si>
    <t>Principal Cash Management Fund</t>
  </si>
  <si>
    <t>Principal Ultra Short Term Fund</t>
  </si>
  <si>
    <t>Principal Balanced Advantage Fund</t>
  </si>
  <si>
    <t>Principal Equity Savings Fund</t>
  </si>
  <si>
    <t>Principal Retirement Savings Fund - Moderate Plan</t>
  </si>
  <si>
    <t>Principal Retirement Savings Fund - Conservative Plan</t>
  </si>
  <si>
    <t>Principal Retirement Savings Fund - Progressive Plan</t>
  </si>
  <si>
    <t>PRINCIPAL ARBITRAGE FUND</t>
  </si>
  <si>
    <t>Certificate of Deposit</t>
  </si>
  <si>
    <t>Small Industries Development Bank of India **</t>
  </si>
  <si>
    <t>Axis Bank Ltd. **</t>
  </si>
  <si>
    <t>8.88% Export-Import Bank of India **</t>
  </si>
  <si>
    <t>9.10% Dewan Housing Finance Corporation Ltd. **</t>
  </si>
  <si>
    <t>8.95% Jamnagar Utilities &amp; Power Private Ltd. **</t>
  </si>
  <si>
    <t>7.99% Power Finance Corporation Ltd. **</t>
  </si>
  <si>
    <t>9.20% Avanse Financial Services Ltd. **</t>
  </si>
  <si>
    <t>8.90% Dewan Housing Finance Corporation Ltd. **</t>
  </si>
  <si>
    <t>7.69% Bharat Petroleum Corporation Ltd. **</t>
  </si>
  <si>
    <t>8.25% National Bank for Agriculture and Rural Development **</t>
  </si>
  <si>
    <t>7.59% National Housing Bank **</t>
  </si>
  <si>
    <t>6.99% Rural Electrification Corporation Ltd. **</t>
  </si>
  <si>
    <t>8.85% HDFC Bank Ltd. **</t>
  </si>
  <si>
    <t>8.10% Reliance Jio Infocomm Ltd. **</t>
  </si>
  <si>
    <t>8.32% Power Grid Corporation of India Ltd. **</t>
  </si>
  <si>
    <t>7.85% Small Industries Development Bank of India **</t>
  </si>
  <si>
    <t>7.50% Small Industries Development Bank of India **</t>
  </si>
  <si>
    <t>8.10% NTPC Ltd. **</t>
  </si>
  <si>
    <t>8.15% Piramal Enterprises Ltd. **</t>
  </si>
  <si>
    <t>9.05% Dewan Housing Finance Corporation Ltd. **</t>
  </si>
  <si>
    <t>9.55% Hindalco Industries Ltd. **</t>
  </si>
  <si>
    <t>6.98% National Bank for Agriculture and Rural Development **</t>
  </si>
  <si>
    <t>7.50% Power Finance Corporation Ltd. **</t>
  </si>
  <si>
    <t>7.60% Vedanta Ltd. **</t>
  </si>
  <si>
    <t>7.21% Housing Development Finance Corporation Ltd. **</t>
  </si>
  <si>
    <t>7.65% Housing Development Finance Corporation Ltd. **</t>
  </si>
  <si>
    <t>8.13% Piramal Enterprises Ltd. **</t>
  </si>
  <si>
    <t>9.15% ICICI Bank Ltd. **</t>
  </si>
  <si>
    <t>10.35% Ess Kay Fincorp Ltd. **</t>
  </si>
  <si>
    <t>10.95% Aspire Home Finance Corporation Ltd. **</t>
  </si>
  <si>
    <t>9.70% Coastal Gujarat Power Ltd. @</t>
  </si>
  <si>
    <t>-</t>
  </si>
  <si>
    <t>Aggregate investments by other schemes of Principal Mutual Fund at the end of the period is Rs.863.44 Lakhs</t>
  </si>
  <si>
    <t>Aggregate investments by other schemes of Principal Mutual Fund at the end of the period is Rs.1573.61 Lakhs</t>
  </si>
  <si>
    <t>Aggregate investments by other schemes of Principal Mutual Fund at the end of the period is Rs.108.45 Lakhs</t>
  </si>
  <si>
    <t>Aggregate investments by other schemes of Principal Mutual Fund at the end of the period is Rs.1194.57 Lakhs</t>
  </si>
  <si>
    <t>Derivatives   % to Net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</si>
</sst>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75" fontId="0" fillId="0" borderId="0" xfId="0" applyNumberFormat="1"/>
    <xf numFmtId="10" fontId="11" fillId="4" borderId="0" xfId="0" applyNumberFormat="1" applyFont="1" applyFill="1"/>
    <xf numFmtId="10" fontId="3" fillId="0" borderId="0" xfId="4" applyNumberFormat="1" applyFont="1" applyBorder="1" applyAlignment="1">
      <alignment horizontal="left" vertical="top"/>
    </xf>
    <xf numFmtId="43" fontId="11" fillId="4" borderId="0" xfId="1" applyFont="1" applyFill="1"/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10" fontId="5" fillId="2" borderId="2" xfId="4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52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3" t="s">
        <v>311</v>
      </c>
      <c r="B1" s="128" t="s">
        <v>520</v>
      </c>
      <c r="C1" s="129"/>
      <c r="D1" s="129"/>
      <c r="E1" s="129"/>
      <c r="F1" s="129"/>
      <c r="G1" s="129"/>
      <c r="H1" s="130"/>
    </row>
    <row r="2" spans="1:15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8</v>
      </c>
      <c r="C7" s="16"/>
      <c r="F7" s="13"/>
      <c r="G7" s="14"/>
      <c r="H7" s="15"/>
    </row>
    <row r="8" spans="1:15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5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164365</v>
      </c>
      <c r="F9" s="13">
        <v>3387.89138</v>
      </c>
      <c r="G9" s="14">
        <f t="shared" ref="G9:G40" si="0">+ROUND(F9/VLOOKUP("Grand Total",$B$4:$F$289,5,0),4)</f>
        <v>4.6699999999999998E-2</v>
      </c>
      <c r="H9" s="15"/>
      <c r="I9" s="15"/>
      <c r="J9" s="14" t="s">
        <v>9</v>
      </c>
      <c r="K9" s="48">
        <f t="shared" ref="K9:K40" si="1">SUMIFS($G$5:$G$327,$D$5:$D$327,J9)</f>
        <v>0.19289999999999999</v>
      </c>
    </row>
    <row r="10" spans="1:15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267332</v>
      </c>
      <c r="F10" s="13">
        <v>3319.3277780000003</v>
      </c>
      <c r="G10" s="14">
        <f t="shared" si="0"/>
        <v>4.5699999999999998E-2</v>
      </c>
      <c r="H10" s="15"/>
      <c r="J10" s="14" t="s">
        <v>24</v>
      </c>
      <c r="K10" s="48">
        <f t="shared" si="1"/>
        <v>0.13850000000000001</v>
      </c>
    </row>
    <row r="11" spans="1:15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836641</v>
      </c>
      <c r="F11" s="13">
        <v>2675.9962384999999</v>
      </c>
      <c r="G11" s="14">
        <f t="shared" si="0"/>
        <v>3.6799999999999999E-2</v>
      </c>
      <c r="H11" s="15"/>
      <c r="J11" s="14" t="s">
        <v>13</v>
      </c>
      <c r="K11" s="48">
        <f t="shared" si="1"/>
        <v>8.5199999999999998E-2</v>
      </c>
      <c r="L11" s="36"/>
      <c r="M11" s="91"/>
      <c r="N11" s="36"/>
      <c r="O11" s="14"/>
    </row>
    <row r="12" spans="1:15" ht="12.75" customHeight="1" x14ac:dyDescent="0.2">
      <c r="A12">
        <f>+MAX($A$8:A11)+1</f>
        <v>4</v>
      </c>
      <c r="B12" t="s">
        <v>194</v>
      </c>
      <c r="C12" t="s">
        <v>18</v>
      </c>
      <c r="D12" t="s">
        <v>13</v>
      </c>
      <c r="E12" s="28">
        <v>123460</v>
      </c>
      <c r="F12" s="13">
        <v>2565.9926399999999</v>
      </c>
      <c r="G12" s="14">
        <f t="shared" si="0"/>
        <v>3.5299999999999998E-2</v>
      </c>
      <c r="H12" s="15"/>
      <c r="J12" s="14" t="s">
        <v>22</v>
      </c>
      <c r="K12" s="48">
        <f t="shared" si="1"/>
        <v>4.9000000000000002E-2</v>
      </c>
      <c r="L12" s="36"/>
      <c r="M12" s="91"/>
      <c r="N12" s="36"/>
      <c r="O12" s="14"/>
    </row>
    <row r="13" spans="1:15" ht="12.75" customHeight="1" x14ac:dyDescent="0.2">
      <c r="A13">
        <f>+MAX($A$8:A12)+1</f>
        <v>5</v>
      </c>
      <c r="B13" t="s">
        <v>173</v>
      </c>
      <c r="C13" t="s">
        <v>10</v>
      </c>
      <c r="D13" t="s">
        <v>9</v>
      </c>
      <c r="E13" s="28">
        <v>742437</v>
      </c>
      <c r="F13" s="13">
        <v>2543.5891619999998</v>
      </c>
      <c r="G13" s="14">
        <f t="shared" si="0"/>
        <v>3.5000000000000003E-2</v>
      </c>
      <c r="H13" s="15"/>
      <c r="J13" s="14" t="s">
        <v>34</v>
      </c>
      <c r="K13" s="48">
        <f t="shared" si="1"/>
        <v>4.7399999999999998E-2</v>
      </c>
      <c r="L13" s="36"/>
      <c r="M13" s="91"/>
      <c r="N13" s="36"/>
      <c r="O13" s="14"/>
    </row>
    <row r="14" spans="1:15" ht="12.75" customHeight="1" x14ac:dyDescent="0.2">
      <c r="A14">
        <f>+MAX($A$8:A13)+1</f>
        <v>6</v>
      </c>
      <c r="B14" t="s">
        <v>171</v>
      </c>
      <c r="C14" t="s">
        <v>14</v>
      </c>
      <c r="D14" t="s">
        <v>13</v>
      </c>
      <c r="E14" s="28">
        <v>148142</v>
      </c>
      <c r="F14" s="13">
        <v>2134.874362</v>
      </c>
      <c r="G14" s="14">
        <f t="shared" si="0"/>
        <v>2.9399999999999999E-2</v>
      </c>
      <c r="H14" s="15"/>
      <c r="J14" s="14" t="s">
        <v>28</v>
      </c>
      <c r="K14" s="48">
        <f t="shared" si="1"/>
        <v>4.5699999999999998E-2</v>
      </c>
      <c r="L14" s="36"/>
      <c r="M14" s="91"/>
      <c r="N14" s="36"/>
      <c r="O14" s="14"/>
    </row>
    <row r="15" spans="1:15" ht="12.75" customHeight="1" x14ac:dyDescent="0.2">
      <c r="A15">
        <f>+MAX($A$8:A14)+1</f>
        <v>7</v>
      </c>
      <c r="B15" t="s">
        <v>15</v>
      </c>
      <c r="C15" t="s">
        <v>16</v>
      </c>
      <c r="D15" t="s">
        <v>9</v>
      </c>
      <c r="E15" s="28">
        <v>655209</v>
      </c>
      <c r="F15" s="13">
        <v>2028.5270640000001</v>
      </c>
      <c r="G15" s="14">
        <f t="shared" si="0"/>
        <v>2.7900000000000001E-2</v>
      </c>
      <c r="H15" s="15"/>
      <c r="J15" s="14" t="s">
        <v>19</v>
      </c>
      <c r="K15" s="48">
        <f t="shared" si="1"/>
        <v>4.4399999999999995E-2</v>
      </c>
      <c r="L15" s="36"/>
      <c r="M15" s="91"/>
      <c r="N15" s="36"/>
      <c r="O15" s="14"/>
    </row>
    <row r="16" spans="1:15" ht="12.75" customHeight="1" x14ac:dyDescent="0.2">
      <c r="A16">
        <f>+MAX($A$8:A15)+1</f>
        <v>8</v>
      </c>
      <c r="B16" t="s">
        <v>336</v>
      </c>
      <c r="C16" t="s">
        <v>335</v>
      </c>
      <c r="D16" t="s">
        <v>24</v>
      </c>
      <c r="E16" s="28">
        <v>400950</v>
      </c>
      <c r="F16" s="13">
        <v>1919.548125</v>
      </c>
      <c r="G16" s="14">
        <f t="shared" si="0"/>
        <v>2.64E-2</v>
      </c>
      <c r="H16" s="15"/>
      <c r="J16" s="14" t="s">
        <v>21</v>
      </c>
      <c r="K16" s="48">
        <f t="shared" si="1"/>
        <v>4.41E-2</v>
      </c>
      <c r="L16" s="36"/>
      <c r="M16" s="91"/>
      <c r="N16" s="36"/>
      <c r="O16" s="14"/>
    </row>
    <row r="17" spans="1:15" ht="12.75" customHeight="1" x14ac:dyDescent="0.2">
      <c r="A17">
        <f>+MAX($A$8:A16)+1</f>
        <v>9</v>
      </c>
      <c r="B17" t="s">
        <v>203</v>
      </c>
      <c r="C17" t="s">
        <v>69</v>
      </c>
      <c r="D17" t="s">
        <v>26</v>
      </c>
      <c r="E17" s="28">
        <v>137696</v>
      </c>
      <c r="F17" s="13">
        <v>1885.8155680000002</v>
      </c>
      <c r="G17" s="14">
        <f t="shared" si="0"/>
        <v>2.5999999999999999E-2</v>
      </c>
      <c r="H17" s="15"/>
      <c r="J17" s="14" t="s">
        <v>26</v>
      </c>
      <c r="K17" s="48">
        <f t="shared" si="1"/>
        <v>3.9E-2</v>
      </c>
      <c r="L17" s="36"/>
      <c r="M17" s="91"/>
      <c r="N17" s="36"/>
      <c r="O17" s="14"/>
    </row>
    <row r="18" spans="1:15" ht="12.75" customHeight="1" x14ac:dyDescent="0.2">
      <c r="A18">
        <f>+MAX($A$8:A17)+1</f>
        <v>10</v>
      </c>
      <c r="B18" t="s">
        <v>176</v>
      </c>
      <c r="C18" t="s">
        <v>25</v>
      </c>
      <c r="D18" t="s">
        <v>22</v>
      </c>
      <c r="E18" s="28">
        <v>93303</v>
      </c>
      <c r="F18" s="13">
        <v>1806.2994285</v>
      </c>
      <c r="G18" s="14">
        <f t="shared" si="0"/>
        <v>2.4899999999999999E-2</v>
      </c>
      <c r="H18" s="15"/>
      <c r="J18" s="14" t="s">
        <v>17</v>
      </c>
      <c r="K18" s="48">
        <f t="shared" si="1"/>
        <v>3.7400000000000003E-2</v>
      </c>
      <c r="L18" s="36"/>
      <c r="M18" s="91"/>
      <c r="N18" s="36"/>
      <c r="O18" s="14"/>
    </row>
    <row r="19" spans="1:15" ht="12.75" customHeight="1" x14ac:dyDescent="0.2">
      <c r="A19">
        <f>+MAX($A$8:A18)+1</f>
        <v>11</v>
      </c>
      <c r="B19" t="s">
        <v>349</v>
      </c>
      <c r="C19" t="s">
        <v>350</v>
      </c>
      <c r="D19" t="s">
        <v>351</v>
      </c>
      <c r="E19" s="28">
        <v>889035</v>
      </c>
      <c r="F19" s="13">
        <v>1468.2413025000001</v>
      </c>
      <c r="G19" s="14">
        <f t="shared" si="0"/>
        <v>2.0199999999999999E-2</v>
      </c>
      <c r="H19" s="15"/>
      <c r="J19" s="14" t="s">
        <v>39</v>
      </c>
      <c r="K19" s="48">
        <f t="shared" si="1"/>
        <v>2.5600000000000001E-2</v>
      </c>
      <c r="L19" s="36"/>
      <c r="M19" s="91"/>
      <c r="N19" s="36"/>
      <c r="O19" s="14"/>
    </row>
    <row r="20" spans="1:15" ht="12.75" customHeight="1" x14ac:dyDescent="0.2">
      <c r="A20">
        <f>+MAX($A$8:A19)+1</f>
        <v>12</v>
      </c>
      <c r="B20" t="s">
        <v>452</v>
      </c>
      <c r="C20" t="s">
        <v>453</v>
      </c>
      <c r="D20" t="s">
        <v>34</v>
      </c>
      <c r="E20" s="28">
        <v>1865490</v>
      </c>
      <c r="F20" s="13">
        <v>1430.8308300000001</v>
      </c>
      <c r="G20" s="14">
        <f t="shared" si="0"/>
        <v>1.9699999999999999E-2</v>
      </c>
      <c r="H20" s="15"/>
      <c r="J20" s="89" t="s">
        <v>36</v>
      </c>
      <c r="K20" s="48">
        <f t="shared" si="1"/>
        <v>2.5399999999999999E-2</v>
      </c>
      <c r="L20" s="36"/>
      <c r="M20" s="91"/>
      <c r="N20" s="36"/>
      <c r="O20" s="14"/>
    </row>
    <row r="21" spans="1:15" ht="12.75" customHeight="1" x14ac:dyDescent="0.2">
      <c r="A21">
        <f>+MAX($A$8:A20)+1</f>
        <v>13</v>
      </c>
      <c r="B21" t="s">
        <v>454</v>
      </c>
      <c r="C21" t="s">
        <v>455</v>
      </c>
      <c r="D21" t="s">
        <v>24</v>
      </c>
      <c r="E21" s="28">
        <v>18416</v>
      </c>
      <c r="F21" s="13">
        <v>1419.035672</v>
      </c>
      <c r="G21" s="14">
        <f t="shared" si="0"/>
        <v>1.95E-2</v>
      </c>
      <c r="H21" s="15"/>
      <c r="J21" s="14" t="s">
        <v>126</v>
      </c>
      <c r="K21" s="48">
        <f t="shared" si="1"/>
        <v>2.53E-2</v>
      </c>
      <c r="L21" s="36"/>
      <c r="M21" s="91"/>
      <c r="N21" s="36"/>
      <c r="O21" s="14"/>
    </row>
    <row r="22" spans="1:15" ht="12.75" customHeight="1" x14ac:dyDescent="0.2">
      <c r="A22">
        <f>+MAX($A$8:A21)+1</f>
        <v>14</v>
      </c>
      <c r="B22" t="s">
        <v>295</v>
      </c>
      <c r="C22" t="s">
        <v>521</v>
      </c>
      <c r="D22" t="s">
        <v>126</v>
      </c>
      <c r="E22" s="28">
        <v>572575</v>
      </c>
      <c r="F22" s="13">
        <v>1384.4863499999999</v>
      </c>
      <c r="G22" s="14">
        <f t="shared" si="0"/>
        <v>1.9099999999999999E-2</v>
      </c>
      <c r="H22" s="15"/>
      <c r="J22" s="14" t="s">
        <v>351</v>
      </c>
      <c r="K22" s="48">
        <f t="shared" si="1"/>
        <v>2.0199999999999999E-2</v>
      </c>
      <c r="L22" s="36"/>
      <c r="M22" s="91"/>
      <c r="N22" s="36"/>
      <c r="O22" s="14"/>
    </row>
    <row r="23" spans="1:15" ht="12.75" customHeight="1" x14ac:dyDescent="0.2">
      <c r="A23">
        <f>+MAX($A$8:A22)+1</f>
        <v>15</v>
      </c>
      <c r="B23" t="s">
        <v>189</v>
      </c>
      <c r="C23" t="s">
        <v>72</v>
      </c>
      <c r="D23" t="s">
        <v>395</v>
      </c>
      <c r="E23" s="28">
        <v>973007</v>
      </c>
      <c r="F23" s="13">
        <v>1335.4521075</v>
      </c>
      <c r="G23" s="14">
        <f t="shared" si="0"/>
        <v>1.84E-2</v>
      </c>
      <c r="H23" s="15"/>
      <c r="J23" s="14" t="s">
        <v>43</v>
      </c>
      <c r="K23" s="48">
        <f t="shared" si="1"/>
        <v>1.9200000000000002E-2</v>
      </c>
      <c r="L23" s="36"/>
      <c r="M23" s="91"/>
      <c r="N23" s="36"/>
      <c r="O23" s="14"/>
    </row>
    <row r="24" spans="1:15" ht="12.75" customHeight="1" x14ac:dyDescent="0.2">
      <c r="A24">
        <f>+MAX($A$8:A23)+1</f>
        <v>16</v>
      </c>
      <c r="B24" t="s">
        <v>221</v>
      </c>
      <c r="C24" t="s">
        <v>111</v>
      </c>
      <c r="D24" t="s">
        <v>34</v>
      </c>
      <c r="E24" s="28">
        <v>737700</v>
      </c>
      <c r="F24" s="13">
        <v>1265.1555000000001</v>
      </c>
      <c r="G24" s="14">
        <f t="shared" si="0"/>
        <v>1.7399999999999999E-2</v>
      </c>
      <c r="H24" s="15"/>
      <c r="J24" s="14" t="s">
        <v>102</v>
      </c>
      <c r="K24" s="48">
        <f t="shared" si="1"/>
        <v>1.8800000000000001E-2</v>
      </c>
      <c r="L24" s="36"/>
      <c r="M24" s="91"/>
      <c r="N24" s="36"/>
      <c r="O24" s="14"/>
    </row>
    <row r="25" spans="1:15" ht="12.75" customHeight="1" x14ac:dyDescent="0.2">
      <c r="A25">
        <f>+MAX($A$8:A24)+1</f>
        <v>17</v>
      </c>
      <c r="B25" t="s">
        <v>181</v>
      </c>
      <c r="C25" t="s">
        <v>46</v>
      </c>
      <c r="D25" t="s">
        <v>24</v>
      </c>
      <c r="E25" s="28">
        <v>17639</v>
      </c>
      <c r="F25" s="13">
        <v>1188.2953325000001</v>
      </c>
      <c r="G25" s="14">
        <f t="shared" si="0"/>
        <v>1.6400000000000001E-2</v>
      </c>
      <c r="H25" s="15"/>
      <c r="J25" s="14" t="s">
        <v>395</v>
      </c>
      <c r="K25" s="48">
        <f t="shared" si="1"/>
        <v>1.84E-2</v>
      </c>
      <c r="L25" s="36"/>
      <c r="M25" s="91"/>
      <c r="N25" s="36"/>
      <c r="O25" s="14"/>
    </row>
    <row r="26" spans="1:15" ht="12.75" customHeight="1" x14ac:dyDescent="0.2">
      <c r="A26">
        <f>+MAX($A$8:A25)+1</f>
        <v>18</v>
      </c>
      <c r="B26" t="s">
        <v>269</v>
      </c>
      <c r="C26" t="s">
        <v>55</v>
      </c>
      <c r="D26" t="s">
        <v>24</v>
      </c>
      <c r="E26" s="28">
        <v>60873</v>
      </c>
      <c r="F26" s="13">
        <v>1136.072799</v>
      </c>
      <c r="G26" s="14">
        <f t="shared" si="0"/>
        <v>1.5599999999999999E-2</v>
      </c>
      <c r="H26" s="15"/>
      <c r="J26" t="s">
        <v>135</v>
      </c>
      <c r="K26" s="48">
        <f t="shared" si="1"/>
        <v>1.5299999999999999E-2</v>
      </c>
      <c r="L26" s="36"/>
      <c r="M26" s="91"/>
      <c r="N26" s="36"/>
      <c r="O26" s="14"/>
    </row>
    <row r="27" spans="1:15" ht="12.75" customHeight="1" x14ac:dyDescent="0.2">
      <c r="A27">
        <f>+MAX($A$8:A26)+1</f>
        <v>19</v>
      </c>
      <c r="B27" t="s">
        <v>522</v>
      </c>
      <c r="C27" t="s">
        <v>523</v>
      </c>
      <c r="D27" t="s">
        <v>22</v>
      </c>
      <c r="E27" s="28">
        <v>295945</v>
      </c>
      <c r="F27" s="13">
        <v>1110.8295575</v>
      </c>
      <c r="G27" s="14">
        <f t="shared" si="0"/>
        <v>1.5299999999999999E-2</v>
      </c>
      <c r="H27" s="15"/>
      <c r="J27" t="s">
        <v>49</v>
      </c>
      <c r="K27" s="48">
        <f t="shared" si="1"/>
        <v>1.4200000000000001E-2</v>
      </c>
      <c r="L27" s="36"/>
      <c r="M27" s="91"/>
      <c r="N27" s="36"/>
      <c r="O27" s="14"/>
    </row>
    <row r="28" spans="1:15" ht="12.75" customHeight="1" x14ac:dyDescent="0.2">
      <c r="A28">
        <f>+MAX($A$8:A27)+1</f>
        <v>20</v>
      </c>
      <c r="B28" t="s">
        <v>276</v>
      </c>
      <c r="C28" t="s">
        <v>277</v>
      </c>
      <c r="D28" t="s">
        <v>135</v>
      </c>
      <c r="E28" s="28">
        <v>195909</v>
      </c>
      <c r="F28" s="13">
        <v>1110.2163029999999</v>
      </c>
      <c r="G28" s="14">
        <f t="shared" si="0"/>
        <v>1.5299999999999999E-2</v>
      </c>
      <c r="H28" s="15"/>
      <c r="J28" t="s">
        <v>279</v>
      </c>
      <c r="K28" s="48">
        <f t="shared" si="1"/>
        <v>8.9999999999999993E-3</v>
      </c>
      <c r="L28" s="36"/>
      <c r="M28" s="91"/>
      <c r="N28" s="36"/>
      <c r="O28" s="14"/>
    </row>
    <row r="29" spans="1:15" ht="12.75" customHeight="1" x14ac:dyDescent="0.2">
      <c r="A29">
        <f>+MAX($A$8:A28)+1</f>
        <v>21</v>
      </c>
      <c r="B29" t="s">
        <v>270</v>
      </c>
      <c r="C29" t="s">
        <v>74</v>
      </c>
      <c r="D29" t="s">
        <v>36</v>
      </c>
      <c r="E29" s="28">
        <v>323315</v>
      </c>
      <c r="F29" s="13">
        <v>1102.6658075</v>
      </c>
      <c r="G29" s="14">
        <f t="shared" si="0"/>
        <v>1.52E-2</v>
      </c>
      <c r="H29" s="15"/>
      <c r="J29" t="s">
        <v>35</v>
      </c>
      <c r="K29" s="48">
        <f t="shared" si="1"/>
        <v>7.4999999999999997E-3</v>
      </c>
      <c r="M29" s="91"/>
      <c r="N29" s="36"/>
      <c r="O29" s="14"/>
    </row>
    <row r="30" spans="1:15" ht="12.75" customHeight="1" x14ac:dyDescent="0.2">
      <c r="A30">
        <f>+MAX($A$8:A29)+1</f>
        <v>22</v>
      </c>
      <c r="B30" t="s">
        <v>187</v>
      </c>
      <c r="C30" t="s">
        <v>47</v>
      </c>
      <c r="D30" t="s">
        <v>19</v>
      </c>
      <c r="E30" s="28">
        <v>11716</v>
      </c>
      <c r="F30" s="13">
        <v>1065.734224</v>
      </c>
      <c r="G30" s="14">
        <f t="shared" si="0"/>
        <v>1.47E-2</v>
      </c>
      <c r="H30" s="15"/>
      <c r="J30" t="s">
        <v>41</v>
      </c>
      <c r="K30" s="48">
        <f t="shared" si="1"/>
        <v>7.4000000000000003E-3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190</v>
      </c>
      <c r="C31" t="s">
        <v>94</v>
      </c>
      <c r="D31" t="s">
        <v>9</v>
      </c>
      <c r="E31" s="28">
        <v>82252</v>
      </c>
      <c r="F31" s="13">
        <v>1058.7888700000001</v>
      </c>
      <c r="G31" s="14">
        <f t="shared" si="0"/>
        <v>1.46E-2</v>
      </c>
      <c r="H31" s="15"/>
      <c r="J31" s="65" t="s">
        <v>30</v>
      </c>
      <c r="K31" s="48">
        <f t="shared" si="1"/>
        <v>6.8999999999999999E-3</v>
      </c>
      <c r="N31" s="36"/>
      <c r="O31" s="14"/>
    </row>
    <row r="32" spans="1:15" ht="12.75" customHeight="1" x14ac:dyDescent="0.2">
      <c r="A32">
        <f>+MAX($A$8:A31)+1</f>
        <v>24</v>
      </c>
      <c r="B32" t="s">
        <v>246</v>
      </c>
      <c r="C32" t="s">
        <v>138</v>
      </c>
      <c r="D32" t="s">
        <v>39</v>
      </c>
      <c r="E32" s="28">
        <v>171087</v>
      </c>
      <c r="F32" s="13">
        <v>1056.3766815000001</v>
      </c>
      <c r="G32" s="14">
        <f t="shared" si="0"/>
        <v>1.4500000000000001E-2</v>
      </c>
      <c r="H32" s="15"/>
      <c r="J32" t="s">
        <v>357</v>
      </c>
      <c r="K32" s="48">
        <f t="shared" si="1"/>
        <v>3.8999999999999998E-3</v>
      </c>
      <c r="N32" s="36"/>
      <c r="O32" s="14"/>
    </row>
    <row r="33" spans="1:15" ht="12.75" customHeight="1" x14ac:dyDescent="0.2">
      <c r="A33">
        <f>+MAX($A$8:A32)+1</f>
        <v>25</v>
      </c>
      <c r="B33" t="s">
        <v>271</v>
      </c>
      <c r="C33" t="s">
        <v>65</v>
      </c>
      <c r="D33" t="s">
        <v>17</v>
      </c>
      <c r="E33" s="28">
        <v>815284</v>
      </c>
      <c r="F33" s="13">
        <v>1030.5189759999998</v>
      </c>
      <c r="G33" s="14">
        <f t="shared" si="0"/>
        <v>1.4200000000000001E-2</v>
      </c>
      <c r="H33" s="15"/>
      <c r="J33" t="s">
        <v>345</v>
      </c>
      <c r="K33" s="48">
        <f t="shared" si="1"/>
        <v>5.9999999999999995E-4</v>
      </c>
      <c r="N33" s="36"/>
      <c r="O33" s="14"/>
    </row>
    <row r="34" spans="1:15" ht="12.75" customHeight="1" x14ac:dyDescent="0.2">
      <c r="A34">
        <f>+MAX($A$8:A33)+1</f>
        <v>26</v>
      </c>
      <c r="B34" t="s">
        <v>206</v>
      </c>
      <c r="C34" t="s">
        <v>76</v>
      </c>
      <c r="D34" t="s">
        <v>49</v>
      </c>
      <c r="E34" s="28">
        <v>359857</v>
      </c>
      <c r="F34" s="13">
        <v>1029.0110915</v>
      </c>
      <c r="G34" s="14">
        <f t="shared" si="0"/>
        <v>1.4200000000000001E-2</v>
      </c>
      <c r="H34" s="15"/>
      <c r="J34" t="s">
        <v>54</v>
      </c>
      <c r="K34" s="48">
        <f t="shared" si="1"/>
        <v>0</v>
      </c>
      <c r="L34" s="86"/>
      <c r="N34" s="36"/>
      <c r="O34" s="14"/>
    </row>
    <row r="35" spans="1:15" ht="12.75" customHeight="1" x14ac:dyDescent="0.2">
      <c r="A35">
        <f>+MAX($A$8:A34)+1</f>
        <v>27</v>
      </c>
      <c r="B35" t="s">
        <v>209</v>
      </c>
      <c r="C35" t="s">
        <v>634</v>
      </c>
      <c r="D35" t="s">
        <v>24</v>
      </c>
      <c r="E35" s="28">
        <v>161960</v>
      </c>
      <c r="F35" s="13">
        <v>1020.7529</v>
      </c>
      <c r="G35" s="14">
        <f t="shared" si="0"/>
        <v>1.41E-2</v>
      </c>
      <c r="H35" s="15"/>
      <c r="J35" t="s">
        <v>52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211</v>
      </c>
      <c r="C36" t="s">
        <v>96</v>
      </c>
      <c r="D36" t="s">
        <v>19</v>
      </c>
      <c r="E36" s="28">
        <v>100125</v>
      </c>
      <c r="F36" s="13">
        <v>966.50662499999999</v>
      </c>
      <c r="G36" s="14">
        <f t="shared" si="0"/>
        <v>1.3299999999999999E-2</v>
      </c>
      <c r="H36" s="15"/>
      <c r="J36" t="s">
        <v>60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183</v>
      </c>
      <c r="C37" t="s">
        <v>48</v>
      </c>
      <c r="D37" t="s">
        <v>21</v>
      </c>
      <c r="E37" s="28">
        <v>10546</v>
      </c>
      <c r="F37" s="13">
        <v>878.56089499999996</v>
      </c>
      <c r="G37" s="14">
        <f t="shared" si="0"/>
        <v>1.21E-2</v>
      </c>
      <c r="H37" s="15"/>
      <c r="J37" s="14" t="s">
        <v>98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465</v>
      </c>
      <c r="C38" t="s">
        <v>346</v>
      </c>
      <c r="D38" t="s">
        <v>9</v>
      </c>
      <c r="E38" s="28">
        <v>906082</v>
      </c>
      <c r="F38" s="13">
        <v>848.09275200000002</v>
      </c>
      <c r="G38" s="14">
        <f t="shared" si="0"/>
        <v>1.17E-2</v>
      </c>
      <c r="H38" s="15"/>
      <c r="J38" s="14" t="s">
        <v>58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432</v>
      </c>
      <c r="C39" t="s">
        <v>383</v>
      </c>
      <c r="D39" t="s">
        <v>21</v>
      </c>
      <c r="E39" s="28">
        <v>281517</v>
      </c>
      <c r="F39" s="13">
        <v>833.85335400000008</v>
      </c>
      <c r="G39" s="14">
        <f t="shared" si="0"/>
        <v>1.15E-2</v>
      </c>
      <c r="H39" s="15"/>
      <c r="J39" s="14" t="s">
        <v>56</v>
      </c>
      <c r="K39" s="48">
        <f t="shared" si="1"/>
        <v>0</v>
      </c>
      <c r="M39" s="14"/>
    </row>
    <row r="40" spans="1:15" ht="12.75" customHeight="1" x14ac:dyDescent="0.2">
      <c r="A40">
        <f>+MAX($A$8:A39)+1</f>
        <v>32</v>
      </c>
      <c r="B40" t="s">
        <v>280</v>
      </c>
      <c r="C40" t="s">
        <v>281</v>
      </c>
      <c r="D40" t="s">
        <v>9</v>
      </c>
      <c r="E40" s="28">
        <v>400034</v>
      </c>
      <c r="F40" s="13">
        <v>810.268867</v>
      </c>
      <c r="G40" s="14">
        <f t="shared" si="0"/>
        <v>1.12E-2</v>
      </c>
      <c r="H40" s="15"/>
      <c r="J40" s="14" t="s">
        <v>353</v>
      </c>
      <c r="K40" s="48">
        <f t="shared" si="1"/>
        <v>0</v>
      </c>
      <c r="L40" s="54"/>
    </row>
    <row r="41" spans="1:15" ht="12.75" customHeight="1" x14ac:dyDescent="0.2">
      <c r="A41">
        <f>+MAX($A$8:A40)+1</f>
        <v>33</v>
      </c>
      <c r="B41" t="s">
        <v>184</v>
      </c>
      <c r="C41" t="s">
        <v>50</v>
      </c>
      <c r="D41" t="s">
        <v>39</v>
      </c>
      <c r="E41" s="28">
        <v>944272</v>
      </c>
      <c r="F41" s="13">
        <v>804.99188000000004</v>
      </c>
      <c r="G41" s="14">
        <f t="shared" ref="G41:G72" si="2">+ROUND(F41/VLOOKUP("Grand Total",$B$4:$F$289,5,0),4)</f>
        <v>1.11E-2</v>
      </c>
      <c r="H41" s="15"/>
      <c r="J41" s="14" t="s">
        <v>62</v>
      </c>
      <c r="K41" s="48">
        <f>+SUMIFS($G$5:$G$1002,$B$5:$B$1002,"CBLO / Reverse Repo")+SUMIFS($G$5:$G$1002,$B$5:$B$1002,"Net Receivable/Payable")</f>
        <v>5.8699999999999995E-2</v>
      </c>
    </row>
    <row r="42" spans="1:15" ht="12.75" customHeight="1" x14ac:dyDescent="0.2">
      <c r="A42">
        <f>+MAX($A$8:A41)+1</f>
        <v>34</v>
      </c>
      <c r="B42" t="s">
        <v>354</v>
      </c>
      <c r="C42" t="s">
        <v>66</v>
      </c>
      <c r="D42" t="s">
        <v>21</v>
      </c>
      <c r="E42" s="28">
        <v>121679</v>
      </c>
      <c r="F42" s="13">
        <v>794.38135150000005</v>
      </c>
      <c r="G42" s="14">
        <f t="shared" si="2"/>
        <v>1.09E-2</v>
      </c>
      <c r="H42" s="15"/>
    </row>
    <row r="43" spans="1:15" ht="12.75" customHeight="1" x14ac:dyDescent="0.2">
      <c r="A43">
        <f>+MAX($A$8:A42)+1</f>
        <v>35</v>
      </c>
      <c r="B43" t="s">
        <v>435</v>
      </c>
      <c r="C43" t="s">
        <v>436</v>
      </c>
      <c r="D43" t="s">
        <v>43</v>
      </c>
      <c r="E43" s="28">
        <v>1054548</v>
      </c>
      <c r="F43" s="13">
        <v>789.32917799999996</v>
      </c>
      <c r="G43" s="14">
        <f t="shared" si="2"/>
        <v>1.09E-2</v>
      </c>
      <c r="H43" s="15"/>
      <c r="J43" s="14"/>
      <c r="K43" s="48"/>
    </row>
    <row r="44" spans="1:15" ht="12.75" customHeight="1" x14ac:dyDescent="0.2">
      <c r="A44">
        <f>+MAX($A$8:A43)+1</f>
        <v>36</v>
      </c>
      <c r="B44" t="s">
        <v>220</v>
      </c>
      <c r="C44" t="s">
        <v>109</v>
      </c>
      <c r="D44" t="s">
        <v>13</v>
      </c>
      <c r="E44" s="28">
        <v>102000</v>
      </c>
      <c r="F44" s="13">
        <v>781.11599999999999</v>
      </c>
      <c r="G44" s="14">
        <f t="shared" si="2"/>
        <v>1.0800000000000001E-2</v>
      </c>
      <c r="H44" s="15"/>
    </row>
    <row r="45" spans="1:15" ht="12.75" customHeight="1" x14ac:dyDescent="0.2">
      <c r="A45">
        <f>+MAX($A$8:A44)+1</f>
        <v>37</v>
      </c>
      <c r="B45" t="s">
        <v>202</v>
      </c>
      <c r="C45" t="s">
        <v>64</v>
      </c>
      <c r="D45" t="s">
        <v>26</v>
      </c>
      <c r="E45" s="28">
        <v>247552</v>
      </c>
      <c r="F45" s="13">
        <v>747.60703999999998</v>
      </c>
      <c r="G45" s="14">
        <f t="shared" si="2"/>
        <v>1.03E-2</v>
      </c>
      <c r="H45" s="15"/>
    </row>
    <row r="46" spans="1:15" ht="12.75" customHeight="1" x14ac:dyDescent="0.2">
      <c r="A46">
        <f>+MAX($A$8:A45)+1</f>
        <v>38</v>
      </c>
      <c r="B46" t="s">
        <v>309</v>
      </c>
      <c r="C46" t="s">
        <v>310</v>
      </c>
      <c r="D46" t="s">
        <v>36</v>
      </c>
      <c r="E46" s="28">
        <v>874860</v>
      </c>
      <c r="F46" s="13">
        <v>738.38184000000001</v>
      </c>
      <c r="G46" s="14">
        <f t="shared" si="2"/>
        <v>1.0200000000000001E-2</v>
      </c>
      <c r="H46" s="15"/>
    </row>
    <row r="47" spans="1:15" ht="12.75" customHeight="1" x14ac:dyDescent="0.2">
      <c r="A47">
        <f>+MAX($A$8:A46)+1</f>
        <v>39</v>
      </c>
      <c r="B47" t="s">
        <v>468</v>
      </c>
      <c r="C47" t="s">
        <v>469</v>
      </c>
      <c r="D47" t="s">
        <v>102</v>
      </c>
      <c r="E47" s="28">
        <v>779501</v>
      </c>
      <c r="F47" s="13">
        <v>707.78690799999993</v>
      </c>
      <c r="G47" s="14">
        <f t="shared" si="2"/>
        <v>9.7000000000000003E-3</v>
      </c>
      <c r="H47" s="15"/>
    </row>
    <row r="48" spans="1:15" ht="12.75" customHeight="1" x14ac:dyDescent="0.2">
      <c r="A48">
        <f>+MAX($A$8:A47)+1</f>
        <v>40</v>
      </c>
      <c r="B48" t="s">
        <v>175</v>
      </c>
      <c r="C48" t="s">
        <v>23</v>
      </c>
      <c r="D48" t="s">
        <v>13</v>
      </c>
      <c r="E48" s="28">
        <v>67486</v>
      </c>
      <c r="F48" s="13">
        <v>706.20724700000005</v>
      </c>
      <c r="G48" s="14">
        <f t="shared" si="2"/>
        <v>9.7000000000000003E-3</v>
      </c>
      <c r="H48" s="15"/>
    </row>
    <row r="49" spans="1:11" ht="12.75" customHeight="1" x14ac:dyDescent="0.2">
      <c r="A49">
        <f>+MAX($A$8:A48)+1</f>
        <v>41</v>
      </c>
      <c r="B49" t="s">
        <v>586</v>
      </c>
      <c r="C49" t="s">
        <v>587</v>
      </c>
      <c r="D49" t="s">
        <v>24</v>
      </c>
      <c r="E49" s="28">
        <v>190000</v>
      </c>
      <c r="F49" s="13">
        <v>701.95500000000004</v>
      </c>
      <c r="G49" s="14">
        <f t="shared" si="2"/>
        <v>9.7000000000000003E-3</v>
      </c>
      <c r="H49" s="15"/>
      <c r="J49" s="14"/>
      <c r="K49" s="48"/>
    </row>
    <row r="50" spans="1:11" ht="12.75" customHeight="1" x14ac:dyDescent="0.2">
      <c r="A50">
        <f>+MAX($A$8:A49)+1</f>
        <v>42</v>
      </c>
      <c r="B50" t="s">
        <v>193</v>
      </c>
      <c r="C50" t="s">
        <v>59</v>
      </c>
      <c r="D50" t="s">
        <v>21</v>
      </c>
      <c r="E50" s="28">
        <v>97828</v>
      </c>
      <c r="F50" s="13">
        <v>697.26907000000006</v>
      </c>
      <c r="G50" s="14">
        <f t="shared" si="2"/>
        <v>9.5999999999999992E-3</v>
      </c>
      <c r="H50" s="15"/>
    </row>
    <row r="51" spans="1:11" ht="12.75" customHeight="1" x14ac:dyDescent="0.2">
      <c r="A51">
        <f>+MAX($A$8:A50)+1</f>
        <v>43</v>
      </c>
      <c r="B51" t="s">
        <v>38</v>
      </c>
      <c r="C51" t="s">
        <v>40</v>
      </c>
      <c r="D51" t="s">
        <v>9</v>
      </c>
      <c r="E51" s="28">
        <v>434753</v>
      </c>
      <c r="F51" s="13">
        <v>664.95471350000003</v>
      </c>
      <c r="G51" s="14">
        <f t="shared" si="2"/>
        <v>9.1999999999999998E-3</v>
      </c>
      <c r="H51" s="15"/>
    </row>
    <row r="52" spans="1:11" ht="12.75" customHeight="1" x14ac:dyDescent="0.2">
      <c r="A52">
        <f>+MAX($A$8:A51)+1</f>
        <v>44</v>
      </c>
      <c r="B52" t="s">
        <v>456</v>
      </c>
      <c r="C52" t="s">
        <v>457</v>
      </c>
      <c r="D52" t="s">
        <v>102</v>
      </c>
      <c r="E52" s="28">
        <v>830000</v>
      </c>
      <c r="F52" s="13">
        <v>662.755</v>
      </c>
      <c r="G52" s="14">
        <f t="shared" si="2"/>
        <v>9.1000000000000004E-3</v>
      </c>
      <c r="H52" s="15"/>
    </row>
    <row r="53" spans="1:11" ht="12.75" customHeight="1" x14ac:dyDescent="0.2">
      <c r="A53">
        <f>+MAX($A$8:A52)+1</f>
        <v>45</v>
      </c>
      <c r="B53" t="s">
        <v>151</v>
      </c>
      <c r="C53" t="s">
        <v>161</v>
      </c>
      <c r="D53" t="s">
        <v>9</v>
      </c>
      <c r="E53" s="28">
        <v>232499</v>
      </c>
      <c r="F53" s="13">
        <v>659.59966299999996</v>
      </c>
      <c r="G53" s="14">
        <f t="shared" si="2"/>
        <v>9.1000000000000004E-3</v>
      </c>
      <c r="H53" s="15"/>
    </row>
    <row r="54" spans="1:11" ht="12.75" customHeight="1" x14ac:dyDescent="0.2">
      <c r="A54">
        <f>+MAX($A$8:A53)+1</f>
        <v>46</v>
      </c>
      <c r="B54" s="65" t="s">
        <v>398</v>
      </c>
      <c r="C54" s="65" t="s">
        <v>399</v>
      </c>
      <c r="D54" t="s">
        <v>22</v>
      </c>
      <c r="E54" s="28">
        <v>48012</v>
      </c>
      <c r="F54" s="13">
        <v>641.34429599999999</v>
      </c>
      <c r="G54" s="14">
        <f t="shared" si="2"/>
        <v>8.8000000000000005E-3</v>
      </c>
      <c r="H54" s="15"/>
    </row>
    <row r="55" spans="1:11" ht="12.75" customHeight="1" x14ac:dyDescent="0.2">
      <c r="A55">
        <f>+MAX($A$8:A54)+1</f>
        <v>47</v>
      </c>
      <c r="B55" t="s">
        <v>289</v>
      </c>
      <c r="C55" t="s">
        <v>290</v>
      </c>
      <c r="D55" t="s">
        <v>17</v>
      </c>
      <c r="E55" s="28">
        <v>83502</v>
      </c>
      <c r="F55" s="13">
        <v>634.86570600000005</v>
      </c>
      <c r="G55" s="14">
        <f t="shared" si="2"/>
        <v>8.6999999999999994E-3</v>
      </c>
      <c r="H55" s="15"/>
    </row>
    <row r="56" spans="1:11" ht="12.75" customHeight="1" x14ac:dyDescent="0.2">
      <c r="A56">
        <f>+MAX($A$8:A55)+1</f>
        <v>48</v>
      </c>
      <c r="B56" t="s">
        <v>195</v>
      </c>
      <c r="C56" t="s">
        <v>27</v>
      </c>
      <c r="D56" t="s">
        <v>9</v>
      </c>
      <c r="E56" s="28">
        <v>97342</v>
      </c>
      <c r="F56" s="13">
        <v>631.99293499999999</v>
      </c>
      <c r="G56" s="14">
        <f t="shared" si="2"/>
        <v>8.6999999999999994E-3</v>
      </c>
      <c r="H56" s="15"/>
    </row>
    <row r="57" spans="1:11" ht="12.75" customHeight="1" x14ac:dyDescent="0.2">
      <c r="A57">
        <f>+MAX($A$8:A56)+1</f>
        <v>49</v>
      </c>
      <c r="B57" t="s">
        <v>182</v>
      </c>
      <c r="C57" t="s">
        <v>51</v>
      </c>
      <c r="D57" t="s">
        <v>17</v>
      </c>
      <c r="E57" s="28">
        <v>13982</v>
      </c>
      <c r="F57" s="13">
        <v>625.76441</v>
      </c>
      <c r="G57" s="14">
        <f t="shared" si="2"/>
        <v>8.6E-3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219</v>
      </c>
      <c r="C58" t="s">
        <v>108</v>
      </c>
      <c r="D58" t="s">
        <v>19</v>
      </c>
      <c r="E58" s="28">
        <v>18889</v>
      </c>
      <c r="F58" s="13">
        <v>614.61028199999998</v>
      </c>
      <c r="G58" s="14">
        <f t="shared" si="2"/>
        <v>8.5000000000000006E-3</v>
      </c>
      <c r="H58" s="15"/>
    </row>
    <row r="59" spans="1:11" ht="12.75" customHeight="1" x14ac:dyDescent="0.2">
      <c r="A59">
        <f>+MAX($A$8:A58)+1</f>
        <v>51</v>
      </c>
      <c r="B59" t="s">
        <v>198</v>
      </c>
      <c r="C59" t="s">
        <v>61</v>
      </c>
      <c r="D59" t="s">
        <v>34</v>
      </c>
      <c r="E59" s="28">
        <v>169704</v>
      </c>
      <c r="F59" s="13">
        <v>605.92813200000001</v>
      </c>
      <c r="G59" s="14">
        <f t="shared" si="2"/>
        <v>8.3000000000000001E-3</v>
      </c>
      <c r="H59" s="15"/>
    </row>
    <row r="60" spans="1:11" ht="12.75" customHeight="1" x14ac:dyDescent="0.2">
      <c r="A60">
        <f>+MAX($A$8:A59)+1</f>
        <v>52</v>
      </c>
      <c r="B60" t="s">
        <v>208</v>
      </c>
      <c r="C60" t="s">
        <v>78</v>
      </c>
      <c r="D60" t="s">
        <v>43</v>
      </c>
      <c r="E60" s="28">
        <v>200927</v>
      </c>
      <c r="F60" s="13">
        <v>601.87682849999999</v>
      </c>
      <c r="G60" s="14">
        <f t="shared" si="2"/>
        <v>8.3000000000000001E-3</v>
      </c>
      <c r="H60" s="15"/>
    </row>
    <row r="61" spans="1:11" ht="12.75" customHeight="1" x14ac:dyDescent="0.2">
      <c r="A61">
        <f>+MAX($A$8:A60)+1</f>
        <v>53</v>
      </c>
      <c r="B61" t="s">
        <v>177</v>
      </c>
      <c r="C61" t="s">
        <v>37</v>
      </c>
      <c r="D61" t="s">
        <v>19</v>
      </c>
      <c r="E61" s="28">
        <v>20930</v>
      </c>
      <c r="F61" s="13">
        <v>574.49710500000003</v>
      </c>
      <c r="G61" s="14">
        <f t="shared" si="2"/>
        <v>7.9000000000000008E-3</v>
      </c>
      <c r="H61" s="15"/>
    </row>
    <row r="62" spans="1:11" ht="12.75" customHeight="1" x14ac:dyDescent="0.2">
      <c r="A62">
        <f>+MAX($A$8:A61)+1</f>
        <v>54</v>
      </c>
      <c r="B62" t="s">
        <v>201</v>
      </c>
      <c r="C62" t="s">
        <v>68</v>
      </c>
      <c r="D62" t="s">
        <v>9</v>
      </c>
      <c r="E62" s="28">
        <v>676878</v>
      </c>
      <c r="F62" s="13">
        <v>548.94805799999995</v>
      </c>
      <c r="G62" s="14">
        <f t="shared" si="2"/>
        <v>7.6E-3</v>
      </c>
      <c r="H62" s="15"/>
    </row>
    <row r="63" spans="1:11" ht="12.75" customHeight="1" x14ac:dyDescent="0.2">
      <c r="A63">
        <f>+MAX($A$8:A62)+1</f>
        <v>55</v>
      </c>
      <c r="B63" t="s">
        <v>437</v>
      </c>
      <c r="C63" t="s">
        <v>438</v>
      </c>
      <c r="D63" t="s">
        <v>9</v>
      </c>
      <c r="E63" s="28">
        <v>853115</v>
      </c>
      <c r="F63" s="13">
        <v>545.56704249999996</v>
      </c>
      <c r="G63" s="14">
        <f t="shared" si="2"/>
        <v>7.4999999999999997E-3</v>
      </c>
      <c r="H63" s="15"/>
    </row>
    <row r="64" spans="1:11" ht="12.75" customHeight="1" x14ac:dyDescent="0.2">
      <c r="A64">
        <f>+MAX($A$8:A63)+1</f>
        <v>56</v>
      </c>
      <c r="B64" t="s">
        <v>494</v>
      </c>
      <c r="C64" t="s">
        <v>495</v>
      </c>
      <c r="D64" t="s">
        <v>35</v>
      </c>
      <c r="E64" s="28">
        <v>58709</v>
      </c>
      <c r="F64" s="13">
        <v>545.31854650000002</v>
      </c>
      <c r="G64" s="14">
        <f t="shared" si="2"/>
        <v>7.4999999999999997E-3</v>
      </c>
      <c r="H64" s="15"/>
    </row>
    <row r="65" spans="1:9" ht="12.75" customHeight="1" x14ac:dyDescent="0.2">
      <c r="A65">
        <f>+MAX($A$8:A64)+1</f>
        <v>57</v>
      </c>
      <c r="B65" s="65" t="s">
        <v>396</v>
      </c>
      <c r="C65" t="s">
        <v>397</v>
      </c>
      <c r="D65" t="s">
        <v>41</v>
      </c>
      <c r="E65" s="28">
        <v>63940</v>
      </c>
      <c r="F65" s="13">
        <v>539.17404999999997</v>
      </c>
      <c r="G65" s="14">
        <f t="shared" si="2"/>
        <v>7.4000000000000003E-3</v>
      </c>
      <c r="H65" s="15"/>
    </row>
    <row r="66" spans="1:9" ht="12.75" customHeight="1" x14ac:dyDescent="0.2">
      <c r="A66">
        <f>+MAX($A$8:A65)+1</f>
        <v>58</v>
      </c>
      <c r="B66" s="65" t="s">
        <v>500</v>
      </c>
      <c r="C66" t="s">
        <v>501</v>
      </c>
      <c r="D66" t="s">
        <v>30</v>
      </c>
      <c r="E66" s="28">
        <v>236000</v>
      </c>
      <c r="F66" s="13">
        <v>492.53199999999998</v>
      </c>
      <c r="G66" s="14">
        <f t="shared" si="2"/>
        <v>6.7999999999999996E-3</v>
      </c>
      <c r="H66" s="15"/>
    </row>
    <row r="67" spans="1:9" ht="12.75" customHeight="1" x14ac:dyDescent="0.2">
      <c r="A67">
        <f>+MAX($A$8:A66)+1</f>
        <v>59</v>
      </c>
      <c r="B67" s="65" t="s">
        <v>433</v>
      </c>
      <c r="C67" t="s">
        <v>434</v>
      </c>
      <c r="D67" t="s">
        <v>126</v>
      </c>
      <c r="E67" s="28">
        <v>238963</v>
      </c>
      <c r="F67" s="13">
        <v>452.47644049999997</v>
      </c>
      <c r="G67" s="14">
        <f t="shared" si="2"/>
        <v>6.1999999999999998E-3</v>
      </c>
      <c r="H67" s="15"/>
    </row>
    <row r="68" spans="1:9" ht="12.75" customHeight="1" x14ac:dyDescent="0.2">
      <c r="A68">
        <f>+MAX($A$8:A67)+1</f>
        <v>60</v>
      </c>
      <c r="B68" s="65" t="s">
        <v>185</v>
      </c>
      <c r="C68" t="s">
        <v>31</v>
      </c>
      <c r="D68" t="s">
        <v>17</v>
      </c>
      <c r="E68" s="28">
        <v>53292</v>
      </c>
      <c r="F68" s="13">
        <v>426.65575200000001</v>
      </c>
      <c r="G68" s="14">
        <f t="shared" si="2"/>
        <v>5.8999999999999999E-3</v>
      </c>
      <c r="H68" s="15"/>
    </row>
    <row r="69" spans="1:9" ht="12.75" customHeight="1" x14ac:dyDescent="0.2">
      <c r="A69">
        <f>+MAX($A$8:A68)+1</f>
        <v>61</v>
      </c>
      <c r="B69" s="65" t="s">
        <v>355</v>
      </c>
      <c r="C69" t="s">
        <v>356</v>
      </c>
      <c r="D69" t="s">
        <v>357</v>
      </c>
      <c r="E69" s="28">
        <v>199566</v>
      </c>
      <c r="F69" s="13">
        <v>283.18415399999998</v>
      </c>
      <c r="G69" s="14">
        <f t="shared" si="2"/>
        <v>3.8999999999999998E-3</v>
      </c>
      <c r="H69" s="15"/>
    </row>
    <row r="70" spans="1:9" ht="12.75" customHeight="1" x14ac:dyDescent="0.2">
      <c r="A70">
        <f>+MAX($A$8:A69)+1</f>
        <v>62</v>
      </c>
      <c r="B70" s="65" t="s">
        <v>466</v>
      </c>
      <c r="C70" t="s">
        <v>467</v>
      </c>
      <c r="D70" t="s">
        <v>9</v>
      </c>
      <c r="E70" s="28">
        <v>666967</v>
      </c>
      <c r="F70" s="13">
        <v>268.78770100000003</v>
      </c>
      <c r="G70" s="14">
        <f t="shared" si="2"/>
        <v>3.7000000000000002E-3</v>
      </c>
      <c r="H70" s="15"/>
    </row>
    <row r="71" spans="1:9" ht="12.75" customHeight="1" x14ac:dyDescent="0.2">
      <c r="A71">
        <f>+MAX($A$8:A70)+1</f>
        <v>63</v>
      </c>
      <c r="B71" s="65" t="s">
        <v>278</v>
      </c>
      <c r="C71" t="s">
        <v>70</v>
      </c>
      <c r="D71" t="s">
        <v>26</v>
      </c>
      <c r="E71" s="28">
        <v>1365791</v>
      </c>
      <c r="F71" s="13">
        <v>193.94232199999999</v>
      </c>
      <c r="G71" s="14">
        <f t="shared" si="2"/>
        <v>2.7000000000000001E-3</v>
      </c>
      <c r="H71" s="15"/>
    </row>
    <row r="72" spans="1:9" ht="12.75" customHeight="1" x14ac:dyDescent="0.2">
      <c r="A72">
        <f>+MAX($A$8:A71)+1</f>
        <v>64</v>
      </c>
      <c r="B72" s="65" t="s">
        <v>197</v>
      </c>
      <c r="C72" t="s">
        <v>73</v>
      </c>
      <c r="D72" t="s">
        <v>34</v>
      </c>
      <c r="E72" s="28">
        <v>3622594</v>
      </c>
      <c r="F72" s="13">
        <v>148.526354</v>
      </c>
      <c r="G72" s="14">
        <f t="shared" si="2"/>
        <v>2E-3</v>
      </c>
      <c r="H72" s="15"/>
    </row>
    <row r="73" spans="1:9" ht="12.75" customHeight="1" x14ac:dyDescent="0.2">
      <c r="A73">
        <f>+MAX($A$8:A72)+1</f>
        <v>65</v>
      </c>
      <c r="B73" s="65" t="s">
        <v>374</v>
      </c>
      <c r="C73" t="s">
        <v>80</v>
      </c>
      <c r="D73" t="s">
        <v>30</v>
      </c>
      <c r="E73" s="28">
        <v>100000</v>
      </c>
      <c r="F73" s="13">
        <v>5.54</v>
      </c>
      <c r="G73" s="14">
        <f t="shared" ref="G73" si="3">+ROUND(F73/VLOOKUP("Grand Total",$B$4:$F$289,5,0),4)</f>
        <v>1E-4</v>
      </c>
      <c r="H73" s="15"/>
    </row>
    <row r="74" spans="1:9" ht="12.75" customHeight="1" x14ac:dyDescent="0.2">
      <c r="A74">
        <f>+MAX($A$8:A73)+1</f>
        <v>66</v>
      </c>
      <c r="B74" s="65" t="s">
        <v>448</v>
      </c>
      <c r="C74" t="s">
        <v>81</v>
      </c>
      <c r="D74" t="s">
        <v>98</v>
      </c>
      <c r="E74" s="28">
        <v>511578</v>
      </c>
      <c r="F74" s="13">
        <v>0</v>
      </c>
      <c r="G74" s="107" t="s">
        <v>430</v>
      </c>
      <c r="H74" s="15"/>
    </row>
    <row r="75" spans="1:9" ht="12.75" customHeight="1" x14ac:dyDescent="0.2">
      <c r="B75" s="18" t="s">
        <v>82</v>
      </c>
      <c r="C75" s="18"/>
      <c r="D75" s="18"/>
      <c r="E75" s="29"/>
      <c r="F75" s="19">
        <f>SUM(F9:F74)</f>
        <v>67655.475549500014</v>
      </c>
      <c r="G75" s="20">
        <f>SUM(G9:G74)</f>
        <v>0.93170000000000008</v>
      </c>
      <c r="H75" s="21"/>
      <c r="I75" s="35"/>
    </row>
    <row r="76" spans="1:9" ht="12.75" customHeight="1" x14ac:dyDescent="0.2">
      <c r="F76" s="13"/>
      <c r="G76" s="14"/>
      <c r="H76" s="15"/>
    </row>
    <row r="77" spans="1:9" ht="12.75" customHeight="1" x14ac:dyDescent="0.2">
      <c r="B77" s="16" t="s">
        <v>265</v>
      </c>
      <c r="C77" s="16"/>
      <c r="F77" s="13"/>
      <c r="G77" s="14"/>
      <c r="H77" s="15"/>
    </row>
    <row r="78" spans="1:9" ht="12.75" customHeight="1" x14ac:dyDescent="0.2">
      <c r="A78">
        <f>+MAX($A$8:A77)+1</f>
        <v>67</v>
      </c>
      <c r="B78" s="65" t="s">
        <v>547</v>
      </c>
      <c r="C78" s="120" t="s">
        <v>787</v>
      </c>
      <c r="D78" t="s">
        <v>56</v>
      </c>
      <c r="E78" s="28">
        <v>54000</v>
      </c>
      <c r="F78" s="13">
        <v>0</v>
      </c>
      <c r="G78" s="107" t="s">
        <v>430</v>
      </c>
      <c r="H78" s="15"/>
    </row>
    <row r="79" spans="1:9" ht="12.75" customHeight="1" x14ac:dyDescent="0.2">
      <c r="A79">
        <f>+MAX($A$8:A78)+1</f>
        <v>68</v>
      </c>
      <c r="B79" s="65" t="s">
        <v>548</v>
      </c>
      <c r="C79" s="65" t="s">
        <v>83</v>
      </c>
      <c r="D79" s="65" t="s">
        <v>52</v>
      </c>
      <c r="E79" s="28">
        <v>200000</v>
      </c>
      <c r="F79" s="13">
        <v>0</v>
      </c>
      <c r="G79" s="107" t="s">
        <v>430</v>
      </c>
      <c r="H79" s="15"/>
    </row>
    <row r="80" spans="1:9" ht="12.75" customHeight="1" x14ac:dyDescent="0.2">
      <c r="A80">
        <f>+MAX($A$8:A79)+1</f>
        <v>69</v>
      </c>
      <c r="B80" s="65" t="s">
        <v>549</v>
      </c>
      <c r="C80" s="65" t="s">
        <v>87</v>
      </c>
      <c r="D80" s="65" t="s">
        <v>353</v>
      </c>
      <c r="E80" s="28">
        <v>176305</v>
      </c>
      <c r="F80" s="13">
        <v>0</v>
      </c>
      <c r="G80" s="107" t="s">
        <v>430</v>
      </c>
      <c r="H80" s="15"/>
    </row>
    <row r="81" spans="1:9" ht="12.75" customHeight="1" x14ac:dyDescent="0.2">
      <c r="A81">
        <f>+MAX($A$8:A80)+1</f>
        <v>70</v>
      </c>
      <c r="B81" s="65" t="s">
        <v>550</v>
      </c>
      <c r="C81" s="120" t="s">
        <v>787</v>
      </c>
      <c r="D81" s="1" t="s">
        <v>54</v>
      </c>
      <c r="E81" s="28">
        <v>93200</v>
      </c>
      <c r="F81" s="13">
        <v>0</v>
      </c>
      <c r="G81" s="107" t="s">
        <v>430</v>
      </c>
      <c r="H81" s="15"/>
    </row>
    <row r="82" spans="1:9" ht="12.75" customHeight="1" x14ac:dyDescent="0.2">
      <c r="A82">
        <f>+MAX($A$8:A81)+1</f>
        <v>71</v>
      </c>
      <c r="B82" s="65" t="s">
        <v>551</v>
      </c>
      <c r="C82" s="65" t="s">
        <v>86</v>
      </c>
      <c r="D82" s="1" t="s">
        <v>36</v>
      </c>
      <c r="E82" s="28">
        <v>200</v>
      </c>
      <c r="F82" s="13">
        <v>0</v>
      </c>
      <c r="G82" s="107" t="s">
        <v>430</v>
      </c>
      <c r="H82" s="15"/>
    </row>
    <row r="83" spans="1:9" ht="12.75" customHeight="1" x14ac:dyDescent="0.2">
      <c r="A83">
        <f>+MAX($A$8:A82)+1</f>
        <v>72</v>
      </c>
      <c r="B83" s="65" t="s">
        <v>552</v>
      </c>
      <c r="C83" s="65" t="s">
        <v>85</v>
      </c>
      <c r="D83" s="1" t="s">
        <v>60</v>
      </c>
      <c r="E83" s="28">
        <v>39500</v>
      </c>
      <c r="F83" s="13">
        <v>0</v>
      </c>
      <c r="G83" s="107" t="s">
        <v>430</v>
      </c>
      <c r="H83" s="15"/>
    </row>
    <row r="84" spans="1:9" ht="12.75" customHeight="1" x14ac:dyDescent="0.2">
      <c r="A84">
        <f>+MAX($A$8:A83)+1</f>
        <v>73</v>
      </c>
      <c r="B84" s="65" t="s">
        <v>553</v>
      </c>
      <c r="C84" s="65" t="s">
        <v>84</v>
      </c>
      <c r="D84" s="1" t="s">
        <v>58</v>
      </c>
      <c r="E84" s="28">
        <v>50800</v>
      </c>
      <c r="F84" s="13">
        <v>0</v>
      </c>
      <c r="G84" s="107" t="s">
        <v>430</v>
      </c>
      <c r="H84" s="15"/>
    </row>
    <row r="85" spans="1:9" ht="12.75" customHeight="1" x14ac:dyDescent="0.2">
      <c r="B85" s="18" t="s">
        <v>82</v>
      </c>
      <c r="C85" s="18"/>
      <c r="D85" s="18"/>
      <c r="E85" s="29"/>
      <c r="F85" s="19">
        <f>SUM(F78:F84)</f>
        <v>0</v>
      </c>
      <c r="G85" s="51" t="s">
        <v>430</v>
      </c>
      <c r="H85" s="21"/>
      <c r="I85" s="35"/>
    </row>
    <row r="86" spans="1:9" ht="12.75" customHeight="1" x14ac:dyDescent="0.2">
      <c r="F86" s="13"/>
      <c r="G86" s="14"/>
      <c r="H86" s="15"/>
    </row>
    <row r="87" spans="1:9" ht="12.75" customHeight="1" x14ac:dyDescent="0.2">
      <c r="B87" s="16" t="s">
        <v>88</v>
      </c>
      <c r="F87" s="13"/>
      <c r="G87" s="14"/>
      <c r="H87" s="15"/>
    </row>
    <row r="88" spans="1:9" ht="12.75" customHeight="1" x14ac:dyDescent="0.2">
      <c r="B88" s="16" t="s">
        <v>153</v>
      </c>
      <c r="C88" s="16"/>
      <c r="F88" s="13"/>
      <c r="G88" s="14"/>
      <c r="H88" s="15"/>
    </row>
    <row r="89" spans="1:9" ht="12.75" customHeight="1" x14ac:dyDescent="0.2">
      <c r="A89">
        <f>+MAX($A$8:A88)+1</f>
        <v>74</v>
      </c>
      <c r="B89" t="s">
        <v>450</v>
      </c>
      <c r="C89" s="65" t="s">
        <v>672</v>
      </c>
      <c r="D89" t="s">
        <v>345</v>
      </c>
      <c r="E89" s="28">
        <v>44000</v>
      </c>
      <c r="F89" s="13">
        <v>43.39808</v>
      </c>
      <c r="G89" s="14">
        <f>+ROUND(F89/VLOOKUP("Grand Total",$B$4:$F$289,5,0),4)</f>
        <v>5.9999999999999995E-4</v>
      </c>
      <c r="H89" s="15">
        <v>43419</v>
      </c>
    </row>
    <row r="90" spans="1:9" ht="12.75" customHeight="1" x14ac:dyDescent="0.2">
      <c r="B90" s="18" t="s">
        <v>82</v>
      </c>
      <c r="C90" s="18"/>
      <c r="D90" s="18"/>
      <c r="E90" s="29"/>
      <c r="F90" s="19">
        <f>SUM(F89:F89)</f>
        <v>43.39808</v>
      </c>
      <c r="G90" s="51">
        <f>SUM(G89:G89)</f>
        <v>5.9999999999999995E-4</v>
      </c>
      <c r="H90" s="21"/>
      <c r="I90" s="35"/>
    </row>
    <row r="91" spans="1:9" ht="12.75" customHeight="1" x14ac:dyDescent="0.2">
      <c r="F91" s="13"/>
      <c r="G91" s="14"/>
      <c r="H91" s="15"/>
    </row>
    <row r="92" spans="1:9" ht="12.75" customHeight="1" x14ac:dyDescent="0.2">
      <c r="B92" s="16" t="s">
        <v>89</v>
      </c>
      <c r="C92" s="16"/>
      <c r="F92" s="13"/>
      <c r="G92" s="14"/>
      <c r="H92" s="15"/>
    </row>
    <row r="93" spans="1:9" ht="12.75" customHeight="1" x14ac:dyDescent="0.2">
      <c r="A93">
        <f>+MAX($A$8:A92)+1</f>
        <v>75</v>
      </c>
      <c r="B93" t="s">
        <v>560</v>
      </c>
      <c r="C93" s="65" t="s">
        <v>263</v>
      </c>
      <c r="D93" t="s">
        <v>279</v>
      </c>
      <c r="E93" s="28">
        <v>2014991.537</v>
      </c>
      <c r="F93" s="13">
        <v>651.58378329999994</v>
      </c>
      <c r="G93" s="14">
        <f>+ROUND(F93/VLOOKUP("Grand Total",$B$4:$F$289,5,0),4)</f>
        <v>8.9999999999999993E-3</v>
      </c>
      <c r="H93" s="15"/>
    </row>
    <row r="94" spans="1:9" ht="12.75" customHeight="1" x14ac:dyDescent="0.2">
      <c r="B94" s="18" t="s">
        <v>82</v>
      </c>
      <c r="C94" s="18"/>
      <c r="D94" s="18"/>
      <c r="E94" s="29"/>
      <c r="F94" s="19">
        <f>SUM(F93:F93)</f>
        <v>651.58378329999994</v>
      </c>
      <c r="G94" s="51">
        <f>SUM(G93:G93)</f>
        <v>8.9999999999999993E-3</v>
      </c>
      <c r="H94" s="21"/>
      <c r="I94" s="35"/>
    </row>
    <row r="95" spans="1:9" ht="12.75" customHeight="1" x14ac:dyDescent="0.2">
      <c r="F95" s="13"/>
      <c r="G95" s="14"/>
      <c r="H95" s="15"/>
    </row>
    <row r="96" spans="1:9" ht="12.75" customHeight="1" x14ac:dyDescent="0.2">
      <c r="B96" s="16" t="s">
        <v>91</v>
      </c>
      <c r="C96" s="16"/>
      <c r="F96" s="13"/>
      <c r="G96" s="14"/>
      <c r="H96" s="15"/>
    </row>
    <row r="97" spans="1:9" ht="12.75" customHeight="1" x14ac:dyDescent="0.2">
      <c r="A97" s="94" t="s">
        <v>312</v>
      </c>
      <c r="B97" s="16" t="s">
        <v>633</v>
      </c>
      <c r="C97" s="16"/>
      <c r="F97" s="13">
        <v>4700.8611461999999</v>
      </c>
      <c r="G97" s="14">
        <f>+ROUND(F97/VLOOKUP("Grand Total",$B$4:$F$289,5,0),4)</f>
        <v>6.4699999999999994E-2</v>
      </c>
      <c r="H97" s="15">
        <v>43346</v>
      </c>
    </row>
    <row r="98" spans="1:9" ht="12.75" customHeight="1" x14ac:dyDescent="0.2">
      <c r="B98" s="16" t="s">
        <v>92</v>
      </c>
      <c r="C98" s="16"/>
      <c r="F98" s="13">
        <v>-431.24356020000414</v>
      </c>
      <c r="G98" s="14">
        <f>+ROUND(F98/VLOOKUP("Grand Total",$B$4:$F$289,5,0),4)-0.01%</f>
        <v>-6.0000000000000001E-3</v>
      </c>
      <c r="H98" s="15"/>
    </row>
    <row r="99" spans="1:9" ht="12.75" customHeight="1" x14ac:dyDescent="0.2">
      <c r="B99" s="18" t="s">
        <v>82</v>
      </c>
      <c r="C99" s="18"/>
      <c r="D99" s="18"/>
      <c r="E99" s="29"/>
      <c r="F99" s="19">
        <f>SUM(F97:F98)</f>
        <v>4269.6175859999958</v>
      </c>
      <c r="G99" s="20">
        <f>SUM(G97:G98)</f>
        <v>5.8699999999999995E-2</v>
      </c>
      <c r="H99" s="21"/>
      <c r="I99" s="35"/>
    </row>
    <row r="100" spans="1:9" ht="12.75" customHeight="1" x14ac:dyDescent="0.2">
      <c r="B100" s="22" t="s">
        <v>93</v>
      </c>
      <c r="C100" s="22"/>
      <c r="D100" s="22"/>
      <c r="E100" s="30"/>
      <c r="F100" s="23">
        <f>+SUMIF($B$5:B99,"Total",$F$5:F99)</f>
        <v>72620.074998800003</v>
      </c>
      <c r="G100" s="24">
        <f>+SUMIF($B$5:B99,"Total",$G$5:G99)</f>
        <v>1.0000000000000002</v>
      </c>
      <c r="H100" s="25"/>
      <c r="I100" s="35"/>
    </row>
    <row r="101" spans="1:9" ht="12.75" customHeight="1" x14ac:dyDescent="0.2"/>
    <row r="102" spans="1:9" ht="12.75" customHeight="1" x14ac:dyDescent="0.2">
      <c r="B102" s="16" t="s">
        <v>166</v>
      </c>
      <c r="C102" s="16"/>
    </row>
    <row r="103" spans="1:9" ht="12.75" customHeight="1" x14ac:dyDescent="0.2">
      <c r="B103" s="16" t="s">
        <v>167</v>
      </c>
      <c r="C103" s="16"/>
    </row>
    <row r="104" spans="1:9" ht="12.75" customHeight="1" x14ac:dyDescent="0.2">
      <c r="B104" s="16" t="s">
        <v>168</v>
      </c>
      <c r="C104" s="16"/>
      <c r="F104" s="43"/>
      <c r="G104" s="43"/>
    </row>
    <row r="105" spans="1:9" ht="12.75" customHeight="1" x14ac:dyDescent="0.2">
      <c r="B105" s="53" t="s">
        <v>268</v>
      </c>
      <c r="C105" s="16"/>
    </row>
    <row r="106" spans="1:9" ht="12.75" customHeight="1" x14ac:dyDescent="0.2"/>
    <row r="107" spans="1:9" ht="12.75" customHeight="1" x14ac:dyDescent="0.2"/>
    <row r="108" spans="1:9" ht="12.75" customHeight="1" x14ac:dyDescent="0.2"/>
    <row r="109" spans="1:9" ht="12.75" customHeight="1" x14ac:dyDescent="0.2"/>
    <row r="110" spans="1:9" ht="12.75" customHeight="1" x14ac:dyDescent="0.2"/>
    <row r="111" spans="1:9" ht="12.75" customHeight="1" x14ac:dyDescent="0.2"/>
    <row r="112" spans="1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3" t="s">
        <v>323</v>
      </c>
      <c r="B1" s="128" t="s">
        <v>742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267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s="65" t="s">
        <v>444</v>
      </c>
      <c r="C9" t="s">
        <v>652</v>
      </c>
      <c r="D9" t="s">
        <v>445</v>
      </c>
      <c r="E9" s="28">
        <v>160</v>
      </c>
      <c r="F9" s="13">
        <v>796.16480000000001</v>
      </c>
      <c r="G9" s="14">
        <f>+ROUND(F9/VLOOKUP("Grand Total",$B$4:$F$297,5,0),4)</f>
        <v>8.5199999999999998E-2</v>
      </c>
      <c r="H9" s="15">
        <v>43362</v>
      </c>
      <c r="I9" s="64"/>
      <c r="J9" s="14" t="s">
        <v>257</v>
      </c>
      <c r="K9" s="48">
        <f t="shared" ref="K9:K19" si="0">SUMIFS($G$5:$G$320,$D$5:$D$320,J9)</f>
        <v>0.16439999999999999</v>
      </c>
    </row>
    <row r="10" spans="1:16" ht="12.75" customHeight="1" x14ac:dyDescent="0.2">
      <c r="A10">
        <f>+MAX($A$8:A9)+1</f>
        <v>2</v>
      </c>
      <c r="B10" s="1" t="s">
        <v>227</v>
      </c>
      <c r="C10" t="s">
        <v>695</v>
      </c>
      <c r="D10" t="s">
        <v>255</v>
      </c>
      <c r="E10" s="28">
        <v>100</v>
      </c>
      <c r="F10" s="13">
        <v>499.41149999999999</v>
      </c>
      <c r="G10" s="14">
        <f>+ROUND(F10/VLOOKUP("Grand Total",$B$4:$F$297,5,0),4)</f>
        <v>5.3400000000000003E-2</v>
      </c>
      <c r="H10" s="15">
        <v>43350</v>
      </c>
      <c r="I10" s="64"/>
      <c r="J10" s="14" t="s">
        <v>104</v>
      </c>
      <c r="K10" s="48">
        <f t="shared" si="0"/>
        <v>0.13829999999999998</v>
      </c>
    </row>
    <row r="11" spans="1:16" ht="12.75" customHeight="1" x14ac:dyDescent="0.2">
      <c r="A11">
        <f>+MAX($A$8:A10)+1</f>
        <v>3</v>
      </c>
      <c r="B11" s="1" t="s">
        <v>256</v>
      </c>
      <c r="C11" t="s">
        <v>443</v>
      </c>
      <c r="D11" t="s">
        <v>449</v>
      </c>
      <c r="E11" s="28">
        <v>80</v>
      </c>
      <c r="F11" s="13">
        <v>399.4796</v>
      </c>
      <c r="G11" s="14">
        <f>+ROUND(F11/VLOOKUP("Grand Total",$B$4:$F$297,5,0),4)</f>
        <v>4.2700000000000002E-2</v>
      </c>
      <c r="H11" s="15">
        <v>43350</v>
      </c>
      <c r="I11" s="64"/>
      <c r="J11" s="14" t="s">
        <v>369</v>
      </c>
      <c r="K11" s="48">
        <f t="shared" si="0"/>
        <v>0.1023</v>
      </c>
    </row>
    <row r="12" spans="1:16" ht="12.75" customHeight="1" x14ac:dyDescent="0.2">
      <c r="A12">
        <f>+MAX($A$8:A11)+1</f>
        <v>4</v>
      </c>
      <c r="B12" s="1" t="s">
        <v>256</v>
      </c>
      <c r="C12" t="s">
        <v>462</v>
      </c>
      <c r="D12" t="s">
        <v>449</v>
      </c>
      <c r="E12" s="28">
        <v>80</v>
      </c>
      <c r="F12" s="13">
        <v>392.67360000000002</v>
      </c>
      <c r="G12" s="14">
        <f>+ROUND(F12/VLOOKUP("Grand Total",$B$4:$F$297,5,0),4)</f>
        <v>4.2000000000000003E-2</v>
      </c>
      <c r="H12" s="15">
        <v>43426</v>
      </c>
      <c r="I12" s="64"/>
      <c r="J12" s="14" t="s">
        <v>698</v>
      </c>
      <c r="K12" s="48">
        <f t="shared" si="0"/>
        <v>9.6100000000000005E-2</v>
      </c>
    </row>
    <row r="13" spans="1:16" ht="12.75" customHeight="1" x14ac:dyDescent="0.2">
      <c r="B13" s="18" t="s">
        <v>82</v>
      </c>
      <c r="C13" s="18"/>
      <c r="D13" s="18"/>
      <c r="E13" s="29"/>
      <c r="F13" s="19">
        <f>SUM(F9:F12)</f>
        <v>2087.7294999999999</v>
      </c>
      <c r="G13" s="20">
        <f>SUM(G9:G12)</f>
        <v>0.22330000000000003</v>
      </c>
      <c r="H13" s="21"/>
      <c r="J13" t="s">
        <v>306</v>
      </c>
      <c r="K13" s="48">
        <f t="shared" si="0"/>
        <v>8.6400000000000005E-2</v>
      </c>
      <c r="M13" s="14"/>
      <c r="N13" s="36"/>
      <c r="P13" s="14"/>
    </row>
    <row r="14" spans="1:16" ht="12.75" customHeight="1" x14ac:dyDescent="0.2">
      <c r="B14" s="16"/>
      <c r="C14" s="16"/>
      <c r="F14" s="13"/>
      <c r="G14" s="14"/>
      <c r="H14" s="15"/>
      <c r="J14" t="s">
        <v>510</v>
      </c>
      <c r="K14" s="48">
        <f t="shared" si="0"/>
        <v>8.6099999999999996E-2</v>
      </c>
    </row>
    <row r="15" spans="1:16" ht="12.75" customHeight="1" x14ac:dyDescent="0.2">
      <c r="B15" s="16" t="s">
        <v>153</v>
      </c>
      <c r="C15" s="16"/>
      <c r="F15" s="13"/>
      <c r="G15" s="14"/>
      <c r="H15" s="15"/>
      <c r="J15" s="80" t="s">
        <v>445</v>
      </c>
      <c r="K15" s="48">
        <f t="shared" si="0"/>
        <v>8.5199999999999998E-2</v>
      </c>
    </row>
    <row r="16" spans="1:16" ht="12.75" customHeight="1" x14ac:dyDescent="0.2">
      <c r="A16">
        <f>+MAX($A$8:A15)+1</f>
        <v>5</v>
      </c>
      <c r="B16" s="65" t="s">
        <v>450</v>
      </c>
      <c r="C16" t="s">
        <v>672</v>
      </c>
      <c r="D16" t="s">
        <v>345</v>
      </c>
      <c r="E16" s="28">
        <v>34000</v>
      </c>
      <c r="F16" s="13">
        <v>33.534880000000001</v>
      </c>
      <c r="G16" s="14">
        <f>+ROUND(F16/VLOOKUP("Grand Total",$B$4:$F$297,5,0),4)</f>
        <v>3.5999999999999999E-3</v>
      </c>
      <c r="H16" s="15">
        <v>43419</v>
      </c>
      <c r="I16" s="64"/>
      <c r="J16" s="14" t="s">
        <v>449</v>
      </c>
      <c r="K16" s="48">
        <f t="shared" si="0"/>
        <v>8.4699999999999998E-2</v>
      </c>
    </row>
    <row r="17" spans="1:16" ht="12.75" customHeight="1" x14ac:dyDescent="0.2">
      <c r="B17" s="18" t="s">
        <v>82</v>
      </c>
      <c r="C17" s="18"/>
      <c r="D17" s="18"/>
      <c r="E17" s="29"/>
      <c r="F17" s="19">
        <f>SUM(F16:F16)</f>
        <v>33.534880000000001</v>
      </c>
      <c r="G17" s="20">
        <f>SUM(G16:G16)</f>
        <v>3.5999999999999999E-3</v>
      </c>
      <c r="H17" s="21"/>
      <c r="J17" t="s">
        <v>255</v>
      </c>
      <c r="K17" s="48">
        <f t="shared" si="0"/>
        <v>5.3400000000000003E-2</v>
      </c>
      <c r="M17" s="14"/>
      <c r="N17" s="36"/>
      <c r="P17" s="14"/>
    </row>
    <row r="18" spans="1:16" ht="12.75" customHeight="1" x14ac:dyDescent="0.2">
      <c r="B18" s="16"/>
      <c r="C18" s="16"/>
      <c r="F18" s="13"/>
      <c r="G18" s="14"/>
      <c r="H18" s="15"/>
      <c r="J18" s="14" t="s">
        <v>481</v>
      </c>
      <c r="K18" s="48">
        <f t="shared" si="0"/>
        <v>4.99E-2</v>
      </c>
    </row>
    <row r="19" spans="1:16" ht="12.75" customHeight="1" x14ac:dyDescent="0.2">
      <c r="B19" s="16" t="s">
        <v>120</v>
      </c>
      <c r="C19" s="16"/>
      <c r="F19" s="13"/>
      <c r="G19" s="14"/>
      <c r="H19" s="15"/>
      <c r="I19" s="35"/>
      <c r="J19" s="14" t="s">
        <v>345</v>
      </c>
      <c r="K19" s="48">
        <f t="shared" si="0"/>
        <v>3.5999999999999999E-3</v>
      </c>
      <c r="N19" s="36"/>
      <c r="P19" s="14"/>
    </row>
    <row r="20" spans="1:16" ht="12.75" customHeight="1" x14ac:dyDescent="0.2">
      <c r="B20" s="31" t="s">
        <v>266</v>
      </c>
      <c r="C20" s="16"/>
      <c r="F20" s="13"/>
      <c r="G20" s="14"/>
      <c r="H20" s="15"/>
      <c r="J20" s="14" t="s">
        <v>62</v>
      </c>
      <c r="K20" s="48">
        <f>+SUMIFS($G$5:$G$1002,$B$5:$B$1002,"CBLO / Reverse Repo")+SUMIFS($G$5:$G$1002,$B$5:$B$1002,"Net Receivable/Payable")</f>
        <v>4.9600000000000005E-2</v>
      </c>
      <c r="M20" s="14"/>
      <c r="N20" s="36"/>
      <c r="P20" s="14"/>
    </row>
    <row r="21" spans="1:16" ht="12.75" customHeight="1" x14ac:dyDescent="0.2">
      <c r="A21">
        <f>+MAX($A$8:A20)+1</f>
        <v>6</v>
      </c>
      <c r="B21" s="65" t="s">
        <v>786</v>
      </c>
      <c r="C21" s="1" t="s">
        <v>697</v>
      </c>
      <c r="D21" t="s">
        <v>698</v>
      </c>
      <c r="E21" s="28">
        <v>90</v>
      </c>
      <c r="F21" s="13">
        <v>897.91020000000003</v>
      </c>
      <c r="G21" s="14">
        <f t="shared" ref="G21:G34" si="1">+ROUND(F21/VLOOKUP("Grand Total",$B$4:$F$290,5,0),4)</f>
        <v>9.6100000000000005E-2</v>
      </c>
      <c r="H21" s="15">
        <v>45163</v>
      </c>
      <c r="I21" s="64"/>
      <c r="J21" s="14"/>
      <c r="K21" s="48"/>
      <c r="L21" s="54"/>
      <c r="M21" s="14"/>
    </row>
    <row r="22" spans="1:16" s="1" customFormat="1" ht="12.75" customHeight="1" x14ac:dyDescent="0.2">
      <c r="A22">
        <f>+MAX($A$8:A21)+1</f>
        <v>7</v>
      </c>
      <c r="B22" s="1" t="s">
        <v>532</v>
      </c>
      <c r="C22" s="1" t="s">
        <v>509</v>
      </c>
      <c r="D22" s="1" t="s">
        <v>510</v>
      </c>
      <c r="E22" s="57">
        <v>800</v>
      </c>
      <c r="F22" s="58">
        <v>804.42079999999999</v>
      </c>
      <c r="G22" s="14">
        <f t="shared" si="1"/>
        <v>8.6099999999999996E-2</v>
      </c>
      <c r="H22" s="60">
        <v>43766</v>
      </c>
      <c r="I22" s="64"/>
      <c r="J22" s="14"/>
      <c r="K22" s="48"/>
      <c r="L22" s="54"/>
      <c r="M22" s="14"/>
      <c r="N22" s="61"/>
      <c r="P22" s="59"/>
    </row>
    <row r="23" spans="1:16" s="1" customFormat="1" ht="12.75" customHeight="1" x14ac:dyDescent="0.2">
      <c r="A23">
        <f>+MAX($A$8:A22)+1</f>
        <v>8</v>
      </c>
      <c r="B23" s="1" t="s">
        <v>653</v>
      </c>
      <c r="C23" s="1" t="s">
        <v>654</v>
      </c>
      <c r="D23" s="1" t="s">
        <v>257</v>
      </c>
      <c r="E23" s="57">
        <v>80</v>
      </c>
      <c r="F23" s="58">
        <v>790.5136</v>
      </c>
      <c r="G23" s="14">
        <f t="shared" si="1"/>
        <v>8.4599999999999995E-2</v>
      </c>
      <c r="H23" s="60">
        <v>44109</v>
      </c>
      <c r="I23" s="64"/>
      <c r="J23"/>
      <c r="K23" s="36"/>
      <c r="M23" s="59"/>
      <c r="N23" s="61"/>
      <c r="P23" s="59"/>
    </row>
    <row r="24" spans="1:16" s="1" customFormat="1" ht="12.75" customHeight="1" x14ac:dyDescent="0.2">
      <c r="A24">
        <f>+MAX($A$8:A23)+1</f>
        <v>9</v>
      </c>
      <c r="B24" s="65" t="s">
        <v>393</v>
      </c>
      <c r="C24" s="1" t="s">
        <v>394</v>
      </c>
      <c r="D24" s="1" t="s">
        <v>257</v>
      </c>
      <c r="E24" s="57">
        <v>55</v>
      </c>
      <c r="F24" s="58">
        <v>547.12900000000002</v>
      </c>
      <c r="G24" s="14">
        <f t="shared" si="1"/>
        <v>5.8500000000000003E-2</v>
      </c>
      <c r="H24" s="60">
        <v>43630</v>
      </c>
      <c r="I24" s="64"/>
      <c r="N24" s="61"/>
      <c r="P24" s="59"/>
    </row>
    <row r="25" spans="1:16" s="1" customFormat="1" ht="12.75" customHeight="1" x14ac:dyDescent="0.2">
      <c r="A25">
        <f>+MAX($A$8:A24)+1</f>
        <v>10</v>
      </c>
      <c r="B25" s="65" t="s">
        <v>655</v>
      </c>
      <c r="C25" s="1" t="s">
        <v>620</v>
      </c>
      <c r="D25" s="1" t="s">
        <v>369</v>
      </c>
      <c r="E25" s="57">
        <v>50</v>
      </c>
      <c r="F25" s="58">
        <v>509.01049999999998</v>
      </c>
      <c r="G25" s="14">
        <f t="shared" si="1"/>
        <v>5.45E-2</v>
      </c>
      <c r="H25" s="60">
        <v>44676</v>
      </c>
      <c r="I25" s="64"/>
      <c r="N25" s="61"/>
      <c r="P25" s="59"/>
    </row>
    <row r="26" spans="1:16" s="1" customFormat="1" ht="12.75" customHeight="1" x14ac:dyDescent="0.2">
      <c r="A26">
        <f>+MAX($A$8:A25)+1</f>
        <v>11</v>
      </c>
      <c r="B26" s="65" t="s">
        <v>370</v>
      </c>
      <c r="C26" s="1" t="s">
        <v>352</v>
      </c>
      <c r="D26" s="1" t="s">
        <v>306</v>
      </c>
      <c r="E26" s="57">
        <v>51000</v>
      </c>
      <c r="F26" s="58">
        <v>508.47152999999997</v>
      </c>
      <c r="G26" s="14">
        <f t="shared" si="1"/>
        <v>5.4399999999999997E-2</v>
      </c>
      <c r="H26" s="60">
        <v>43717</v>
      </c>
      <c r="I26" s="64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651</v>
      </c>
      <c r="C27" s="1" t="s">
        <v>473</v>
      </c>
      <c r="D27" s="1" t="s">
        <v>104</v>
      </c>
      <c r="E27" s="57">
        <v>50</v>
      </c>
      <c r="F27" s="58">
        <v>498.6395</v>
      </c>
      <c r="G27" s="14">
        <f t="shared" si="1"/>
        <v>5.3400000000000003E-2</v>
      </c>
      <c r="H27" s="60">
        <v>43584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65" t="s">
        <v>508</v>
      </c>
      <c r="C28" s="1" t="s">
        <v>487</v>
      </c>
      <c r="D28" s="1" t="s">
        <v>481</v>
      </c>
      <c r="E28" s="57">
        <v>70</v>
      </c>
      <c r="F28" s="58">
        <v>466.47019999999998</v>
      </c>
      <c r="G28" s="14">
        <f t="shared" si="1"/>
        <v>4.99E-2</v>
      </c>
      <c r="H28" s="60">
        <v>43826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65" t="s">
        <v>645</v>
      </c>
      <c r="C29" s="1" t="s">
        <v>646</v>
      </c>
      <c r="D29" s="1" t="s">
        <v>369</v>
      </c>
      <c r="E29" s="57">
        <v>45</v>
      </c>
      <c r="F29" s="58">
        <v>446.50889999999998</v>
      </c>
      <c r="G29" s="14">
        <f t="shared" si="1"/>
        <v>4.7800000000000002E-2</v>
      </c>
      <c r="H29" s="60">
        <v>43616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65" t="s">
        <v>699</v>
      </c>
      <c r="C30" s="1" t="s">
        <v>700</v>
      </c>
      <c r="D30" s="1" t="s">
        <v>104</v>
      </c>
      <c r="E30" s="57">
        <v>40</v>
      </c>
      <c r="F30" s="58">
        <v>398.7876</v>
      </c>
      <c r="G30" s="14">
        <f t="shared" si="1"/>
        <v>4.2700000000000002E-2</v>
      </c>
      <c r="H30" s="60">
        <v>44188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65" t="s">
        <v>305</v>
      </c>
      <c r="C31" s="1" t="s">
        <v>428</v>
      </c>
      <c r="D31" s="1" t="s">
        <v>306</v>
      </c>
      <c r="E31" s="57">
        <v>30000</v>
      </c>
      <c r="F31" s="58">
        <v>299.2407</v>
      </c>
      <c r="G31" s="14">
        <f t="shared" si="1"/>
        <v>3.2000000000000001E-2</v>
      </c>
      <c r="H31" s="60">
        <v>43717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1" t="s">
        <v>412</v>
      </c>
      <c r="C32" s="1" t="s">
        <v>413</v>
      </c>
      <c r="D32" s="1" t="s">
        <v>104</v>
      </c>
      <c r="E32" s="57">
        <v>30</v>
      </c>
      <c r="F32" s="58">
        <v>294.1902</v>
      </c>
      <c r="G32" s="14">
        <f t="shared" si="1"/>
        <v>3.15E-2</v>
      </c>
      <c r="H32" s="60">
        <v>44091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65" t="s">
        <v>533</v>
      </c>
      <c r="C33" s="1" t="s">
        <v>488</v>
      </c>
      <c r="D33" s="1" t="s">
        <v>257</v>
      </c>
      <c r="E33" s="57">
        <v>20</v>
      </c>
      <c r="F33" s="58">
        <v>198.91739999999999</v>
      </c>
      <c r="G33" s="14">
        <f t="shared" si="1"/>
        <v>2.1299999999999999E-2</v>
      </c>
      <c r="H33" s="60">
        <v>43643</v>
      </c>
      <c r="I33" s="64"/>
      <c r="N33" s="61"/>
      <c r="P33" s="59"/>
    </row>
    <row r="34" spans="1:16" s="1" customFormat="1" ht="12.75" customHeight="1" x14ac:dyDescent="0.2">
      <c r="A34">
        <f>+MAX($A$8:A33)+1</f>
        <v>19</v>
      </c>
      <c r="B34" s="1" t="s">
        <v>656</v>
      </c>
      <c r="C34" s="1" t="s">
        <v>474</v>
      </c>
      <c r="D34" s="1" t="s">
        <v>104</v>
      </c>
      <c r="E34" s="57">
        <v>10</v>
      </c>
      <c r="F34" s="58">
        <v>100.35760000000001</v>
      </c>
      <c r="G34" s="14">
        <f t="shared" si="1"/>
        <v>1.0699999999999999E-2</v>
      </c>
      <c r="H34" s="60">
        <v>43480</v>
      </c>
      <c r="I34" s="64"/>
      <c r="N34" s="61"/>
      <c r="P34" s="59"/>
    </row>
    <row r="35" spans="1:16" ht="12.75" customHeight="1" x14ac:dyDescent="0.2">
      <c r="B35" s="18" t="s">
        <v>82</v>
      </c>
      <c r="C35" s="18"/>
      <c r="D35" s="18"/>
      <c r="E35" s="29"/>
      <c r="F35" s="19">
        <f>SUM(F21:F34)</f>
        <v>6760.5677299999998</v>
      </c>
      <c r="G35" s="20">
        <f>SUM(G21:G34)</f>
        <v>0.72349999999999992</v>
      </c>
      <c r="H35" s="21"/>
      <c r="I35" s="35"/>
    </row>
    <row r="36" spans="1:16" s="46" customFormat="1" ht="12.75" customHeight="1" x14ac:dyDescent="0.2">
      <c r="B36" s="67"/>
      <c r="C36" s="67"/>
      <c r="D36" s="67"/>
      <c r="E36" s="68"/>
      <c r="F36" s="69"/>
      <c r="G36" s="70"/>
      <c r="H36" s="71"/>
      <c r="I36" s="71"/>
      <c r="K36" s="48"/>
    </row>
    <row r="37" spans="1:16" ht="12.75" customHeight="1" x14ac:dyDescent="0.2">
      <c r="B37" s="16" t="s">
        <v>91</v>
      </c>
      <c r="C37" s="16"/>
      <c r="F37" s="13"/>
      <c r="G37" s="14"/>
      <c r="H37" s="15"/>
    </row>
    <row r="38" spans="1:16" ht="12.75" customHeight="1" x14ac:dyDescent="0.2">
      <c r="A38" s="94" t="s">
        <v>312</v>
      </c>
      <c r="B38" s="16" t="s">
        <v>633</v>
      </c>
      <c r="C38" s="16"/>
      <c r="F38" s="13">
        <v>186.76931869999999</v>
      </c>
      <c r="G38" s="14">
        <f>+ROUND(F38/VLOOKUP("Grand Total",$B$4:$F$297,5,0),4)</f>
        <v>0.02</v>
      </c>
      <c r="H38" s="15">
        <v>43346</v>
      </c>
    </row>
    <row r="39" spans="1:16" ht="12.75" customHeight="1" x14ac:dyDescent="0.2">
      <c r="B39" s="16" t="s">
        <v>92</v>
      </c>
      <c r="C39" s="16"/>
      <c r="F39" s="13">
        <v>277.37734090000049</v>
      </c>
      <c r="G39" s="14">
        <f>+ROUND(F39/VLOOKUP("Grand Total",$B$4:$F$297,5,0),4)-0.01%</f>
        <v>2.9600000000000001E-2</v>
      </c>
      <c r="H39" s="15"/>
    </row>
    <row r="40" spans="1:16" ht="12.75" customHeight="1" x14ac:dyDescent="0.2">
      <c r="B40" s="18" t="s">
        <v>82</v>
      </c>
      <c r="C40" s="18"/>
      <c r="D40" s="18"/>
      <c r="E40" s="29"/>
      <c r="F40" s="19">
        <f>SUM(F38:F39)</f>
        <v>464.14665960000048</v>
      </c>
      <c r="G40" s="20">
        <f>SUM(G38:G39)</f>
        <v>4.9600000000000005E-2</v>
      </c>
      <c r="H40" s="21"/>
      <c r="I40" s="35"/>
    </row>
    <row r="41" spans="1:16" ht="12.75" customHeight="1" x14ac:dyDescent="0.2">
      <c r="B41" s="22" t="s">
        <v>93</v>
      </c>
      <c r="C41" s="22"/>
      <c r="D41" s="22"/>
      <c r="E41" s="30"/>
      <c r="F41" s="23">
        <f>+SUMIF($B$5:B40,"Total",$F$5:F40)</f>
        <v>9345.9787696000003</v>
      </c>
      <c r="G41" s="24">
        <f>+SUMIF($B$5:B40,"Total",$G$5:G40)</f>
        <v>0.99999999999999989</v>
      </c>
      <c r="H41" s="25"/>
    </row>
    <row r="42" spans="1:16" ht="12.75" customHeight="1" x14ac:dyDescent="0.2"/>
    <row r="43" spans="1:16" ht="12.75" customHeight="1" x14ac:dyDescent="0.2">
      <c r="B43" s="16" t="s">
        <v>483</v>
      </c>
      <c r="C43" s="16"/>
    </row>
    <row r="44" spans="1:16" ht="12.75" customHeight="1" x14ac:dyDescent="0.2">
      <c r="B44" s="16" t="s">
        <v>166</v>
      </c>
      <c r="C44" s="16"/>
      <c r="I44" s="35"/>
    </row>
    <row r="45" spans="1:16" ht="12.75" customHeight="1" x14ac:dyDescent="0.2">
      <c r="B45" s="16" t="s">
        <v>789</v>
      </c>
      <c r="C45" s="16"/>
      <c r="I45" s="35"/>
    </row>
    <row r="46" spans="1:16" ht="12.75" customHeight="1" x14ac:dyDescent="0.2">
      <c r="B46" s="53" t="s">
        <v>268</v>
      </c>
      <c r="C46" s="16"/>
    </row>
    <row r="47" spans="1:16" ht="12.75" customHeight="1" x14ac:dyDescent="0.2">
      <c r="B47" s="16"/>
      <c r="C47" s="16"/>
    </row>
    <row r="48" spans="1:1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</sheetData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6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3" t="s">
        <v>324</v>
      </c>
      <c r="B1" s="128" t="s">
        <v>743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F7" s="13"/>
      <c r="G7" s="14"/>
      <c r="H7" s="15"/>
      <c r="J7" s="17" t="s">
        <v>493</v>
      </c>
      <c r="K7" s="37" t="s">
        <v>11</v>
      </c>
    </row>
    <row r="8" spans="1:16" ht="12.75" customHeight="1" x14ac:dyDescent="0.2">
      <c r="B8" s="16" t="s">
        <v>267</v>
      </c>
      <c r="C8" s="16"/>
      <c r="F8" s="13"/>
      <c r="G8" s="14"/>
      <c r="H8" s="15"/>
      <c r="I8" s="64"/>
      <c r="J8" t="s">
        <v>345</v>
      </c>
      <c r="K8" s="48">
        <f t="shared" ref="K8:K14" si="0">SUMIFS($G$5:$G$329,$D$5:$D$329,J8)</f>
        <v>0.38919999999999999</v>
      </c>
      <c r="L8" s="54"/>
      <c r="M8" s="14"/>
      <c r="N8" s="36"/>
      <c r="P8" s="14"/>
    </row>
    <row r="9" spans="1:16" ht="12.75" customHeight="1" x14ac:dyDescent="0.2">
      <c r="A9">
        <f>+MAX($A$8:A8)+1</f>
        <v>1</v>
      </c>
      <c r="B9" s="1" t="s">
        <v>256</v>
      </c>
      <c r="C9" t="s">
        <v>443</v>
      </c>
      <c r="D9" t="s">
        <v>449</v>
      </c>
      <c r="E9" s="28">
        <v>100</v>
      </c>
      <c r="F9" s="13">
        <v>499.34949999999998</v>
      </c>
      <c r="G9" s="14">
        <f>+ROUND(F9/VLOOKUP("Grand Total",$B$4:$F$292,5,0),4)</f>
        <v>5.4800000000000001E-2</v>
      </c>
      <c r="H9" s="15">
        <v>43350</v>
      </c>
      <c r="I9" s="64"/>
      <c r="J9" s="80" t="s">
        <v>104</v>
      </c>
      <c r="K9" s="48">
        <f t="shared" si="0"/>
        <v>0.29069999999999996</v>
      </c>
    </row>
    <row r="10" spans="1:16" ht="12.75" customHeight="1" x14ac:dyDescent="0.2">
      <c r="B10" s="18" t="s">
        <v>82</v>
      </c>
      <c r="C10" s="18"/>
      <c r="D10" s="18"/>
      <c r="E10" s="29"/>
      <c r="F10" s="19">
        <f>SUM(F9:F9)</f>
        <v>499.34949999999998</v>
      </c>
      <c r="G10" s="20">
        <f>SUM(G9:G9)</f>
        <v>5.4800000000000001E-2</v>
      </c>
      <c r="H10" s="21"/>
      <c r="I10" s="64"/>
      <c r="J10" s="14" t="s">
        <v>306</v>
      </c>
      <c r="K10" s="48">
        <f t="shared" si="0"/>
        <v>7.6399999999999996E-2</v>
      </c>
    </row>
    <row r="11" spans="1:16" ht="12.75" customHeight="1" x14ac:dyDescent="0.2">
      <c r="F11" s="13"/>
      <c r="G11" s="14"/>
      <c r="H11" s="15"/>
      <c r="J11" s="89" t="s">
        <v>449</v>
      </c>
      <c r="K11" s="48">
        <f t="shared" si="0"/>
        <v>5.4800000000000001E-2</v>
      </c>
    </row>
    <row r="12" spans="1:16" ht="12.75" customHeight="1" x14ac:dyDescent="0.2">
      <c r="B12" s="16" t="s">
        <v>154</v>
      </c>
      <c r="C12" s="16"/>
      <c r="F12" s="13"/>
      <c r="G12" s="14"/>
      <c r="H12" s="15"/>
      <c r="I12" s="64"/>
      <c r="J12" t="s">
        <v>155</v>
      </c>
      <c r="K12" s="48">
        <f t="shared" si="0"/>
        <v>5.2999999999999999E-2</v>
      </c>
      <c r="L12" s="54"/>
      <c r="M12" s="14"/>
      <c r="N12" s="36"/>
      <c r="P12" s="14"/>
    </row>
    <row r="13" spans="1:16" ht="12.75" customHeight="1" x14ac:dyDescent="0.2">
      <c r="A13">
        <f>+MAX($A$8:A12)+1</f>
        <v>2</v>
      </c>
      <c r="B13" s="1" t="s">
        <v>513</v>
      </c>
      <c r="C13" t="s">
        <v>514</v>
      </c>
      <c r="D13" t="s">
        <v>345</v>
      </c>
      <c r="E13" s="28">
        <v>1050000</v>
      </c>
      <c r="F13" s="13">
        <v>1017.324</v>
      </c>
      <c r="G13" s="14">
        <f>+ROUND(F13/VLOOKUP("Grand Total",$B$4:$F$292,5,0),4)</f>
        <v>0.11169999999999999</v>
      </c>
      <c r="H13" s="15">
        <v>45465</v>
      </c>
      <c r="I13" s="64"/>
      <c r="J13" t="s">
        <v>482</v>
      </c>
      <c r="K13" s="48">
        <f t="shared" si="0"/>
        <v>2.1899999999999999E-2</v>
      </c>
    </row>
    <row r="14" spans="1:16" ht="12.75" customHeight="1" x14ac:dyDescent="0.2">
      <c r="A14">
        <f>+MAX($A$8:A13)+1</f>
        <v>3</v>
      </c>
      <c r="B14" s="1" t="s">
        <v>621</v>
      </c>
      <c r="C14" t="s">
        <v>622</v>
      </c>
      <c r="D14" t="s">
        <v>345</v>
      </c>
      <c r="E14" s="28">
        <v>900000</v>
      </c>
      <c r="F14" s="13">
        <v>869.19029999999998</v>
      </c>
      <c r="G14" s="14">
        <f>+ROUND(F14/VLOOKUP("Grand Total",$B$4:$F$292,5,0),4)</f>
        <v>9.5500000000000002E-2</v>
      </c>
      <c r="H14" s="15">
        <v>45066</v>
      </c>
      <c r="I14" s="64"/>
      <c r="J14" s="14" t="s">
        <v>698</v>
      </c>
      <c r="K14" s="48">
        <f t="shared" si="0"/>
        <v>1.0999999999999999E-2</v>
      </c>
    </row>
    <row r="15" spans="1:16" ht="12.75" customHeight="1" x14ac:dyDescent="0.2">
      <c r="A15">
        <f>+MAX($A$8:A14)+1</f>
        <v>4</v>
      </c>
      <c r="B15" s="1" t="s">
        <v>381</v>
      </c>
      <c r="C15" t="s">
        <v>382</v>
      </c>
      <c r="D15" t="s">
        <v>345</v>
      </c>
      <c r="E15" s="28">
        <v>900000</v>
      </c>
      <c r="F15" s="13">
        <v>863.42219999999998</v>
      </c>
      <c r="G15" s="14">
        <f>+ROUND(F15/VLOOKUP("Grand Total",$B$4:$F$292,5,0),4)</f>
        <v>9.4799999999999995E-2</v>
      </c>
      <c r="H15" s="15">
        <v>44914</v>
      </c>
      <c r="I15" s="64"/>
      <c r="J15" s="14" t="s">
        <v>62</v>
      </c>
      <c r="K15" s="48">
        <f>+SUMIFS($G$5:$G$1002,$B$5:$B$1002,"CBLO / Reverse Repo")+SUMIFS($G$5:$G$1002,$B$5:$B$1002,"Net Receivable/Payable")</f>
        <v>0.10299999999999999</v>
      </c>
    </row>
    <row r="16" spans="1:16" ht="12.75" customHeight="1" x14ac:dyDescent="0.2">
      <c r="A16">
        <f>+MAX($A$8:A15)+1</f>
        <v>5</v>
      </c>
      <c r="B16" s="1" t="s">
        <v>701</v>
      </c>
      <c r="C16" t="s">
        <v>702</v>
      </c>
      <c r="D16" t="s">
        <v>345</v>
      </c>
      <c r="E16" s="28">
        <v>500000</v>
      </c>
      <c r="F16" s="13">
        <v>426.21249999999998</v>
      </c>
      <c r="G16" s="14">
        <f>+ROUND(F16/VLOOKUP("Grand Total",$B$4:$F$292,5,0),4)</f>
        <v>4.6800000000000001E-2</v>
      </c>
      <c r="H16" s="15">
        <v>48918</v>
      </c>
      <c r="I16" s="64"/>
      <c r="J16" s="14"/>
      <c r="K16" s="48"/>
    </row>
    <row r="17" spans="1:11" ht="12.75" customHeight="1" x14ac:dyDescent="0.2">
      <c r="A17">
        <f>+MAX($A$8:A16)+1</f>
        <v>6</v>
      </c>
      <c r="B17" s="1" t="s">
        <v>703</v>
      </c>
      <c r="C17" t="s">
        <v>704</v>
      </c>
      <c r="D17" t="s">
        <v>345</v>
      </c>
      <c r="E17" s="28">
        <v>400000</v>
      </c>
      <c r="F17" s="13">
        <v>367.98520000000002</v>
      </c>
      <c r="G17" s="14">
        <f>+ROUND(F17/VLOOKUP("Grand Total",$B$4:$F$292,5,0),4)</f>
        <v>4.0399999999999998E-2</v>
      </c>
      <c r="H17" s="15">
        <v>46522</v>
      </c>
      <c r="I17" s="64"/>
      <c r="J17" s="14"/>
      <c r="K17" s="48"/>
    </row>
    <row r="18" spans="1:11" ht="12.75" customHeight="1" x14ac:dyDescent="0.2">
      <c r="B18" s="18" t="s">
        <v>82</v>
      </c>
      <c r="C18" s="18"/>
      <c r="D18" s="18"/>
      <c r="E18" s="29"/>
      <c r="F18" s="19">
        <f>SUM(F13:F17)</f>
        <v>3544.1342</v>
      </c>
      <c r="G18" s="20">
        <f>SUM(G13:G17)</f>
        <v>0.38919999999999999</v>
      </c>
      <c r="H18" s="21"/>
      <c r="I18" s="64"/>
      <c r="J18" s="14"/>
      <c r="K18" s="48"/>
    </row>
    <row r="19" spans="1:11" ht="12.75" customHeight="1" x14ac:dyDescent="0.2">
      <c r="F19" s="13"/>
      <c r="G19" s="14"/>
      <c r="H19" s="15"/>
      <c r="I19" s="64"/>
    </row>
    <row r="20" spans="1:11" ht="12.75" customHeight="1" x14ac:dyDescent="0.2">
      <c r="B20" s="16" t="s">
        <v>120</v>
      </c>
      <c r="C20" s="16"/>
      <c r="F20" s="13"/>
      <c r="G20" s="14"/>
      <c r="H20" s="15"/>
      <c r="I20" s="64"/>
      <c r="J20" s="14"/>
      <c r="K20" s="48"/>
    </row>
    <row r="21" spans="1:11" ht="12.75" customHeight="1" x14ac:dyDescent="0.2">
      <c r="B21" s="31" t="s">
        <v>347</v>
      </c>
      <c r="C21" s="16"/>
      <c r="F21" s="13"/>
      <c r="G21" s="14"/>
      <c r="H21" s="15"/>
      <c r="I21" s="64"/>
      <c r="J21" s="14"/>
    </row>
    <row r="22" spans="1:11" ht="12.75" customHeight="1" x14ac:dyDescent="0.2">
      <c r="A22">
        <f>+MAX($A$8:A21)+1</f>
        <v>7</v>
      </c>
      <c r="B22" s="65" t="s">
        <v>758</v>
      </c>
      <c r="C22" t="s">
        <v>362</v>
      </c>
      <c r="D22" t="s">
        <v>104</v>
      </c>
      <c r="E22" s="28">
        <v>50</v>
      </c>
      <c r="F22" s="13">
        <v>504.74599999999998</v>
      </c>
      <c r="G22" s="14">
        <f>+ROUND(F22/VLOOKUP("Grand Total",$B$4:$F$292,5,0),4)</f>
        <v>5.5399999999999998E-2</v>
      </c>
      <c r="H22" s="15">
        <v>44852</v>
      </c>
      <c r="I22" s="64"/>
    </row>
    <row r="23" spans="1:11" ht="12.75" customHeight="1" x14ac:dyDescent="0.2">
      <c r="A23">
        <f>+MAX($A$8:A22)+1</f>
        <v>8</v>
      </c>
      <c r="B23" s="65" t="s">
        <v>759</v>
      </c>
      <c r="C23" t="s">
        <v>361</v>
      </c>
      <c r="D23" t="s">
        <v>306</v>
      </c>
      <c r="E23" s="28">
        <v>50000</v>
      </c>
      <c r="F23" s="13">
        <v>498.91199999999998</v>
      </c>
      <c r="G23" s="14">
        <f>+ROUND(F23/VLOOKUP("Grand Total",$B$4:$F$292,5,0),4)</f>
        <v>5.4800000000000001E-2</v>
      </c>
      <c r="H23" s="15">
        <v>43693</v>
      </c>
      <c r="I23" s="64"/>
    </row>
    <row r="24" spans="1:11" ht="12.75" customHeight="1" x14ac:dyDescent="0.2">
      <c r="A24">
        <f>+MAX($A$8:A23)+1</f>
        <v>9</v>
      </c>
      <c r="B24" s="65" t="s">
        <v>760</v>
      </c>
      <c r="C24" s="65" t="s">
        <v>463</v>
      </c>
      <c r="D24" t="s">
        <v>104</v>
      </c>
      <c r="E24" s="28">
        <v>50</v>
      </c>
      <c r="F24" s="13">
        <v>495.65249999999997</v>
      </c>
      <c r="G24" s="14">
        <f t="shared" ref="G24:G31" si="1">+ROUND(F24/VLOOKUP("Grand Total",$B$4:$F$295,5,0),4)</f>
        <v>5.4399999999999997E-2</v>
      </c>
      <c r="H24" s="15">
        <v>45042</v>
      </c>
      <c r="I24" s="64"/>
    </row>
    <row r="25" spans="1:11" ht="12.75" customHeight="1" x14ac:dyDescent="0.2">
      <c r="A25">
        <f>+MAX($A$8:A24)+1</f>
        <v>10</v>
      </c>
      <c r="B25" s="65" t="s">
        <v>625</v>
      </c>
      <c r="C25" s="65" t="s">
        <v>451</v>
      </c>
      <c r="D25" t="s">
        <v>104</v>
      </c>
      <c r="E25" s="28">
        <v>5</v>
      </c>
      <c r="F25" s="13">
        <v>494.49250000000001</v>
      </c>
      <c r="G25" s="14">
        <f t="shared" si="1"/>
        <v>5.4300000000000001E-2</v>
      </c>
      <c r="H25" s="15">
        <v>43787</v>
      </c>
      <c r="I25" s="64"/>
    </row>
    <row r="26" spans="1:11" ht="12.75" customHeight="1" x14ac:dyDescent="0.2">
      <c r="A26">
        <f>+MAX($A$8:A25)+1</f>
        <v>11</v>
      </c>
      <c r="B26" s="65" t="s">
        <v>761</v>
      </c>
      <c r="C26" s="65" t="s">
        <v>516</v>
      </c>
      <c r="D26" t="s">
        <v>104</v>
      </c>
      <c r="E26" s="28">
        <v>50</v>
      </c>
      <c r="F26" s="13">
        <v>487.34050000000002</v>
      </c>
      <c r="G26" s="14">
        <f t="shared" si="1"/>
        <v>5.3499999999999999E-2</v>
      </c>
      <c r="H26" s="15">
        <v>44915</v>
      </c>
      <c r="I26" s="64"/>
    </row>
    <row r="27" spans="1:11" ht="12.75" customHeight="1" x14ac:dyDescent="0.2">
      <c r="A27">
        <f>+MAX($A$8:A26)+1</f>
        <v>12</v>
      </c>
      <c r="B27" s="65" t="s">
        <v>627</v>
      </c>
      <c r="C27" s="65" t="s">
        <v>447</v>
      </c>
      <c r="D27" t="s">
        <v>104</v>
      </c>
      <c r="E27" s="28">
        <v>50</v>
      </c>
      <c r="F27" s="13">
        <v>473.0335</v>
      </c>
      <c r="G27" s="14">
        <f t="shared" si="1"/>
        <v>5.1900000000000002E-2</v>
      </c>
      <c r="H27" s="15">
        <v>44804</v>
      </c>
      <c r="I27" s="64"/>
    </row>
    <row r="28" spans="1:11" ht="12.75" customHeight="1" x14ac:dyDescent="0.2">
      <c r="A28">
        <f>+MAX($A$8:A27)+1</f>
        <v>13</v>
      </c>
      <c r="B28" s="65" t="s">
        <v>762</v>
      </c>
      <c r="C28" s="65" t="s">
        <v>380</v>
      </c>
      <c r="D28" t="s">
        <v>482</v>
      </c>
      <c r="E28" s="28">
        <v>20</v>
      </c>
      <c r="F28" s="13">
        <v>199.5744</v>
      </c>
      <c r="G28" s="14">
        <f t="shared" si="1"/>
        <v>2.1899999999999999E-2</v>
      </c>
      <c r="H28" s="15">
        <v>43469</v>
      </c>
      <c r="I28" s="64"/>
    </row>
    <row r="29" spans="1:11" ht="12.75" customHeight="1" x14ac:dyDescent="0.2">
      <c r="A29">
        <f>+MAX($A$8:A28)+1</f>
        <v>14</v>
      </c>
      <c r="B29" s="65" t="s">
        <v>763</v>
      </c>
      <c r="C29" s="65" t="s">
        <v>644</v>
      </c>
      <c r="D29" t="s">
        <v>306</v>
      </c>
      <c r="E29" s="28">
        <v>20000</v>
      </c>
      <c r="F29" s="13">
        <v>196.52520000000001</v>
      </c>
      <c r="G29" s="14">
        <f t="shared" si="1"/>
        <v>2.1600000000000001E-2</v>
      </c>
      <c r="H29" s="15">
        <v>44351</v>
      </c>
      <c r="I29" s="64"/>
    </row>
    <row r="30" spans="1:11" ht="12.75" customHeight="1" x14ac:dyDescent="0.2">
      <c r="A30">
        <f>+MAX($A$8:A29)+1</f>
        <v>15</v>
      </c>
      <c r="B30" s="65" t="s">
        <v>764</v>
      </c>
      <c r="C30" s="65" t="s">
        <v>706</v>
      </c>
      <c r="D30" t="s">
        <v>104</v>
      </c>
      <c r="E30" s="28">
        <v>20</v>
      </c>
      <c r="F30" s="13">
        <v>193.21360000000001</v>
      </c>
      <c r="G30" s="14">
        <f t="shared" si="1"/>
        <v>2.12E-2</v>
      </c>
      <c r="H30" s="15">
        <v>44942</v>
      </c>
      <c r="I30" s="64"/>
    </row>
    <row r="31" spans="1:11" ht="12.75" customHeight="1" x14ac:dyDescent="0.2">
      <c r="A31">
        <f>+MAX($A$8:A30)+1</f>
        <v>16</v>
      </c>
      <c r="B31" s="65" t="s">
        <v>696</v>
      </c>
      <c r="C31" s="65" t="s">
        <v>697</v>
      </c>
      <c r="D31" t="s">
        <v>698</v>
      </c>
      <c r="E31" s="28">
        <v>10</v>
      </c>
      <c r="F31" s="13">
        <v>99.767799999999994</v>
      </c>
      <c r="G31" s="14">
        <f t="shared" si="1"/>
        <v>1.0999999999999999E-2</v>
      </c>
      <c r="H31" s="15">
        <v>45163</v>
      </c>
      <c r="I31" s="64"/>
    </row>
    <row r="32" spans="1:11" ht="12.75" customHeight="1" x14ac:dyDescent="0.2">
      <c r="B32" s="18" t="s">
        <v>82</v>
      </c>
      <c r="C32" s="18"/>
      <c r="D32" s="18"/>
      <c r="E32" s="29"/>
      <c r="F32" s="19">
        <f>SUM(F22:F31)</f>
        <v>3643.2580000000003</v>
      </c>
      <c r="G32" s="20">
        <f>SUM(G22:G31)</f>
        <v>0.39999999999999997</v>
      </c>
      <c r="H32" s="21"/>
      <c r="J32" s="52"/>
    </row>
    <row r="33" spans="1:10" ht="12.75" customHeight="1" x14ac:dyDescent="0.2">
      <c r="F33" s="13"/>
      <c r="G33" s="14"/>
      <c r="H33" s="15"/>
    </row>
    <row r="34" spans="1:10" ht="12.75" customHeight="1" x14ac:dyDescent="0.2">
      <c r="B34" s="31" t="s">
        <v>707</v>
      </c>
      <c r="C34" s="16"/>
      <c r="F34" s="13"/>
      <c r="G34" s="14"/>
      <c r="H34" s="15"/>
      <c r="I34" s="64"/>
      <c r="J34" s="14"/>
    </row>
    <row r="35" spans="1:10" ht="12.75" customHeight="1" x14ac:dyDescent="0.2">
      <c r="A35">
        <f>+MAX($A$8:A34)+1</f>
        <v>17</v>
      </c>
      <c r="B35" s="65" t="s">
        <v>626</v>
      </c>
      <c r="C35" t="s">
        <v>429</v>
      </c>
      <c r="D35" t="s">
        <v>155</v>
      </c>
      <c r="E35" s="28">
        <v>50</v>
      </c>
      <c r="F35" s="13">
        <v>482.51299999999998</v>
      </c>
      <c r="G35" s="14">
        <f>+ROUND(F35/VLOOKUP("Grand Total",$B$4:$F$292,5,0),4)</f>
        <v>5.2999999999999999E-2</v>
      </c>
      <c r="H35" s="15">
        <v>44376</v>
      </c>
      <c r="I35" s="64"/>
    </row>
    <row r="36" spans="1:10" ht="12.75" customHeight="1" x14ac:dyDescent="0.2">
      <c r="B36" s="18" t="s">
        <v>82</v>
      </c>
      <c r="C36" s="18"/>
      <c r="D36" s="18"/>
      <c r="E36" s="29"/>
      <c r="F36" s="19">
        <f>SUM(F35:F35)</f>
        <v>482.51299999999998</v>
      </c>
      <c r="G36" s="20">
        <f>SUM(G35:G35)</f>
        <v>5.2999999999999999E-2</v>
      </c>
      <c r="H36" s="21"/>
      <c r="J36" s="52"/>
    </row>
    <row r="37" spans="1:10" ht="12.75" customHeight="1" x14ac:dyDescent="0.2">
      <c r="F37" s="13"/>
      <c r="G37" s="14"/>
      <c r="H37" s="15"/>
    </row>
    <row r="38" spans="1:10" ht="12.75" customHeight="1" x14ac:dyDescent="0.2">
      <c r="B38" s="16" t="s">
        <v>91</v>
      </c>
      <c r="C38" s="16"/>
      <c r="F38" s="13"/>
      <c r="G38" s="14"/>
      <c r="H38" s="15"/>
    </row>
    <row r="39" spans="1:10" ht="12.75" customHeight="1" x14ac:dyDescent="0.2">
      <c r="A39" s="94" t="s">
        <v>312</v>
      </c>
      <c r="B39" s="16" t="s">
        <v>633</v>
      </c>
      <c r="C39" s="16"/>
      <c r="F39" s="13">
        <v>880.88493549999998</v>
      </c>
      <c r="G39" s="14">
        <f>+ROUND(F39/VLOOKUP("Grand Total",$B$4:$F$292,5,0),4)</f>
        <v>9.6699999999999994E-2</v>
      </c>
      <c r="H39" s="15">
        <v>43346</v>
      </c>
    </row>
    <row r="40" spans="1:10" ht="12.75" customHeight="1" x14ac:dyDescent="0.2">
      <c r="B40" s="16" t="s">
        <v>92</v>
      </c>
      <c r="C40" s="16"/>
      <c r="F40" s="43">
        <v>55.819494900000791</v>
      </c>
      <c r="G40" s="14">
        <f>+ROUND(F40/VLOOKUP("Grand Total",$B$4:$F$300,5,0),4)+0.02%</f>
        <v>6.3E-3</v>
      </c>
      <c r="H40" s="15"/>
    </row>
    <row r="41" spans="1:10" ht="12.75" customHeight="1" x14ac:dyDescent="0.2">
      <c r="B41" s="18" t="s">
        <v>82</v>
      </c>
      <c r="C41" s="18"/>
      <c r="D41" s="18"/>
      <c r="E41" s="29"/>
      <c r="F41" s="50">
        <f>SUM(F39:F40)</f>
        <v>936.70443040000077</v>
      </c>
      <c r="G41" s="20">
        <f>SUM(G39:G40)</f>
        <v>0.10299999999999999</v>
      </c>
      <c r="H41" s="21"/>
      <c r="I41" s="35"/>
    </row>
    <row r="42" spans="1:10" ht="12.75" customHeight="1" x14ac:dyDescent="0.2">
      <c r="B42" s="22" t="s">
        <v>93</v>
      </c>
      <c r="C42" s="22"/>
      <c r="D42" s="22"/>
      <c r="E42" s="30"/>
      <c r="F42" s="23">
        <f>+SUMIF($B$5:B41,"Total",$F$5:F41)</f>
        <v>9105.9591304000005</v>
      </c>
      <c r="G42" s="24">
        <f>+SUMIF($B$5:B41,"Total",$G$5:G41)</f>
        <v>1</v>
      </c>
      <c r="H42" s="25"/>
      <c r="I42" s="35"/>
    </row>
    <row r="43" spans="1:10" ht="12.75" customHeight="1" x14ac:dyDescent="0.2"/>
    <row r="44" spans="1:10" ht="12.75" customHeight="1" x14ac:dyDescent="0.2">
      <c r="B44" s="16" t="s">
        <v>483</v>
      </c>
      <c r="C44" s="16"/>
    </row>
    <row r="45" spans="1:10" ht="12.75" customHeight="1" x14ac:dyDescent="0.2">
      <c r="B45" s="16" t="s">
        <v>166</v>
      </c>
      <c r="C45" s="16"/>
    </row>
    <row r="46" spans="1:10" ht="12.75" customHeight="1" x14ac:dyDescent="0.2">
      <c r="B46" s="53" t="s">
        <v>268</v>
      </c>
      <c r="C46" s="16"/>
    </row>
    <row r="47" spans="1:10" ht="12.75" customHeight="1" x14ac:dyDescent="0.2">
      <c r="B47" s="16"/>
      <c r="C47" s="16"/>
    </row>
    <row r="48" spans="1:10" ht="12.75" customHeight="1" x14ac:dyDescent="0.2">
      <c r="B48" s="16"/>
      <c r="C48" s="16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325</v>
      </c>
      <c r="B1" s="128" t="s">
        <v>744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82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F7" s="13"/>
      <c r="G7" s="14"/>
      <c r="H7" s="15"/>
      <c r="J7" s="17" t="s">
        <v>493</v>
      </c>
      <c r="K7" s="37" t="s">
        <v>11</v>
      </c>
    </row>
    <row r="8" spans="1:16" ht="12.75" customHeight="1" x14ac:dyDescent="0.2">
      <c r="B8" s="16" t="s">
        <v>267</v>
      </c>
      <c r="C8" s="16"/>
      <c r="F8" s="13"/>
      <c r="G8" s="14"/>
      <c r="H8" s="15"/>
      <c r="J8" s="14" t="s">
        <v>104</v>
      </c>
      <c r="K8" s="48">
        <f t="shared" ref="K8:K16" si="0">SUMIFS($G$5:$G$323,$D$5:$D$323,J8)</f>
        <v>0.36849999999999999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256</v>
      </c>
      <c r="C9" t="s">
        <v>462</v>
      </c>
      <c r="D9" t="s">
        <v>449</v>
      </c>
      <c r="E9" s="28">
        <v>380</v>
      </c>
      <c r="F9" s="13">
        <v>1865.1995999999999</v>
      </c>
      <c r="G9" s="14">
        <f>+ROUND(F9/VLOOKUP("Grand Total",$B$4:$F$265,5,0),4)</f>
        <v>6.25E-2</v>
      </c>
      <c r="H9" s="88">
        <v>43426</v>
      </c>
      <c r="J9" s="14" t="s">
        <v>257</v>
      </c>
      <c r="K9" s="48">
        <f t="shared" si="0"/>
        <v>0.12130000000000001</v>
      </c>
      <c r="M9" s="14"/>
      <c r="N9" s="36"/>
      <c r="P9" s="14"/>
    </row>
    <row r="10" spans="1:16" ht="12.75" customHeight="1" x14ac:dyDescent="0.2">
      <c r="B10" s="18" t="s">
        <v>82</v>
      </c>
      <c r="C10" s="18"/>
      <c r="D10" s="18"/>
      <c r="E10" s="29"/>
      <c r="F10" s="19">
        <f>SUM(F9:F9)</f>
        <v>1865.1995999999999</v>
      </c>
      <c r="G10" s="20">
        <f>SUM(G9:G9)</f>
        <v>6.25E-2</v>
      </c>
      <c r="H10" s="21"/>
      <c r="J10" t="s">
        <v>306</v>
      </c>
      <c r="K10" s="48">
        <f t="shared" si="0"/>
        <v>0.1186</v>
      </c>
    </row>
    <row r="11" spans="1:16" ht="12.75" customHeight="1" x14ac:dyDescent="0.2">
      <c r="F11" s="13"/>
      <c r="G11" s="14"/>
      <c r="H11" s="15"/>
      <c r="J11" s="14" t="s">
        <v>152</v>
      </c>
      <c r="K11" s="48">
        <f t="shared" si="0"/>
        <v>8.2299999999999998E-2</v>
      </c>
    </row>
    <row r="12" spans="1:16" ht="12.75" customHeight="1" x14ac:dyDescent="0.2">
      <c r="B12" s="16" t="s">
        <v>154</v>
      </c>
      <c r="C12" s="16"/>
      <c r="F12" s="13"/>
      <c r="G12" s="14"/>
      <c r="H12" s="15"/>
      <c r="J12" s="14" t="s">
        <v>369</v>
      </c>
      <c r="K12" s="48">
        <f t="shared" si="0"/>
        <v>6.9900000000000004E-2</v>
      </c>
      <c r="M12" s="14"/>
      <c r="N12" s="36"/>
      <c r="P12" s="14"/>
    </row>
    <row r="13" spans="1:16" ht="12.75" customHeight="1" x14ac:dyDescent="0.2">
      <c r="A13">
        <f>+MAX($A$8:A12)+1</f>
        <v>2</v>
      </c>
      <c r="B13" t="s">
        <v>275</v>
      </c>
      <c r="C13" t="s">
        <v>258</v>
      </c>
      <c r="D13" t="s">
        <v>345</v>
      </c>
      <c r="E13" s="28">
        <v>500000</v>
      </c>
      <c r="F13" s="13">
        <v>503.62099999999998</v>
      </c>
      <c r="G13" s="14">
        <f>+ROUND(F13/VLOOKUP("Grand Total",$B$4:$F$265,5,0),4)</f>
        <v>1.6899999999999998E-2</v>
      </c>
      <c r="H13" s="88">
        <v>44175</v>
      </c>
      <c r="J13" s="14" t="s">
        <v>482</v>
      </c>
      <c r="K13" s="48">
        <f t="shared" si="0"/>
        <v>6.6900000000000001E-2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381</v>
      </c>
      <c r="C14" t="s">
        <v>382</v>
      </c>
      <c r="D14" t="s">
        <v>345</v>
      </c>
      <c r="E14" s="28">
        <v>45300</v>
      </c>
      <c r="F14" s="13">
        <v>43.458917400000004</v>
      </c>
      <c r="G14" s="14">
        <f>+ROUND(F14/VLOOKUP("Grand Total",$B$4:$F$265,5,0),4)</f>
        <v>1.5E-3</v>
      </c>
      <c r="H14" s="88">
        <v>44914</v>
      </c>
      <c r="J14" s="14" t="s">
        <v>449</v>
      </c>
      <c r="K14" s="48">
        <f t="shared" si="0"/>
        <v>6.25E-2</v>
      </c>
      <c r="M14" s="14"/>
      <c r="N14" s="36"/>
      <c r="P14" s="14"/>
    </row>
    <row r="15" spans="1:16" ht="12.75" customHeight="1" x14ac:dyDescent="0.2">
      <c r="B15" s="18" t="s">
        <v>82</v>
      </c>
      <c r="C15" s="18"/>
      <c r="D15" s="18"/>
      <c r="E15" s="29"/>
      <c r="F15" s="19">
        <f>SUM(F13:F14)</f>
        <v>547.0799174</v>
      </c>
      <c r="G15" s="20">
        <f>SUM(G13:G14)</f>
        <v>1.84E-2</v>
      </c>
      <c r="H15" s="21"/>
      <c r="J15" s="14" t="s">
        <v>345</v>
      </c>
      <c r="K15" s="48">
        <f t="shared" si="0"/>
        <v>1.84E-2</v>
      </c>
    </row>
    <row r="16" spans="1:16" ht="12.75" customHeight="1" x14ac:dyDescent="0.2">
      <c r="F16" s="13"/>
      <c r="G16" s="14"/>
      <c r="H16" s="15"/>
      <c r="J16" s="14" t="s">
        <v>712</v>
      </c>
      <c r="K16" s="48">
        <f t="shared" si="0"/>
        <v>1.1299999999999999E-2</v>
      </c>
    </row>
    <row r="17" spans="1:11" ht="12.75" customHeight="1" x14ac:dyDescent="0.2">
      <c r="B17" s="16" t="s">
        <v>120</v>
      </c>
      <c r="C17" s="16"/>
      <c r="F17" s="13"/>
      <c r="G17" s="14"/>
      <c r="H17" s="15"/>
      <c r="J17" s="14" t="s">
        <v>62</v>
      </c>
      <c r="K17" s="48">
        <f>+SUMIFS($G$5:$G$1002,$B$5:$B$1002,"CBLO / Reverse Repo")+SUMIFS($G$5:$G$1002,$B$5:$B$1002,"Net Receivable/Payable")</f>
        <v>8.0299999999999996E-2</v>
      </c>
    </row>
    <row r="18" spans="1:11" ht="12.75" customHeight="1" x14ac:dyDescent="0.2">
      <c r="B18" s="31" t="s">
        <v>266</v>
      </c>
      <c r="C18" s="16"/>
      <c r="F18" s="13"/>
      <c r="G18" s="14"/>
      <c r="H18" s="15"/>
      <c r="J18" s="14"/>
      <c r="K18" s="48"/>
    </row>
    <row r="19" spans="1:11" ht="12.75" customHeight="1" x14ac:dyDescent="0.2">
      <c r="A19">
        <f>+MAX($A$8:A18)+1</f>
        <v>4</v>
      </c>
      <c r="B19" s="65" t="s">
        <v>370</v>
      </c>
      <c r="C19" t="s">
        <v>352</v>
      </c>
      <c r="D19" t="s">
        <v>306</v>
      </c>
      <c r="E19" s="28">
        <v>255000</v>
      </c>
      <c r="F19" s="13">
        <v>2542.3576499999999</v>
      </c>
      <c r="G19" s="14">
        <f t="shared" ref="G19:G32" si="1">+ROUND(F19/VLOOKUP("Grand Total",$B$4:$F$265,5,0),4)</f>
        <v>8.5199999999999998E-2</v>
      </c>
      <c r="H19" s="15">
        <v>43717</v>
      </c>
    </row>
    <row r="20" spans="1:11" ht="12.75" customHeight="1" x14ac:dyDescent="0.2">
      <c r="A20">
        <f>+MAX($A$8:A19)+1</f>
        <v>5</v>
      </c>
      <c r="B20" s="65" t="s">
        <v>657</v>
      </c>
      <c r="C20" t="s">
        <v>360</v>
      </c>
      <c r="D20" t="s">
        <v>152</v>
      </c>
      <c r="E20" s="28">
        <v>250</v>
      </c>
      <c r="F20" s="13">
        <v>2455.9250000000002</v>
      </c>
      <c r="G20" s="14">
        <f t="shared" si="1"/>
        <v>8.2299999999999998E-2</v>
      </c>
      <c r="H20" s="15">
        <v>43951</v>
      </c>
    </row>
    <row r="21" spans="1:11" ht="12.75" customHeight="1" x14ac:dyDescent="0.2">
      <c r="A21">
        <f>+MAX($A$8:A20)+1</f>
        <v>6</v>
      </c>
      <c r="B21" s="65" t="s">
        <v>658</v>
      </c>
      <c r="C21" t="s">
        <v>348</v>
      </c>
      <c r="D21" t="s">
        <v>104</v>
      </c>
      <c r="E21" s="28">
        <v>240</v>
      </c>
      <c r="F21" s="13">
        <v>2377.0392000000002</v>
      </c>
      <c r="G21" s="14">
        <f t="shared" si="1"/>
        <v>7.9699999999999993E-2</v>
      </c>
      <c r="H21" s="15">
        <v>44343</v>
      </c>
    </row>
    <row r="22" spans="1:11" ht="12.75" customHeight="1" x14ac:dyDescent="0.2">
      <c r="A22">
        <f>+MAX($A$8:A21)+1</f>
        <v>7</v>
      </c>
      <c r="B22" t="s">
        <v>536</v>
      </c>
      <c r="C22" t="s">
        <v>515</v>
      </c>
      <c r="D22" t="s">
        <v>104</v>
      </c>
      <c r="E22" s="28">
        <v>230</v>
      </c>
      <c r="F22" s="13">
        <v>2294.6363999999999</v>
      </c>
      <c r="G22" s="14">
        <f t="shared" si="1"/>
        <v>7.6899999999999996E-2</v>
      </c>
      <c r="H22" s="15">
        <v>43539</v>
      </c>
      <c r="J22" s="46"/>
      <c r="K22" s="48"/>
    </row>
    <row r="23" spans="1:11" ht="12.75" customHeight="1" x14ac:dyDescent="0.2">
      <c r="A23">
        <f>+MAX($A$8:A22)+1</f>
        <v>8</v>
      </c>
      <c r="B23" s="65" t="s">
        <v>659</v>
      </c>
      <c r="C23" t="s">
        <v>537</v>
      </c>
      <c r="D23" t="s">
        <v>104</v>
      </c>
      <c r="E23" s="28">
        <v>230</v>
      </c>
      <c r="F23" s="13">
        <v>2228.6885000000002</v>
      </c>
      <c r="G23" s="14">
        <f t="shared" si="1"/>
        <v>7.4700000000000003E-2</v>
      </c>
      <c r="H23" s="15">
        <v>44196</v>
      </c>
    </row>
    <row r="24" spans="1:11" ht="12.75" customHeight="1" x14ac:dyDescent="0.2">
      <c r="A24">
        <f>+MAX($A$8:A23)+1</f>
        <v>9</v>
      </c>
      <c r="B24" s="65" t="s">
        <v>427</v>
      </c>
      <c r="C24" t="s">
        <v>411</v>
      </c>
      <c r="D24" t="s">
        <v>369</v>
      </c>
      <c r="E24" s="28">
        <v>210</v>
      </c>
      <c r="F24" s="13">
        <v>2086.1147999999998</v>
      </c>
      <c r="G24" s="14">
        <f t="shared" si="1"/>
        <v>6.9900000000000004E-2</v>
      </c>
      <c r="H24" s="15">
        <v>43671</v>
      </c>
    </row>
    <row r="25" spans="1:11" ht="12.75" customHeight="1" x14ac:dyDescent="0.2">
      <c r="A25">
        <f>+MAX($A$8:A24)+1</f>
        <v>10</v>
      </c>
      <c r="B25" s="65" t="s">
        <v>507</v>
      </c>
      <c r="C25" t="s">
        <v>380</v>
      </c>
      <c r="D25" t="s">
        <v>482</v>
      </c>
      <c r="E25" s="28">
        <v>200</v>
      </c>
      <c r="F25" s="13">
        <v>1995.7439999999999</v>
      </c>
      <c r="G25" s="14">
        <f t="shared" si="1"/>
        <v>6.6900000000000001E-2</v>
      </c>
      <c r="H25" s="15">
        <v>43469</v>
      </c>
    </row>
    <row r="26" spans="1:11" s="46" customFormat="1" ht="12.75" customHeight="1" x14ac:dyDescent="0.2">
      <c r="A26">
        <f>+MAX($A$8:A25)+1</f>
        <v>11</v>
      </c>
      <c r="B26" s="65" t="s">
        <v>708</v>
      </c>
      <c r="C26" t="s">
        <v>709</v>
      </c>
      <c r="D26" t="s">
        <v>104</v>
      </c>
      <c r="E26" s="28">
        <v>198</v>
      </c>
      <c r="F26" s="13">
        <v>1970.8821</v>
      </c>
      <c r="G26" s="14">
        <f t="shared" si="1"/>
        <v>6.6100000000000006E-2</v>
      </c>
      <c r="H26" s="15">
        <v>43623</v>
      </c>
      <c r="I26" s="64"/>
      <c r="J26"/>
      <c r="K26" s="36"/>
    </row>
    <row r="27" spans="1:11" ht="12.75" customHeight="1" x14ac:dyDescent="0.2">
      <c r="A27">
        <f>+MAX($A$8:A26)+1</f>
        <v>12</v>
      </c>
      <c r="B27" s="65" t="s">
        <v>533</v>
      </c>
      <c r="C27" t="s">
        <v>488</v>
      </c>
      <c r="D27" t="s">
        <v>257</v>
      </c>
      <c r="E27" s="28">
        <v>180</v>
      </c>
      <c r="F27" s="13">
        <v>1790.2565999999999</v>
      </c>
      <c r="G27" s="14">
        <f t="shared" si="1"/>
        <v>0.06</v>
      </c>
      <c r="H27" s="15">
        <v>43643</v>
      </c>
      <c r="J27" s="52"/>
    </row>
    <row r="28" spans="1:11" ht="12.75" customHeight="1" x14ac:dyDescent="0.2">
      <c r="A28">
        <f>+MAX($A$8:A27)+1</f>
        <v>13</v>
      </c>
      <c r="B28" s="65" t="s">
        <v>653</v>
      </c>
      <c r="C28" t="s">
        <v>654</v>
      </c>
      <c r="D28" t="s">
        <v>257</v>
      </c>
      <c r="E28" s="28">
        <v>170</v>
      </c>
      <c r="F28" s="13">
        <v>1679.8414</v>
      </c>
      <c r="G28" s="14">
        <f t="shared" si="1"/>
        <v>5.6300000000000003E-2</v>
      </c>
      <c r="H28" s="15">
        <v>44109</v>
      </c>
      <c r="J28" s="52"/>
    </row>
    <row r="29" spans="1:11" ht="12.75" customHeight="1" x14ac:dyDescent="0.2">
      <c r="A29">
        <f>+MAX($A$8:A28)+1</f>
        <v>14</v>
      </c>
      <c r="B29" s="65" t="s">
        <v>651</v>
      </c>
      <c r="C29" t="s">
        <v>473</v>
      </c>
      <c r="D29" t="s">
        <v>104</v>
      </c>
      <c r="E29" s="28">
        <v>100</v>
      </c>
      <c r="F29" s="13">
        <v>997.279</v>
      </c>
      <c r="G29" s="14">
        <f t="shared" si="1"/>
        <v>3.3399999999999999E-2</v>
      </c>
      <c r="H29" s="15">
        <v>43584</v>
      </c>
      <c r="J29" s="52"/>
    </row>
    <row r="30" spans="1:11" ht="12.75" customHeight="1" x14ac:dyDescent="0.2">
      <c r="A30">
        <f>+MAX($A$8:A29)+1</f>
        <v>15</v>
      </c>
      <c r="B30" s="65" t="s">
        <v>506</v>
      </c>
      <c r="C30" t="s">
        <v>337</v>
      </c>
      <c r="D30" t="s">
        <v>306</v>
      </c>
      <c r="E30" s="28">
        <v>100</v>
      </c>
      <c r="F30" s="13">
        <v>995.62099999999998</v>
      </c>
      <c r="G30" s="14">
        <f t="shared" si="1"/>
        <v>3.3399999999999999E-2</v>
      </c>
      <c r="H30" s="15">
        <v>43892</v>
      </c>
    </row>
    <row r="31" spans="1:11" ht="12.75" customHeight="1" x14ac:dyDescent="0.2">
      <c r="A31">
        <f>+MAX($A$8:A30)+1</f>
        <v>16</v>
      </c>
      <c r="B31" s="65" t="s">
        <v>705</v>
      </c>
      <c r="C31" t="s">
        <v>706</v>
      </c>
      <c r="D31" t="s">
        <v>104</v>
      </c>
      <c r="E31" s="28">
        <v>50</v>
      </c>
      <c r="F31" s="13">
        <v>483.03399999999999</v>
      </c>
      <c r="G31" s="14">
        <f t="shared" si="1"/>
        <v>1.6199999999999999E-2</v>
      </c>
      <c r="H31" s="15">
        <v>44942</v>
      </c>
      <c r="J31" s="52"/>
    </row>
    <row r="32" spans="1:11" ht="12.75" customHeight="1" x14ac:dyDescent="0.2">
      <c r="A32">
        <f>+MAX($A$8:A31)+1</f>
        <v>17</v>
      </c>
      <c r="B32" s="65" t="s">
        <v>538</v>
      </c>
      <c r="C32" t="s">
        <v>516</v>
      </c>
      <c r="D32" t="s">
        <v>104</v>
      </c>
      <c r="E32" s="28">
        <v>35</v>
      </c>
      <c r="F32" s="13">
        <v>341.13835</v>
      </c>
      <c r="G32" s="14">
        <f t="shared" si="1"/>
        <v>1.14E-2</v>
      </c>
      <c r="H32" s="15">
        <v>44915</v>
      </c>
      <c r="J32" s="52"/>
    </row>
    <row r="33" spans="1:11" ht="12.75" customHeight="1" x14ac:dyDescent="0.2">
      <c r="A33">
        <f>+MAX($A$8:A32)+1</f>
        <v>18</v>
      </c>
      <c r="B33" s="65" t="s">
        <v>710</v>
      </c>
      <c r="C33" t="s">
        <v>711</v>
      </c>
      <c r="D33" t="s">
        <v>712</v>
      </c>
      <c r="E33" s="28">
        <v>34</v>
      </c>
      <c r="F33" s="13">
        <v>336.13080000000002</v>
      </c>
      <c r="G33" s="14">
        <f t="shared" ref="G33:G35" si="2">+ROUND(F33/VLOOKUP("Grand Total",$B$4:$F$265,5,0),4)</f>
        <v>1.1299999999999999E-2</v>
      </c>
      <c r="H33" s="15">
        <v>44693</v>
      </c>
      <c r="J33" s="52"/>
    </row>
    <row r="34" spans="1:11" ht="12.75" customHeight="1" x14ac:dyDescent="0.2">
      <c r="A34">
        <f>+MAX($A$8:A33)+1</f>
        <v>19</v>
      </c>
      <c r="B34" s="65" t="s">
        <v>660</v>
      </c>
      <c r="C34" t="s">
        <v>661</v>
      </c>
      <c r="D34" t="s">
        <v>104</v>
      </c>
      <c r="E34" s="28">
        <v>30</v>
      </c>
      <c r="F34" s="13">
        <v>299.8098</v>
      </c>
      <c r="G34" s="14">
        <f t="shared" si="2"/>
        <v>1.01E-2</v>
      </c>
      <c r="H34" s="15">
        <v>43677</v>
      </c>
      <c r="J34" s="52"/>
    </row>
    <row r="35" spans="1:11" ht="12.75" customHeight="1" x14ac:dyDescent="0.2">
      <c r="A35">
        <f>+MAX($A$8:A34)+1</f>
        <v>20</v>
      </c>
      <c r="B35" s="65" t="s">
        <v>393</v>
      </c>
      <c r="C35" t="s">
        <v>394</v>
      </c>
      <c r="D35" t="s">
        <v>257</v>
      </c>
      <c r="E35" s="28">
        <v>15</v>
      </c>
      <c r="F35" s="13">
        <v>149.21700000000001</v>
      </c>
      <c r="G35" s="14">
        <f t="shared" si="2"/>
        <v>5.0000000000000001E-3</v>
      </c>
      <c r="H35" s="15">
        <v>43630</v>
      </c>
      <c r="J35" s="52"/>
    </row>
    <row r="36" spans="1:11" ht="12.75" customHeight="1" x14ac:dyDescent="0.2">
      <c r="B36" s="18" t="s">
        <v>82</v>
      </c>
      <c r="C36" s="18"/>
      <c r="D36" s="18"/>
      <c r="E36" s="29"/>
      <c r="F36" s="19">
        <f>SUM(F19:F35)</f>
        <v>25023.7156</v>
      </c>
      <c r="G36" s="20">
        <f>SUM(G19:G35)</f>
        <v>0.83879999999999988</v>
      </c>
      <c r="H36" s="21"/>
      <c r="I36" s="33"/>
      <c r="J36" s="52"/>
    </row>
    <row r="37" spans="1:11" s="46" customFormat="1" ht="12.75" customHeight="1" x14ac:dyDescent="0.2">
      <c r="B37" s="67"/>
      <c r="C37" s="67"/>
      <c r="D37" s="67"/>
      <c r="E37" s="68"/>
      <c r="F37" s="69"/>
      <c r="G37" s="70"/>
      <c r="H37" s="71"/>
      <c r="I37" s="33"/>
      <c r="J37" s="96"/>
      <c r="K37" s="48"/>
    </row>
    <row r="38" spans="1:11" ht="12.75" customHeight="1" x14ac:dyDescent="0.2">
      <c r="B38" s="16" t="s">
        <v>91</v>
      </c>
      <c r="C38" s="16"/>
      <c r="F38" s="13"/>
      <c r="G38" s="14"/>
      <c r="H38" s="15"/>
      <c r="I38" s="81"/>
    </row>
    <row r="39" spans="1:11" ht="12.75" customHeight="1" x14ac:dyDescent="0.2">
      <c r="A39" s="94" t="s">
        <v>312</v>
      </c>
      <c r="B39" s="16" t="s">
        <v>633</v>
      </c>
      <c r="C39" s="16"/>
      <c r="F39" s="13">
        <v>1531.3296404</v>
      </c>
      <c r="G39" s="14">
        <f>+ROUND(F39/VLOOKUP("Grand Total",$B$4:$F$265,5,0),4)</f>
        <v>5.1299999999999998E-2</v>
      </c>
      <c r="H39" s="15">
        <v>43346</v>
      </c>
    </row>
    <row r="40" spans="1:11" ht="12.75" customHeight="1" x14ac:dyDescent="0.2">
      <c r="B40" s="16" t="s">
        <v>92</v>
      </c>
      <c r="C40" s="16"/>
      <c r="F40" s="13">
        <v>860.16631209999832</v>
      </c>
      <c r="G40" s="14">
        <f>+ROUND(F40/VLOOKUP("Grand Total",$B$4:$F$265,5,0),4)+0.02%</f>
        <v>2.8999999999999998E-2</v>
      </c>
      <c r="H40" s="15"/>
    </row>
    <row r="41" spans="1:11" ht="12.75" customHeight="1" x14ac:dyDescent="0.2">
      <c r="B41" s="18" t="s">
        <v>82</v>
      </c>
      <c r="C41" s="18"/>
      <c r="D41" s="18"/>
      <c r="E41" s="29"/>
      <c r="F41" s="19">
        <f>SUM(F39:F40)</f>
        <v>2391.4959524999986</v>
      </c>
      <c r="G41" s="20">
        <f>SUM(G39:G40)</f>
        <v>8.0299999999999996E-2</v>
      </c>
      <c r="H41" s="21"/>
    </row>
    <row r="42" spans="1:11" ht="12.75" customHeight="1" x14ac:dyDescent="0.2">
      <c r="B42" s="22" t="s">
        <v>93</v>
      </c>
      <c r="C42" s="22"/>
      <c r="D42" s="22"/>
      <c r="E42" s="30"/>
      <c r="F42" s="23">
        <f>+SUMIF($B$5:B41,"Total",$F$5:F41)</f>
        <v>29827.491069899996</v>
      </c>
      <c r="G42" s="24">
        <f>+SUMIF($B$5:B41,"Total",$G$5:G41)</f>
        <v>0.99999999999999989</v>
      </c>
      <c r="H42" s="25"/>
      <c r="I42" s="81"/>
    </row>
    <row r="43" spans="1:11" ht="12.75" customHeight="1" x14ac:dyDescent="0.2"/>
    <row r="44" spans="1:11" ht="12.75" customHeight="1" x14ac:dyDescent="0.2">
      <c r="B44" s="16" t="s">
        <v>483</v>
      </c>
      <c r="C44" s="16"/>
    </row>
    <row r="45" spans="1:11" ht="12.75" customHeight="1" x14ac:dyDescent="0.2">
      <c r="B45" s="16" t="s">
        <v>166</v>
      </c>
      <c r="C45" s="16"/>
      <c r="F45" s="42"/>
    </row>
    <row r="46" spans="1:11" ht="12.75" customHeight="1" x14ac:dyDescent="0.2">
      <c r="B46" s="16" t="s">
        <v>791</v>
      </c>
      <c r="C46" s="16"/>
      <c r="I46" s="81"/>
    </row>
    <row r="47" spans="1:11" ht="12.75" customHeight="1" x14ac:dyDescent="0.2">
      <c r="B47" s="16"/>
      <c r="C47" s="16"/>
    </row>
    <row r="48" spans="1:1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327</v>
      </c>
      <c r="B1" s="128" t="s">
        <v>745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153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+MAX($A$7:A8)+1</f>
        <v>1</v>
      </c>
      <c r="B9" t="s">
        <v>450</v>
      </c>
      <c r="C9" t="s">
        <v>672</v>
      </c>
      <c r="D9" t="s">
        <v>345</v>
      </c>
      <c r="E9" s="28">
        <v>9000</v>
      </c>
      <c r="F9" s="13">
        <v>8.8768799999999999</v>
      </c>
      <c r="G9" s="14">
        <f>+ROUND(F9/VLOOKUP("Grand Total",$B$4:$F$287,5,0),4)</f>
        <v>4.4999999999999997E-3</v>
      </c>
      <c r="H9" s="15">
        <v>43419</v>
      </c>
      <c r="J9" s="14" t="s">
        <v>104</v>
      </c>
      <c r="K9" s="48">
        <f t="shared" ref="K9:K14" si="0">SUMIFS($G$5:$G$317,$D$5:$D$317,J9)</f>
        <v>0.67189999999999994</v>
      </c>
    </row>
    <row r="10" spans="1:16" ht="12.75" customHeight="1" x14ac:dyDescent="0.2">
      <c r="B10" s="18" t="s">
        <v>82</v>
      </c>
      <c r="C10" s="18"/>
      <c r="D10" s="18"/>
      <c r="E10" s="29"/>
      <c r="F10" s="19">
        <f>SUM(F9:F9)</f>
        <v>8.8768799999999999</v>
      </c>
      <c r="G10" s="20">
        <f>SUM(G9:G9)</f>
        <v>4.4999999999999997E-3</v>
      </c>
      <c r="H10" s="21"/>
      <c r="J10" t="s">
        <v>152</v>
      </c>
      <c r="K10" s="48">
        <f t="shared" si="0"/>
        <v>0.1007</v>
      </c>
    </row>
    <row r="11" spans="1:16" ht="12.75" customHeight="1" x14ac:dyDescent="0.2">
      <c r="B11" s="16"/>
      <c r="C11" s="16"/>
      <c r="F11" s="13"/>
      <c r="G11" s="14"/>
      <c r="H11" s="15"/>
      <c r="J11" t="s">
        <v>712</v>
      </c>
      <c r="K11" s="48">
        <f t="shared" si="0"/>
        <v>8.0100000000000005E-2</v>
      </c>
    </row>
    <row r="12" spans="1:16" ht="12.75" customHeight="1" x14ac:dyDescent="0.2">
      <c r="B12" s="16" t="s">
        <v>120</v>
      </c>
      <c r="C12" s="16"/>
      <c r="F12" s="13"/>
      <c r="G12" s="14"/>
      <c r="H12" s="15"/>
      <c r="J12" s="14" t="s">
        <v>306</v>
      </c>
      <c r="K12" s="48">
        <f t="shared" si="0"/>
        <v>5.5600000000000004E-2</v>
      </c>
      <c r="L12" s="54">
        <f>+SUM($K$12:K12)</f>
        <v>5.5600000000000004E-2</v>
      </c>
      <c r="M12" s="14"/>
      <c r="N12" s="36"/>
      <c r="P12" s="14"/>
    </row>
    <row r="13" spans="1:16" ht="12.75" customHeight="1" x14ac:dyDescent="0.2">
      <c r="B13" s="31" t="s">
        <v>347</v>
      </c>
      <c r="C13" s="16"/>
      <c r="F13" s="13"/>
      <c r="G13" s="14"/>
      <c r="H13" s="15"/>
      <c r="J13" s="14" t="s">
        <v>257</v>
      </c>
      <c r="K13" s="48">
        <f t="shared" si="0"/>
        <v>1.5100000000000001E-2</v>
      </c>
    </row>
    <row r="14" spans="1:16" ht="12.75" customHeight="1" x14ac:dyDescent="0.2">
      <c r="A14">
        <f>+MAX($A$7:A13)+1</f>
        <v>2</v>
      </c>
      <c r="B14" s="65" t="s">
        <v>765</v>
      </c>
      <c r="C14" t="s">
        <v>661</v>
      </c>
      <c r="D14" t="s">
        <v>104</v>
      </c>
      <c r="E14" s="28">
        <v>20</v>
      </c>
      <c r="F14" s="13">
        <v>199.8732</v>
      </c>
      <c r="G14" s="14">
        <f t="shared" ref="G14:G28" si="1">+ROUND(F14/VLOOKUP("Grand Total",$B$4:$F$285,5,0),4)</f>
        <v>0.1012</v>
      </c>
      <c r="H14" s="15">
        <v>43677</v>
      </c>
      <c r="J14" s="52" t="s">
        <v>345</v>
      </c>
      <c r="K14" s="48">
        <f t="shared" si="0"/>
        <v>4.4999999999999997E-3</v>
      </c>
    </row>
    <row r="15" spans="1:16" ht="12.75" customHeight="1" x14ac:dyDescent="0.2">
      <c r="A15">
        <f>+MAX($A$7:A14)+1</f>
        <v>3</v>
      </c>
      <c r="B15" t="s">
        <v>766</v>
      </c>
      <c r="C15" t="s">
        <v>515</v>
      </c>
      <c r="D15" t="s">
        <v>104</v>
      </c>
      <c r="E15" s="28">
        <v>20</v>
      </c>
      <c r="F15" s="13">
        <v>199.53360000000001</v>
      </c>
      <c r="G15" s="14">
        <f t="shared" si="1"/>
        <v>0.1011</v>
      </c>
      <c r="H15" s="15">
        <v>43539</v>
      </c>
      <c r="J15" s="14" t="s">
        <v>62</v>
      </c>
      <c r="K15" s="48">
        <f>+SUMIFS($G$5:$G$1002,$B$5:$B$1002,"CBLO / Reverse Repo")+SUMIFS($G$5:$G$1002,$B$5:$B$1002,"Net Receivable/Payable")</f>
        <v>7.2099999999999997E-2</v>
      </c>
    </row>
    <row r="16" spans="1:16" ht="12.75" customHeight="1" x14ac:dyDescent="0.2">
      <c r="A16">
        <f>+MAX($A$7:A15)+1</f>
        <v>4</v>
      </c>
      <c r="B16" t="s">
        <v>767</v>
      </c>
      <c r="C16" t="s">
        <v>537</v>
      </c>
      <c r="D16" t="s">
        <v>104</v>
      </c>
      <c r="E16" s="28">
        <v>20</v>
      </c>
      <c r="F16" s="13">
        <v>193.79900000000001</v>
      </c>
      <c r="G16" s="14">
        <f t="shared" si="1"/>
        <v>9.8199999999999996E-2</v>
      </c>
      <c r="H16" s="15">
        <v>44196</v>
      </c>
      <c r="J16" s="52"/>
      <c r="K16" s="48"/>
    </row>
    <row r="17" spans="1:11" ht="12.75" customHeight="1" x14ac:dyDescent="0.2">
      <c r="A17">
        <f>+MAX($A$7:A16)+1</f>
        <v>5</v>
      </c>
      <c r="B17" s="65" t="s">
        <v>768</v>
      </c>
      <c r="C17" t="s">
        <v>711</v>
      </c>
      <c r="D17" t="s">
        <v>712</v>
      </c>
      <c r="E17" s="28">
        <v>16</v>
      </c>
      <c r="F17" s="13">
        <v>158.17920000000001</v>
      </c>
      <c r="G17" s="14">
        <f t="shared" si="1"/>
        <v>8.0100000000000005E-2</v>
      </c>
      <c r="H17" s="15">
        <v>44693</v>
      </c>
      <c r="J17" s="14"/>
      <c r="K17" s="48"/>
    </row>
    <row r="18" spans="1:11" ht="12.75" customHeight="1" x14ac:dyDescent="0.2">
      <c r="A18">
        <f>+MAX($A$7:A17)+1</f>
        <v>6</v>
      </c>
      <c r="B18" t="s">
        <v>769</v>
      </c>
      <c r="C18" t="s">
        <v>473</v>
      </c>
      <c r="D18" t="s">
        <v>104</v>
      </c>
      <c r="E18" s="28">
        <v>15</v>
      </c>
      <c r="F18" s="13">
        <v>149.59184999999999</v>
      </c>
      <c r="G18" s="14">
        <f t="shared" si="1"/>
        <v>7.5800000000000006E-2</v>
      </c>
      <c r="H18" s="15">
        <v>43584</v>
      </c>
      <c r="J18" s="14"/>
      <c r="K18" s="48"/>
    </row>
    <row r="19" spans="1:11" ht="12.75" customHeight="1" x14ac:dyDescent="0.2">
      <c r="A19">
        <f>+MAX($A$7:A18)+1</f>
        <v>7</v>
      </c>
      <c r="B19" t="s">
        <v>761</v>
      </c>
      <c r="C19" t="s">
        <v>516</v>
      </c>
      <c r="D19" t="s">
        <v>104</v>
      </c>
      <c r="E19" s="28">
        <v>15</v>
      </c>
      <c r="F19" s="13">
        <v>146.20214999999999</v>
      </c>
      <c r="G19" s="14">
        <f t="shared" si="1"/>
        <v>7.4099999999999999E-2</v>
      </c>
      <c r="H19" s="15">
        <v>44915</v>
      </c>
      <c r="J19" s="52"/>
    </row>
    <row r="20" spans="1:11" ht="12.75" customHeight="1" x14ac:dyDescent="0.2">
      <c r="A20">
        <f>+MAX($A$7:A19)+1</f>
        <v>8</v>
      </c>
      <c r="B20" s="65" t="s">
        <v>627</v>
      </c>
      <c r="C20" t="s">
        <v>447</v>
      </c>
      <c r="D20" t="s">
        <v>104</v>
      </c>
      <c r="E20" s="28">
        <v>15</v>
      </c>
      <c r="F20" s="13">
        <v>141.91005000000001</v>
      </c>
      <c r="G20" s="14">
        <f t="shared" si="1"/>
        <v>7.1900000000000006E-2</v>
      </c>
      <c r="H20" s="15">
        <v>44804</v>
      </c>
      <c r="J20" s="52"/>
    </row>
    <row r="21" spans="1:11" ht="12.75" customHeight="1" x14ac:dyDescent="0.2">
      <c r="A21">
        <f>+MAX($A$7:A20)+1</f>
        <v>9</v>
      </c>
      <c r="B21" t="s">
        <v>759</v>
      </c>
      <c r="C21" t="s">
        <v>428</v>
      </c>
      <c r="D21" t="s">
        <v>306</v>
      </c>
      <c r="E21" s="28">
        <v>10000</v>
      </c>
      <c r="F21" s="13">
        <v>99.746899999999997</v>
      </c>
      <c r="G21" s="14">
        <f t="shared" si="1"/>
        <v>5.0500000000000003E-2</v>
      </c>
      <c r="H21" s="15">
        <v>43717</v>
      </c>
      <c r="J21" s="52"/>
    </row>
    <row r="22" spans="1:11" ht="12.75" customHeight="1" x14ac:dyDescent="0.2">
      <c r="A22">
        <f>+MAX($A$7:A21)+1</f>
        <v>10</v>
      </c>
      <c r="B22" t="s">
        <v>770</v>
      </c>
      <c r="C22" t="s">
        <v>700</v>
      </c>
      <c r="D22" t="s">
        <v>104</v>
      </c>
      <c r="E22" s="28">
        <v>10</v>
      </c>
      <c r="F22" s="13">
        <v>99.696899999999999</v>
      </c>
      <c r="G22" s="14">
        <f t="shared" si="1"/>
        <v>5.0500000000000003E-2</v>
      </c>
      <c r="H22" s="15">
        <v>44188</v>
      </c>
      <c r="J22" s="52"/>
    </row>
    <row r="23" spans="1:11" ht="12.75" customHeight="1" x14ac:dyDescent="0.2">
      <c r="A23">
        <f>+MAX($A$7:A22)+1</f>
        <v>11</v>
      </c>
      <c r="B23" t="s">
        <v>771</v>
      </c>
      <c r="C23" t="s">
        <v>617</v>
      </c>
      <c r="D23" t="s">
        <v>152</v>
      </c>
      <c r="E23" s="28">
        <v>10</v>
      </c>
      <c r="F23" s="13">
        <v>99.553399999999996</v>
      </c>
      <c r="G23" s="14">
        <f t="shared" si="1"/>
        <v>5.04E-2</v>
      </c>
      <c r="H23" s="15">
        <v>43712</v>
      </c>
      <c r="J23" s="52"/>
    </row>
    <row r="24" spans="1:11" ht="12.75" customHeight="1" x14ac:dyDescent="0.2">
      <c r="A24">
        <f>+MAX($A$7:A23)+1</f>
        <v>12</v>
      </c>
      <c r="B24" s="65" t="s">
        <v>772</v>
      </c>
      <c r="C24" t="s">
        <v>629</v>
      </c>
      <c r="D24" t="s">
        <v>152</v>
      </c>
      <c r="E24" s="28">
        <v>10</v>
      </c>
      <c r="F24" s="13">
        <v>99.2971</v>
      </c>
      <c r="G24" s="14">
        <f t="shared" si="1"/>
        <v>5.0299999999999997E-2</v>
      </c>
      <c r="H24" s="15">
        <v>43662</v>
      </c>
      <c r="J24" s="52"/>
    </row>
    <row r="25" spans="1:11" ht="12.75" customHeight="1" x14ac:dyDescent="0.2">
      <c r="A25">
        <f>+MAX($A$7:A24)+1</f>
        <v>13</v>
      </c>
      <c r="B25" s="65" t="s">
        <v>773</v>
      </c>
      <c r="C25" t="s">
        <v>348</v>
      </c>
      <c r="D25" t="s">
        <v>104</v>
      </c>
      <c r="E25" s="28">
        <v>10</v>
      </c>
      <c r="F25" s="13">
        <v>99.043300000000002</v>
      </c>
      <c r="G25" s="14">
        <f t="shared" si="1"/>
        <v>5.0200000000000002E-2</v>
      </c>
      <c r="H25" s="15">
        <v>44343</v>
      </c>
      <c r="J25" s="52"/>
    </row>
    <row r="26" spans="1:11" ht="12.75" customHeight="1" x14ac:dyDescent="0.2">
      <c r="A26">
        <f>+MAX($A$7:A25)+1</f>
        <v>14</v>
      </c>
      <c r="B26" s="65" t="s">
        <v>764</v>
      </c>
      <c r="C26" t="s">
        <v>706</v>
      </c>
      <c r="D26" t="s">
        <v>104</v>
      </c>
      <c r="E26" s="28">
        <v>10</v>
      </c>
      <c r="F26" s="13">
        <v>96.606800000000007</v>
      </c>
      <c r="G26" s="14">
        <f t="shared" si="1"/>
        <v>4.8899999999999999E-2</v>
      </c>
      <c r="H26" s="15">
        <v>44942</v>
      </c>
      <c r="J26" s="52"/>
    </row>
    <row r="27" spans="1:11" ht="12.75" customHeight="1" x14ac:dyDescent="0.2">
      <c r="A27">
        <f>+MAX($A$7:A26)+1</f>
        <v>15</v>
      </c>
      <c r="B27" s="65" t="s">
        <v>774</v>
      </c>
      <c r="C27" t="s">
        <v>394</v>
      </c>
      <c r="D27" t="s">
        <v>257</v>
      </c>
      <c r="E27" s="28">
        <v>3</v>
      </c>
      <c r="F27" s="13">
        <v>29.843399999999999</v>
      </c>
      <c r="G27" s="14">
        <f t="shared" si="1"/>
        <v>1.5100000000000001E-2</v>
      </c>
      <c r="H27" s="15">
        <v>43630</v>
      </c>
      <c r="J27" s="52"/>
    </row>
    <row r="28" spans="1:11" ht="12.75" customHeight="1" x14ac:dyDescent="0.2">
      <c r="A28">
        <f>+MAX($A$7:A27)+1</f>
        <v>16</v>
      </c>
      <c r="B28" s="65" t="s">
        <v>775</v>
      </c>
      <c r="C28" t="s">
        <v>352</v>
      </c>
      <c r="D28" t="s">
        <v>306</v>
      </c>
      <c r="E28" s="28">
        <v>1000</v>
      </c>
      <c r="F28" s="13">
        <v>9.9700299999999995</v>
      </c>
      <c r="G28" s="14">
        <f t="shared" si="1"/>
        <v>5.1000000000000004E-3</v>
      </c>
      <c r="H28" s="15">
        <v>43717</v>
      </c>
      <c r="J28" s="52"/>
    </row>
    <row r="29" spans="1:11" ht="12.75" customHeight="1" x14ac:dyDescent="0.2">
      <c r="B29" s="18" t="s">
        <v>82</v>
      </c>
      <c r="C29" s="18"/>
      <c r="D29" s="18"/>
      <c r="E29" s="29"/>
      <c r="F29" s="19">
        <f>SUM(F14:F28)</f>
        <v>1822.8468800000001</v>
      </c>
      <c r="G29" s="20">
        <f>SUM(G14:G28)</f>
        <v>0.9234</v>
      </c>
      <c r="H29" s="21"/>
      <c r="J29" s="52"/>
    </row>
    <row r="30" spans="1:11" ht="12.75" customHeight="1" x14ac:dyDescent="0.2">
      <c r="F30" s="13"/>
      <c r="G30" s="14"/>
      <c r="H30" s="15"/>
    </row>
    <row r="31" spans="1:11" ht="12.75" customHeight="1" x14ac:dyDescent="0.2">
      <c r="B31" s="16" t="s">
        <v>91</v>
      </c>
      <c r="C31" s="16"/>
      <c r="F31" s="13"/>
      <c r="G31" s="14"/>
      <c r="H31" s="15"/>
    </row>
    <row r="32" spans="1:11" ht="12.75" customHeight="1" x14ac:dyDescent="0.2">
      <c r="A32" s="94" t="s">
        <v>312</v>
      </c>
      <c r="B32" s="16" t="s">
        <v>633</v>
      </c>
      <c r="C32" s="16"/>
      <c r="F32" s="13">
        <v>100.0268035</v>
      </c>
      <c r="G32" s="14">
        <f>+ROUND(F32/VLOOKUP("Grand Total",$B$4:$F$285,5,0),4)</f>
        <v>5.0700000000000002E-2</v>
      </c>
      <c r="H32" s="15">
        <v>43346</v>
      </c>
    </row>
    <row r="33" spans="2:9" ht="12.75" customHeight="1" x14ac:dyDescent="0.2">
      <c r="B33" s="16" t="s">
        <v>92</v>
      </c>
      <c r="C33" s="16"/>
      <c r="F33" s="13">
        <v>42.472398699999985</v>
      </c>
      <c r="G33" s="14">
        <f>+ROUND(F33/VLOOKUP("Grand Total",$B$4:$F$285,5,0),4)-0.01%</f>
        <v>2.1399999999999999E-2</v>
      </c>
      <c r="H33" s="15"/>
    </row>
    <row r="34" spans="2:9" ht="12.75" customHeight="1" x14ac:dyDescent="0.2">
      <c r="B34" s="18" t="s">
        <v>82</v>
      </c>
      <c r="C34" s="18"/>
      <c r="D34" s="18"/>
      <c r="E34" s="29"/>
      <c r="F34" s="19">
        <f>SUM(F32:F33)</f>
        <v>142.49920219999998</v>
      </c>
      <c r="G34" s="20">
        <f>SUM(G32:G33)</f>
        <v>7.2099999999999997E-2</v>
      </c>
      <c r="H34" s="21"/>
      <c r="I34" s="35"/>
    </row>
    <row r="35" spans="2:9" ht="12.75" customHeight="1" x14ac:dyDescent="0.2">
      <c r="B35" s="22" t="s">
        <v>93</v>
      </c>
      <c r="C35" s="22"/>
      <c r="D35" s="22"/>
      <c r="E35" s="30"/>
      <c r="F35" s="23">
        <f>+SUMIF($B$5:B34,"Total",$F$5:F34)</f>
        <v>1974.2229622</v>
      </c>
      <c r="G35" s="24">
        <f>+SUMIF($B$5:B34,"Total",$G$5:G34)</f>
        <v>1</v>
      </c>
      <c r="H35" s="25"/>
      <c r="I35" s="35"/>
    </row>
    <row r="36" spans="2:9" ht="12.75" customHeight="1" x14ac:dyDescent="0.2"/>
    <row r="37" spans="2:9" ht="12.75" customHeight="1" x14ac:dyDescent="0.2">
      <c r="B37" s="16" t="s">
        <v>483</v>
      </c>
      <c r="C37" s="16"/>
    </row>
    <row r="38" spans="2:9" ht="12.75" customHeight="1" x14ac:dyDescent="0.2">
      <c r="B38" s="16" t="s">
        <v>166</v>
      </c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>
      <c r="B41" s="16"/>
      <c r="C41" s="16"/>
    </row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7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328</v>
      </c>
      <c r="B1" s="128" t="s">
        <v>746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+MAX($A$7:A8)+1</f>
        <v>1</v>
      </c>
      <c r="B9" t="s">
        <v>170</v>
      </c>
      <c r="C9" t="s">
        <v>12</v>
      </c>
      <c r="D9" t="s">
        <v>9</v>
      </c>
      <c r="E9" s="28">
        <v>304203</v>
      </c>
      <c r="F9" s="13">
        <v>6270.2322359999998</v>
      </c>
      <c r="G9" s="14">
        <f t="shared" ref="G9:G40" si="0">+ROUND(F9/VLOOKUP("Grand Total",$B$4:$F$319,5,0),4)</f>
        <v>3.8800000000000001E-2</v>
      </c>
      <c r="H9" s="15" t="s">
        <v>313</v>
      </c>
      <c r="I9" s="106"/>
      <c r="J9" s="14" t="s">
        <v>9</v>
      </c>
      <c r="K9" s="48">
        <f t="shared" ref="K9:K47" si="1">SUMIFS($G$5:$G$357,$D$5:$D$357,J9)</f>
        <v>0.13019999999999998</v>
      </c>
    </row>
    <row r="10" spans="1:16" ht="12.75" customHeight="1" x14ac:dyDescent="0.2">
      <c r="A10">
        <f>+MAX($A$7:A9)+1</f>
        <v>2</v>
      </c>
      <c r="B10" t="s">
        <v>172</v>
      </c>
      <c r="C10" t="s">
        <v>29</v>
      </c>
      <c r="D10" t="s">
        <v>28</v>
      </c>
      <c r="E10" s="28">
        <v>484300</v>
      </c>
      <c r="F10" s="13">
        <v>6013.31095</v>
      </c>
      <c r="G10" s="14">
        <f t="shared" si="0"/>
        <v>3.7199999999999997E-2</v>
      </c>
      <c r="H10" s="15" t="s">
        <v>313</v>
      </c>
      <c r="I10" s="106"/>
      <c r="J10" s="14" t="s">
        <v>24</v>
      </c>
      <c r="K10" s="48">
        <f t="shared" si="1"/>
        <v>0.11420000000000001</v>
      </c>
    </row>
    <row r="11" spans="1:16" ht="12.75" customHeight="1" x14ac:dyDescent="0.2">
      <c r="A11">
        <f>+MAX($A$7:A10)+1</f>
        <v>3</v>
      </c>
      <c r="B11" t="s">
        <v>171</v>
      </c>
      <c r="C11" t="s">
        <v>14</v>
      </c>
      <c r="D11" t="s">
        <v>13</v>
      </c>
      <c r="E11" s="28">
        <v>336500</v>
      </c>
      <c r="F11" s="13">
        <v>4849.3014999999996</v>
      </c>
      <c r="G11" s="14">
        <f t="shared" si="0"/>
        <v>0.03</v>
      </c>
      <c r="H11" s="15" t="s">
        <v>313</v>
      </c>
      <c r="I11" s="106"/>
      <c r="J11" s="14" t="s">
        <v>13</v>
      </c>
      <c r="K11" s="48">
        <f t="shared" si="1"/>
        <v>8.0599999999999991E-2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179</v>
      </c>
      <c r="C12" t="s">
        <v>44</v>
      </c>
      <c r="D12" t="s">
        <v>24</v>
      </c>
      <c r="E12" s="28">
        <v>1429532</v>
      </c>
      <c r="F12" s="13">
        <v>4572.3581020000001</v>
      </c>
      <c r="G12" s="14">
        <f t="shared" si="0"/>
        <v>2.8299999999999999E-2</v>
      </c>
      <c r="H12" s="15" t="s">
        <v>313</v>
      </c>
      <c r="I12" s="106"/>
      <c r="J12" t="s">
        <v>104</v>
      </c>
      <c r="K12" s="48">
        <f t="shared" si="1"/>
        <v>5.9699999999999996E-2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194</v>
      </c>
      <c r="C13" t="s">
        <v>18</v>
      </c>
      <c r="D13" t="s">
        <v>13</v>
      </c>
      <c r="E13" s="28">
        <v>187518</v>
      </c>
      <c r="F13" s="13">
        <v>3897.374112</v>
      </c>
      <c r="G13" s="14">
        <f t="shared" si="0"/>
        <v>2.41E-2</v>
      </c>
      <c r="H13" s="15" t="s">
        <v>313</v>
      </c>
      <c r="I13" s="106"/>
      <c r="J13" s="14" t="s">
        <v>22</v>
      </c>
      <c r="K13" s="48">
        <f t="shared" si="1"/>
        <v>5.1200000000000002E-2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336</v>
      </c>
      <c r="C14" t="s">
        <v>335</v>
      </c>
      <c r="D14" t="s">
        <v>24</v>
      </c>
      <c r="E14" s="28">
        <v>767307</v>
      </c>
      <c r="F14" s="13">
        <v>3673.4822625000002</v>
      </c>
      <c r="G14" s="14">
        <f t="shared" si="0"/>
        <v>2.2700000000000001E-2</v>
      </c>
      <c r="H14" s="15" t="s">
        <v>313</v>
      </c>
      <c r="I14" s="106"/>
      <c r="J14" s="14" t="s">
        <v>345</v>
      </c>
      <c r="K14" s="48">
        <f t="shared" si="1"/>
        <v>4.6400000000000004E-2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173</v>
      </c>
      <c r="C15" t="s">
        <v>10</v>
      </c>
      <c r="D15" t="s">
        <v>9</v>
      </c>
      <c r="E15" s="28">
        <v>1059976</v>
      </c>
      <c r="F15" s="13">
        <v>3631.4777760000002</v>
      </c>
      <c r="G15" s="14">
        <f t="shared" si="0"/>
        <v>2.2499999999999999E-2</v>
      </c>
      <c r="H15" s="15" t="s">
        <v>313</v>
      </c>
      <c r="I15" s="106"/>
      <c r="J15" s="14" t="s">
        <v>255</v>
      </c>
      <c r="K15" s="48">
        <f t="shared" si="1"/>
        <v>4.2999999999999997E-2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15</v>
      </c>
      <c r="C16" t="s">
        <v>16</v>
      </c>
      <c r="D16" t="s">
        <v>9</v>
      </c>
      <c r="E16" s="28">
        <v>1041466</v>
      </c>
      <c r="F16" s="13">
        <v>3224.3787360000001</v>
      </c>
      <c r="G16" s="14">
        <f t="shared" si="0"/>
        <v>0.02</v>
      </c>
      <c r="H16" s="15" t="s">
        <v>313</v>
      </c>
      <c r="I16" s="106"/>
      <c r="J16" s="14" t="s">
        <v>28</v>
      </c>
      <c r="K16" s="48">
        <f t="shared" si="1"/>
        <v>3.7199999999999997E-2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176</v>
      </c>
      <c r="C17" t="s">
        <v>25</v>
      </c>
      <c r="D17" t="s">
        <v>22</v>
      </c>
      <c r="E17" s="28">
        <v>165000</v>
      </c>
      <c r="F17" s="13">
        <v>3194.3175000000001</v>
      </c>
      <c r="G17" s="14">
        <f t="shared" si="0"/>
        <v>1.9800000000000002E-2</v>
      </c>
      <c r="H17" s="15" t="s">
        <v>313</v>
      </c>
      <c r="I17" s="106"/>
      <c r="J17" s="14" t="s">
        <v>34</v>
      </c>
      <c r="K17" s="48">
        <f t="shared" si="1"/>
        <v>3.5999999999999997E-2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454</v>
      </c>
      <c r="C18" t="s">
        <v>455</v>
      </c>
      <c r="D18" t="s">
        <v>24</v>
      </c>
      <c r="E18" s="28">
        <v>34690</v>
      </c>
      <c r="F18" s="13">
        <v>2673.0206050000002</v>
      </c>
      <c r="G18" s="14">
        <f t="shared" si="0"/>
        <v>1.66E-2</v>
      </c>
      <c r="H18" s="15" t="s">
        <v>313</v>
      </c>
      <c r="I18" s="106"/>
      <c r="J18" s="14" t="s">
        <v>149</v>
      </c>
      <c r="K18" s="48">
        <f t="shared" si="1"/>
        <v>3.4000000000000002E-2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210</v>
      </c>
      <c r="C19" t="s">
        <v>97</v>
      </c>
      <c r="D19" t="s">
        <v>24</v>
      </c>
      <c r="E19" s="28">
        <v>149235</v>
      </c>
      <c r="F19" s="13">
        <v>2656.5322350000001</v>
      </c>
      <c r="G19" s="14">
        <f t="shared" si="0"/>
        <v>1.6500000000000001E-2</v>
      </c>
      <c r="H19" s="15" t="s">
        <v>313</v>
      </c>
      <c r="I19" s="106"/>
      <c r="J19" s="14" t="s">
        <v>306</v>
      </c>
      <c r="K19" s="48">
        <f t="shared" si="1"/>
        <v>2.1999999999999999E-2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221</v>
      </c>
      <c r="C20" t="s">
        <v>111</v>
      </c>
      <c r="D20" t="s">
        <v>34</v>
      </c>
      <c r="E20" s="28">
        <v>1438080</v>
      </c>
      <c r="F20" s="13">
        <v>2466.3072000000002</v>
      </c>
      <c r="G20" s="14">
        <f t="shared" si="0"/>
        <v>1.5299999999999999E-2</v>
      </c>
      <c r="H20" s="15" t="s">
        <v>313</v>
      </c>
      <c r="I20" s="106"/>
      <c r="J20" s="14" t="s">
        <v>369</v>
      </c>
      <c r="K20" s="48">
        <f t="shared" si="1"/>
        <v>2.1600000000000001E-2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452</v>
      </c>
      <c r="C21" t="s">
        <v>453</v>
      </c>
      <c r="D21" t="s">
        <v>34</v>
      </c>
      <c r="E21" s="28">
        <v>3181640</v>
      </c>
      <c r="F21" s="13">
        <v>2440.3178800000001</v>
      </c>
      <c r="G21" s="14">
        <f t="shared" si="0"/>
        <v>1.5100000000000001E-2</v>
      </c>
      <c r="H21" s="15" t="s">
        <v>313</v>
      </c>
      <c r="I21" s="106"/>
      <c r="J21" s="14" t="s">
        <v>19</v>
      </c>
      <c r="K21" s="48">
        <f t="shared" si="1"/>
        <v>2.07E-2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349</v>
      </c>
      <c r="C22" t="s">
        <v>350</v>
      </c>
      <c r="D22" t="s">
        <v>351</v>
      </c>
      <c r="E22" s="28">
        <v>1417943</v>
      </c>
      <c r="F22" s="13">
        <v>2341.7328644999998</v>
      </c>
      <c r="G22" s="14">
        <f t="shared" si="0"/>
        <v>1.4500000000000001E-2</v>
      </c>
      <c r="H22" s="15" t="s">
        <v>313</v>
      </c>
      <c r="I22" s="106"/>
      <c r="J22" s="14" t="s">
        <v>21</v>
      </c>
      <c r="K22" s="48">
        <f t="shared" si="1"/>
        <v>1.8000000000000002E-2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203</v>
      </c>
      <c r="C23" t="s">
        <v>69</v>
      </c>
      <c r="D23" t="s">
        <v>26</v>
      </c>
      <c r="E23" s="28">
        <v>167626</v>
      </c>
      <c r="F23" s="13">
        <v>2295.7218830000002</v>
      </c>
      <c r="G23" s="14">
        <f t="shared" si="0"/>
        <v>1.4200000000000001E-2</v>
      </c>
      <c r="H23" s="15" t="s">
        <v>313</v>
      </c>
      <c r="I23" s="106"/>
      <c r="J23" s="14" t="s">
        <v>39</v>
      </c>
      <c r="K23" s="48">
        <f t="shared" si="1"/>
        <v>1.77E-2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189</v>
      </c>
      <c r="C24" t="s">
        <v>72</v>
      </c>
      <c r="D24" t="s">
        <v>395</v>
      </c>
      <c r="E24" s="28">
        <v>1633488</v>
      </c>
      <c r="F24" s="13">
        <v>2241.9622800000002</v>
      </c>
      <c r="G24" s="14">
        <f t="shared" si="0"/>
        <v>1.3899999999999999E-2</v>
      </c>
      <c r="H24" s="15" t="s">
        <v>313</v>
      </c>
      <c r="I24" s="106"/>
      <c r="J24" s="14" t="s">
        <v>102</v>
      </c>
      <c r="K24" s="48">
        <f t="shared" si="1"/>
        <v>1.7000000000000001E-2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190</v>
      </c>
      <c r="C25" t="s">
        <v>94</v>
      </c>
      <c r="D25" t="s">
        <v>9</v>
      </c>
      <c r="E25" s="28">
        <v>162716</v>
      </c>
      <c r="F25" s="13">
        <v>2094.5617099999999</v>
      </c>
      <c r="G25" s="14">
        <f t="shared" si="0"/>
        <v>1.2999999999999999E-2</v>
      </c>
      <c r="H25" s="15" t="s">
        <v>313</v>
      </c>
      <c r="I25" s="106"/>
      <c r="J25" s="14" t="s">
        <v>43</v>
      </c>
      <c r="K25" s="48">
        <f t="shared" si="1"/>
        <v>1.6800000000000002E-2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206</v>
      </c>
      <c r="C26" t="s">
        <v>76</v>
      </c>
      <c r="D26" t="s">
        <v>49</v>
      </c>
      <c r="E26" s="28">
        <v>719568</v>
      </c>
      <c r="F26" s="13">
        <v>2057.6046959999999</v>
      </c>
      <c r="G26" s="14">
        <f t="shared" si="0"/>
        <v>1.2699999999999999E-2</v>
      </c>
      <c r="H26" s="15" t="s">
        <v>313</v>
      </c>
      <c r="I26" s="106"/>
      <c r="J26" s="14" t="s">
        <v>17</v>
      </c>
      <c r="K26" s="48">
        <f t="shared" si="1"/>
        <v>1.6799999999999999E-2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522</v>
      </c>
      <c r="C27" t="s">
        <v>523</v>
      </c>
      <c r="D27" t="s">
        <v>22</v>
      </c>
      <c r="E27" s="28">
        <v>539864</v>
      </c>
      <c r="F27" s="13">
        <v>2026.3795239999999</v>
      </c>
      <c r="G27" s="14">
        <f t="shared" si="0"/>
        <v>1.2500000000000001E-2</v>
      </c>
      <c r="H27" s="15" t="s">
        <v>313</v>
      </c>
      <c r="I27" s="106"/>
      <c r="J27" s="14" t="s">
        <v>351</v>
      </c>
      <c r="K27" s="48">
        <f t="shared" si="1"/>
        <v>1.4500000000000001E-2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295</v>
      </c>
      <c r="C28" t="s">
        <v>521</v>
      </c>
      <c r="D28" t="s">
        <v>126</v>
      </c>
      <c r="E28" s="28">
        <v>825720</v>
      </c>
      <c r="F28" s="13">
        <v>1996.59096</v>
      </c>
      <c r="G28" s="14">
        <f t="shared" si="0"/>
        <v>1.24E-2</v>
      </c>
      <c r="H28" s="15" t="s">
        <v>313</v>
      </c>
      <c r="I28" s="106"/>
      <c r="J28" s="14" t="s">
        <v>26</v>
      </c>
      <c r="K28" s="48">
        <f t="shared" si="1"/>
        <v>1.4200000000000001E-2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408</v>
      </c>
      <c r="C29" t="s">
        <v>409</v>
      </c>
      <c r="D29" t="s">
        <v>22</v>
      </c>
      <c r="E29" s="28">
        <v>403000</v>
      </c>
      <c r="F29" s="13">
        <v>1971.2745</v>
      </c>
      <c r="G29" s="14">
        <f t="shared" si="0"/>
        <v>1.2200000000000001E-2</v>
      </c>
      <c r="H29" s="15" t="s">
        <v>313</v>
      </c>
      <c r="I29" s="106"/>
      <c r="J29" s="14" t="s">
        <v>395</v>
      </c>
      <c r="K29" s="48">
        <f t="shared" si="1"/>
        <v>1.3899999999999999E-2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269</v>
      </c>
      <c r="C30" t="s">
        <v>55</v>
      </c>
      <c r="D30" t="s">
        <v>24</v>
      </c>
      <c r="E30" s="28">
        <v>93756</v>
      </c>
      <c r="F30" s="13">
        <v>1749.7682280000001</v>
      </c>
      <c r="G30" s="14">
        <f t="shared" si="0"/>
        <v>1.0800000000000001E-2</v>
      </c>
      <c r="H30" s="15" t="s">
        <v>313</v>
      </c>
      <c r="I30" s="106"/>
      <c r="J30" t="s">
        <v>49</v>
      </c>
      <c r="K30" s="48">
        <f t="shared" si="1"/>
        <v>1.2699999999999999E-2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435</v>
      </c>
      <c r="C31" t="s">
        <v>436</v>
      </c>
      <c r="D31" t="s">
        <v>43</v>
      </c>
      <c r="E31" s="28">
        <v>2321430</v>
      </c>
      <c r="F31" s="13">
        <v>1737.590355</v>
      </c>
      <c r="G31" s="14">
        <f t="shared" si="0"/>
        <v>1.0800000000000001E-2</v>
      </c>
      <c r="H31" s="15" t="s">
        <v>313</v>
      </c>
      <c r="I31" s="106"/>
      <c r="J31" t="s">
        <v>126</v>
      </c>
      <c r="K31" s="48">
        <f t="shared" si="1"/>
        <v>1.24E-2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211</v>
      </c>
      <c r="C32" t="s">
        <v>96</v>
      </c>
      <c r="D32" t="s">
        <v>19</v>
      </c>
      <c r="E32" s="28">
        <v>176563</v>
      </c>
      <c r="F32" s="13">
        <v>1704.3626390000002</v>
      </c>
      <c r="G32" s="14">
        <f t="shared" si="0"/>
        <v>1.06E-2</v>
      </c>
      <c r="H32" s="15" t="s">
        <v>313</v>
      </c>
      <c r="I32" s="106"/>
      <c r="J32" t="s">
        <v>45</v>
      </c>
      <c r="K32" s="48">
        <f t="shared" si="1"/>
        <v>1.0500000000000001E-2</v>
      </c>
      <c r="L32" s="54">
        <f>+SUM($K$9:K37)</f>
        <v>0.90610000000000013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226</v>
      </c>
      <c r="C33" t="s">
        <v>115</v>
      </c>
      <c r="D33" t="s">
        <v>45</v>
      </c>
      <c r="E33" s="28">
        <v>456666</v>
      </c>
      <c r="F33" s="13">
        <v>1699.7108519999999</v>
      </c>
      <c r="G33" s="14">
        <f t="shared" si="0"/>
        <v>1.0500000000000001E-2</v>
      </c>
      <c r="H33" s="15" t="s">
        <v>313</v>
      </c>
      <c r="I33" s="106"/>
      <c r="J33" s="14" t="s">
        <v>279</v>
      </c>
      <c r="K33" s="48">
        <f t="shared" si="1"/>
        <v>9.7000000000000003E-3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220</v>
      </c>
      <c r="C34" t="s">
        <v>109</v>
      </c>
      <c r="D34" t="s">
        <v>13</v>
      </c>
      <c r="E34" s="28">
        <v>217852</v>
      </c>
      <c r="F34" s="13">
        <v>1668.310616</v>
      </c>
      <c r="G34" s="14">
        <f t="shared" si="0"/>
        <v>1.03E-2</v>
      </c>
      <c r="H34" s="15" t="s">
        <v>313</v>
      </c>
      <c r="I34" s="106"/>
      <c r="J34" s="14" t="s">
        <v>688</v>
      </c>
      <c r="K34" s="48">
        <f t="shared" si="1"/>
        <v>9.2999999999999992E-3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195</v>
      </c>
      <c r="C35" t="s">
        <v>27</v>
      </c>
      <c r="D35" t="s">
        <v>9</v>
      </c>
      <c r="E35" s="28">
        <v>255419</v>
      </c>
      <c r="F35" s="13">
        <v>1658.3078575</v>
      </c>
      <c r="G35" s="14">
        <f t="shared" si="0"/>
        <v>1.03E-2</v>
      </c>
      <c r="H35" s="15" t="s">
        <v>313</v>
      </c>
      <c r="I35" s="106"/>
      <c r="J35" s="14" t="s">
        <v>155</v>
      </c>
      <c r="K35" s="48">
        <f t="shared" si="1"/>
        <v>8.9999999999999993E-3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228</v>
      </c>
      <c r="C36" t="s">
        <v>116</v>
      </c>
      <c r="D36" t="s">
        <v>17</v>
      </c>
      <c r="E36" s="28">
        <v>685300</v>
      </c>
      <c r="F36" s="13">
        <v>1653.97155</v>
      </c>
      <c r="G36" s="14">
        <f t="shared" si="0"/>
        <v>1.0200000000000001E-2</v>
      </c>
      <c r="H36" s="15" t="s">
        <v>313</v>
      </c>
      <c r="I36" s="106"/>
      <c r="J36" s="14" t="s">
        <v>98</v>
      </c>
      <c r="K36" s="48">
        <f t="shared" si="1"/>
        <v>8.5000000000000006E-3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193</v>
      </c>
      <c r="C37" t="s">
        <v>59</v>
      </c>
      <c r="D37" t="s">
        <v>21</v>
      </c>
      <c r="E37" s="28">
        <v>230760</v>
      </c>
      <c r="F37" s="13">
        <v>1644.7419</v>
      </c>
      <c r="G37" s="14">
        <f t="shared" si="0"/>
        <v>1.0200000000000001E-2</v>
      </c>
      <c r="H37" s="15" t="s">
        <v>313</v>
      </c>
      <c r="I37" s="106"/>
      <c r="J37" t="s">
        <v>135</v>
      </c>
      <c r="K37" s="48">
        <f t="shared" si="1"/>
        <v>8.3000000000000001E-3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187</v>
      </c>
      <c r="C38" t="s">
        <v>47</v>
      </c>
      <c r="D38" t="s">
        <v>19</v>
      </c>
      <c r="E38" s="28">
        <v>17944</v>
      </c>
      <c r="F38" s="13">
        <v>1632.258016</v>
      </c>
      <c r="G38" s="14">
        <f t="shared" si="0"/>
        <v>1.01E-2</v>
      </c>
      <c r="H38" s="15" t="s">
        <v>313</v>
      </c>
      <c r="I38" s="106"/>
      <c r="J38" s="14" t="s">
        <v>449</v>
      </c>
      <c r="K38" s="48">
        <f t="shared" si="1"/>
        <v>6.1999999999999998E-3</v>
      </c>
    </row>
    <row r="39" spans="1:16" ht="12.75" customHeight="1" x14ac:dyDescent="0.2">
      <c r="A39">
        <f>+MAX($A$7:A38)+1</f>
        <v>31</v>
      </c>
      <c r="B39" t="s">
        <v>181</v>
      </c>
      <c r="C39" t="s">
        <v>46</v>
      </c>
      <c r="D39" t="s">
        <v>24</v>
      </c>
      <c r="E39" s="28">
        <v>23276</v>
      </c>
      <c r="F39" s="13">
        <v>1568.04593</v>
      </c>
      <c r="G39" s="14">
        <f t="shared" si="0"/>
        <v>9.7000000000000003E-3</v>
      </c>
      <c r="H39" s="15" t="s">
        <v>313</v>
      </c>
      <c r="I39" s="106"/>
      <c r="J39" s="14" t="s">
        <v>445</v>
      </c>
      <c r="K39" s="48">
        <f t="shared" si="1"/>
        <v>4.3E-3</v>
      </c>
    </row>
    <row r="40" spans="1:16" ht="12.75" customHeight="1" x14ac:dyDescent="0.2">
      <c r="A40">
        <f>+MAX($A$7:A39)+1</f>
        <v>32</v>
      </c>
      <c r="B40" t="s">
        <v>586</v>
      </c>
      <c r="C40" t="s">
        <v>587</v>
      </c>
      <c r="D40" t="s">
        <v>24</v>
      </c>
      <c r="E40" s="28">
        <v>420000</v>
      </c>
      <c r="F40" s="13">
        <v>1551.69</v>
      </c>
      <c r="G40" s="14">
        <f t="shared" si="0"/>
        <v>9.5999999999999992E-3</v>
      </c>
      <c r="H40" s="15" t="s">
        <v>313</v>
      </c>
      <c r="I40" s="106"/>
      <c r="J40" t="s">
        <v>36</v>
      </c>
      <c r="K40" s="48">
        <f t="shared" si="1"/>
        <v>3.0999999999999999E-3</v>
      </c>
    </row>
    <row r="41" spans="1:16" ht="12.75" customHeight="1" x14ac:dyDescent="0.2">
      <c r="A41">
        <f>+MAX($A$7:A40)+1</f>
        <v>33</v>
      </c>
      <c r="B41" t="s">
        <v>246</v>
      </c>
      <c r="C41" t="s">
        <v>138</v>
      </c>
      <c r="D41" t="s">
        <v>39</v>
      </c>
      <c r="E41" s="28">
        <v>248594</v>
      </c>
      <c r="F41" s="13">
        <v>1534.943653</v>
      </c>
      <c r="G41" s="14">
        <f t="shared" ref="G41:G62" si="2">+ROUND(F41/VLOOKUP("Grand Total",$B$4:$F$319,5,0),4)</f>
        <v>9.4999999999999998E-3</v>
      </c>
      <c r="H41" s="15" t="s">
        <v>313</v>
      </c>
      <c r="I41" s="106"/>
      <c r="J41" s="89" t="s">
        <v>257</v>
      </c>
      <c r="K41" s="48">
        <f t="shared" si="1"/>
        <v>3.0999999999999999E-3</v>
      </c>
    </row>
    <row r="42" spans="1:16" ht="12.75" customHeight="1" x14ac:dyDescent="0.2">
      <c r="A42">
        <f>+MAX($A$7:A41)+1</f>
        <v>34</v>
      </c>
      <c r="B42" t="s">
        <v>238</v>
      </c>
      <c r="C42" t="s">
        <v>79</v>
      </c>
      <c r="D42" t="s">
        <v>13</v>
      </c>
      <c r="E42" s="28">
        <v>202500</v>
      </c>
      <c r="F42" s="13">
        <v>1476.0225</v>
      </c>
      <c r="G42" s="14">
        <f t="shared" si="2"/>
        <v>9.1000000000000004E-3</v>
      </c>
      <c r="H42" s="15" t="s">
        <v>313</v>
      </c>
      <c r="I42" s="106"/>
      <c r="J42" t="s">
        <v>512</v>
      </c>
      <c r="K42" s="48">
        <f t="shared" si="1"/>
        <v>3.0000000000000001E-3</v>
      </c>
    </row>
    <row r="43" spans="1:16" ht="12.75" customHeight="1" x14ac:dyDescent="0.2">
      <c r="A43">
        <f>+MAX($A$7:A42)+1</f>
        <v>35</v>
      </c>
      <c r="B43" s="65" t="s">
        <v>465</v>
      </c>
      <c r="C43" s="65" t="s">
        <v>346</v>
      </c>
      <c r="D43" t="s">
        <v>9</v>
      </c>
      <c r="E43" s="28">
        <v>1540000</v>
      </c>
      <c r="F43" s="13">
        <v>1441.44</v>
      </c>
      <c r="G43" s="14">
        <f t="shared" si="2"/>
        <v>8.8999999999999999E-3</v>
      </c>
      <c r="H43" s="15" t="s">
        <v>313</v>
      </c>
      <c r="I43" s="106"/>
      <c r="J43" t="s">
        <v>481</v>
      </c>
      <c r="K43" s="48">
        <f t="shared" si="1"/>
        <v>2.8999999999999998E-3</v>
      </c>
    </row>
    <row r="44" spans="1:16" ht="12.75" customHeight="1" x14ac:dyDescent="0.2">
      <c r="A44">
        <f>+MAX($A$7:A43)+1</f>
        <v>36</v>
      </c>
      <c r="B44" t="s">
        <v>456</v>
      </c>
      <c r="C44" t="s">
        <v>457</v>
      </c>
      <c r="D44" t="s">
        <v>102</v>
      </c>
      <c r="E44" s="28">
        <v>1740000</v>
      </c>
      <c r="F44" s="13">
        <v>1389.39</v>
      </c>
      <c r="G44" s="14">
        <f t="shared" si="2"/>
        <v>8.6E-3</v>
      </c>
      <c r="H44" s="15" t="s">
        <v>313</v>
      </c>
      <c r="I44" s="106"/>
      <c r="J44" s="14" t="s">
        <v>30</v>
      </c>
      <c r="K44" s="48">
        <f t="shared" si="1"/>
        <v>2.5999999999999999E-3</v>
      </c>
    </row>
    <row r="45" spans="1:16" ht="12.75" customHeight="1" x14ac:dyDescent="0.2">
      <c r="A45">
        <f>+MAX($A$7:A44)+1</f>
        <v>37</v>
      </c>
      <c r="B45" t="s">
        <v>224</v>
      </c>
      <c r="C45" t="s">
        <v>114</v>
      </c>
      <c r="D45" t="s">
        <v>98</v>
      </c>
      <c r="E45" s="28">
        <v>275000</v>
      </c>
      <c r="F45" s="13">
        <v>1374.8625</v>
      </c>
      <c r="G45" s="14">
        <f t="shared" si="2"/>
        <v>8.5000000000000006E-3</v>
      </c>
      <c r="H45" s="15" t="s">
        <v>313</v>
      </c>
      <c r="I45" s="106"/>
      <c r="J45" s="14" t="s">
        <v>482</v>
      </c>
      <c r="K45" s="48">
        <f t="shared" si="1"/>
        <v>1.9E-3</v>
      </c>
    </row>
    <row r="46" spans="1:16" ht="12.75" customHeight="1" x14ac:dyDescent="0.2">
      <c r="A46">
        <f>+MAX($A$7:A45)+1</f>
        <v>38</v>
      </c>
      <c r="B46" t="s">
        <v>468</v>
      </c>
      <c r="C46" t="s">
        <v>469</v>
      </c>
      <c r="D46" t="s">
        <v>102</v>
      </c>
      <c r="E46" s="28">
        <v>1500000</v>
      </c>
      <c r="F46" s="13">
        <v>1362</v>
      </c>
      <c r="G46" s="14">
        <f t="shared" si="2"/>
        <v>8.3999999999999995E-3</v>
      </c>
      <c r="H46" s="15" t="s">
        <v>313</v>
      </c>
      <c r="I46" s="106"/>
      <c r="J46" t="s">
        <v>694</v>
      </c>
      <c r="K46" s="48">
        <f t="shared" si="1"/>
        <v>5.9999999999999995E-4</v>
      </c>
    </row>
    <row r="47" spans="1:16" ht="12.75" customHeight="1" x14ac:dyDescent="0.2">
      <c r="A47">
        <f>+MAX($A$7:A46)+1</f>
        <v>39</v>
      </c>
      <c r="B47" t="s">
        <v>276</v>
      </c>
      <c r="C47" t="s">
        <v>277</v>
      </c>
      <c r="D47" t="s">
        <v>135</v>
      </c>
      <c r="E47" s="28">
        <v>235933</v>
      </c>
      <c r="F47" s="13">
        <v>1337.0323109999999</v>
      </c>
      <c r="G47" s="14">
        <f t="shared" si="2"/>
        <v>8.3000000000000001E-3</v>
      </c>
      <c r="H47" s="15" t="s">
        <v>313</v>
      </c>
      <c r="I47" s="106"/>
      <c r="J47" s="14" t="s">
        <v>357</v>
      </c>
      <c r="K47" s="48">
        <f t="shared" si="1"/>
        <v>2.0000000000000001E-4</v>
      </c>
    </row>
    <row r="48" spans="1:16" ht="12.75" customHeight="1" x14ac:dyDescent="0.2">
      <c r="A48">
        <f>+MAX($A$7:A47)+1</f>
        <v>40</v>
      </c>
      <c r="B48" t="s">
        <v>38</v>
      </c>
      <c r="C48" t="s">
        <v>40</v>
      </c>
      <c r="D48" t="s">
        <v>9</v>
      </c>
      <c r="E48" s="28">
        <v>841699</v>
      </c>
      <c r="F48" s="13">
        <v>1287.3786204999999</v>
      </c>
      <c r="G48" s="14">
        <f t="shared" si="2"/>
        <v>8.0000000000000002E-3</v>
      </c>
      <c r="H48" s="15" t="s">
        <v>313</v>
      </c>
      <c r="I48" s="106"/>
      <c r="J48" s="14" t="s">
        <v>62</v>
      </c>
      <c r="K48" s="48">
        <f>+SUMIFS($G$5:$G$1002,$B$5:$B$1002,"CBLO / Reverse Repo")+SUMIFS($G$5:$G$1002,$B$5:$B$1002,"Net Receivable/Payable")</f>
        <v>6.6000000000000003E-2</v>
      </c>
    </row>
    <row r="49" spans="1:11" ht="12.75" customHeight="1" x14ac:dyDescent="0.2">
      <c r="A49">
        <f>+MAX($A$7:A48)+1</f>
        <v>41</v>
      </c>
      <c r="B49" t="s">
        <v>354</v>
      </c>
      <c r="C49" t="s">
        <v>66</v>
      </c>
      <c r="D49" t="s">
        <v>21</v>
      </c>
      <c r="E49" s="28">
        <v>193514</v>
      </c>
      <c r="F49" s="13">
        <v>1263.356149</v>
      </c>
      <c r="G49" s="14">
        <f t="shared" si="2"/>
        <v>7.7999999999999996E-3</v>
      </c>
      <c r="H49" s="15" t="s">
        <v>313</v>
      </c>
      <c r="I49" s="106"/>
      <c r="K49" s="48"/>
    </row>
    <row r="50" spans="1:11" ht="12.75" customHeight="1" x14ac:dyDescent="0.2">
      <c r="A50">
        <f>+MAX($A$7:A49)+1</f>
        <v>42</v>
      </c>
      <c r="B50" t="s">
        <v>175</v>
      </c>
      <c r="C50" t="s">
        <v>23</v>
      </c>
      <c r="D50" t="s">
        <v>13</v>
      </c>
      <c r="E50" s="28">
        <v>109737</v>
      </c>
      <c r="F50" s="13">
        <v>1148.3428365</v>
      </c>
      <c r="G50" s="14">
        <f t="shared" si="2"/>
        <v>7.1000000000000004E-3</v>
      </c>
      <c r="H50" s="15" t="s">
        <v>313</v>
      </c>
      <c r="I50" s="106"/>
      <c r="J50" s="14"/>
      <c r="K50" s="48"/>
    </row>
    <row r="51" spans="1:11" ht="12.75" customHeight="1" x14ac:dyDescent="0.2">
      <c r="A51">
        <f>+MAX($A$7:A50)+1</f>
        <v>43</v>
      </c>
      <c r="B51" t="s">
        <v>371</v>
      </c>
      <c r="C51" t="s">
        <v>372</v>
      </c>
      <c r="D51" t="s">
        <v>22</v>
      </c>
      <c r="E51" s="28">
        <v>712097</v>
      </c>
      <c r="F51" s="13">
        <v>1089.8644585</v>
      </c>
      <c r="G51" s="14">
        <f t="shared" si="2"/>
        <v>6.7000000000000002E-3</v>
      </c>
      <c r="H51" s="15" t="s">
        <v>313</v>
      </c>
      <c r="I51" s="106"/>
      <c r="J51" s="14"/>
      <c r="K51" s="48"/>
    </row>
    <row r="52" spans="1:11" ht="12.75" customHeight="1" x14ac:dyDescent="0.2">
      <c r="A52">
        <f>+MAX($A$7:A51)+1</f>
        <v>44</v>
      </c>
      <c r="B52" t="s">
        <v>201</v>
      </c>
      <c r="C52" t="s">
        <v>68</v>
      </c>
      <c r="D52" t="s">
        <v>9</v>
      </c>
      <c r="E52" s="28">
        <v>1206552</v>
      </c>
      <c r="F52" s="13">
        <v>978.51367200000004</v>
      </c>
      <c r="G52" s="14">
        <f t="shared" si="2"/>
        <v>6.1000000000000004E-3</v>
      </c>
      <c r="H52" s="15" t="s">
        <v>313</v>
      </c>
      <c r="I52" s="106"/>
      <c r="K52" s="48"/>
    </row>
    <row r="53" spans="1:11" ht="12.75" customHeight="1" x14ac:dyDescent="0.2">
      <c r="A53">
        <f>+MAX($A$7:A52)+1</f>
        <v>45</v>
      </c>
      <c r="B53" t="s">
        <v>208</v>
      </c>
      <c r="C53" t="s">
        <v>78</v>
      </c>
      <c r="D53" t="s">
        <v>43</v>
      </c>
      <c r="E53" s="28">
        <v>322378</v>
      </c>
      <c r="F53" s="13">
        <v>965.68329900000003</v>
      </c>
      <c r="G53" s="14">
        <f t="shared" si="2"/>
        <v>6.0000000000000001E-3</v>
      </c>
      <c r="H53" s="15" t="s">
        <v>313</v>
      </c>
      <c r="I53" s="106"/>
      <c r="J53" s="14"/>
      <c r="K53" s="48"/>
    </row>
    <row r="54" spans="1:11" ht="12.75" customHeight="1" x14ac:dyDescent="0.2">
      <c r="A54">
        <f>+MAX($A$7:A53)+1</f>
        <v>46</v>
      </c>
      <c r="B54" t="s">
        <v>218</v>
      </c>
      <c r="C54" t="s">
        <v>110</v>
      </c>
      <c r="D54" t="s">
        <v>34</v>
      </c>
      <c r="E54" s="28">
        <v>450000</v>
      </c>
      <c r="F54" s="13">
        <v>906.75</v>
      </c>
      <c r="G54" s="14">
        <f t="shared" si="2"/>
        <v>5.5999999999999999E-3</v>
      </c>
      <c r="H54" s="15" t="s">
        <v>313</v>
      </c>
      <c r="I54" s="106"/>
    </row>
    <row r="55" spans="1:11" ht="12.75" customHeight="1" x14ac:dyDescent="0.2">
      <c r="A55">
        <f>+MAX($A$7:A54)+1</f>
        <v>47</v>
      </c>
      <c r="B55" t="s">
        <v>184</v>
      </c>
      <c r="C55" t="s">
        <v>50</v>
      </c>
      <c r="D55" t="s">
        <v>39</v>
      </c>
      <c r="E55" s="28">
        <v>963614</v>
      </c>
      <c r="F55" s="13">
        <v>821.48093500000004</v>
      </c>
      <c r="G55" s="14">
        <f t="shared" si="2"/>
        <v>5.1000000000000004E-3</v>
      </c>
      <c r="H55" s="15" t="s">
        <v>313</v>
      </c>
      <c r="I55" s="106"/>
    </row>
    <row r="56" spans="1:11" ht="12.75" customHeight="1" x14ac:dyDescent="0.2">
      <c r="A56">
        <f>+MAX($A$7:A55)+1</f>
        <v>48</v>
      </c>
      <c r="B56" t="s">
        <v>271</v>
      </c>
      <c r="C56" t="s">
        <v>65</v>
      </c>
      <c r="D56" t="s">
        <v>17</v>
      </c>
      <c r="E56" s="28">
        <v>600000</v>
      </c>
      <c r="F56" s="13">
        <v>758.4</v>
      </c>
      <c r="G56" s="14">
        <f t="shared" si="2"/>
        <v>4.7000000000000002E-3</v>
      </c>
      <c r="H56" s="15" t="s">
        <v>313</v>
      </c>
      <c r="I56" s="106"/>
    </row>
    <row r="57" spans="1:11" ht="12.75" customHeight="1" x14ac:dyDescent="0.2">
      <c r="A57">
        <f>+MAX($A$7:A56)+1</f>
        <v>49</v>
      </c>
      <c r="B57" t="s">
        <v>270</v>
      </c>
      <c r="C57" t="s">
        <v>74</v>
      </c>
      <c r="D57" t="s">
        <v>36</v>
      </c>
      <c r="E57" s="28">
        <v>146336</v>
      </c>
      <c r="F57" s="13">
        <v>499.07892799999996</v>
      </c>
      <c r="G57" s="14">
        <f t="shared" si="2"/>
        <v>3.0999999999999999E-3</v>
      </c>
      <c r="H57" s="15" t="s">
        <v>313</v>
      </c>
      <c r="I57" s="106"/>
    </row>
    <row r="58" spans="1:11" ht="12.75" customHeight="1" x14ac:dyDescent="0.2">
      <c r="A58">
        <f>+MAX($A$7:A57)+1</f>
        <v>50</v>
      </c>
      <c r="B58" t="s">
        <v>386</v>
      </c>
      <c r="C58" t="s">
        <v>387</v>
      </c>
      <c r="D58" t="s">
        <v>39</v>
      </c>
      <c r="E58" s="28">
        <v>165000</v>
      </c>
      <c r="F58" s="13">
        <v>495.99</v>
      </c>
      <c r="G58" s="14">
        <f t="shared" si="2"/>
        <v>3.0999999999999999E-3</v>
      </c>
      <c r="H58" s="15" t="s">
        <v>313</v>
      </c>
      <c r="I58" s="106"/>
    </row>
    <row r="59" spans="1:11" ht="12.75" customHeight="1" x14ac:dyDescent="0.2">
      <c r="A59">
        <f>+MAX($A$7:A58)+1</f>
        <v>51</v>
      </c>
      <c r="B59" t="s">
        <v>414</v>
      </c>
      <c r="C59" t="s">
        <v>415</v>
      </c>
      <c r="D59" t="s">
        <v>30</v>
      </c>
      <c r="E59" s="28">
        <v>305000</v>
      </c>
      <c r="F59" s="13">
        <v>424.56</v>
      </c>
      <c r="G59" s="14">
        <f t="shared" si="2"/>
        <v>2.5999999999999999E-3</v>
      </c>
      <c r="H59" s="15" t="s">
        <v>313</v>
      </c>
      <c r="I59" s="106"/>
    </row>
    <row r="60" spans="1:11" ht="12.75" customHeight="1" x14ac:dyDescent="0.2">
      <c r="A60">
        <f>+MAX($A$7:A59)+1</f>
        <v>52</v>
      </c>
      <c r="B60" t="s">
        <v>437</v>
      </c>
      <c r="C60" t="s">
        <v>438</v>
      </c>
      <c r="D60" t="s">
        <v>9</v>
      </c>
      <c r="E60" s="28">
        <v>645520</v>
      </c>
      <c r="F60" s="13">
        <v>412.81004000000001</v>
      </c>
      <c r="G60" s="14">
        <f t="shared" si="2"/>
        <v>2.5999999999999999E-3</v>
      </c>
      <c r="H60" s="15" t="s">
        <v>313</v>
      </c>
      <c r="I60" s="106"/>
    </row>
    <row r="61" spans="1:11" ht="12.75" customHeight="1" x14ac:dyDescent="0.2">
      <c r="A61">
        <f>+MAX($A$7:A60)+1</f>
        <v>53</v>
      </c>
      <c r="B61" t="s">
        <v>289</v>
      </c>
      <c r="C61" t="s">
        <v>290</v>
      </c>
      <c r="D61" t="s">
        <v>17</v>
      </c>
      <c r="E61" s="28">
        <v>39494</v>
      </c>
      <c r="F61" s="13">
        <v>300.27288199999998</v>
      </c>
      <c r="G61" s="14">
        <f t="shared" si="2"/>
        <v>1.9E-3</v>
      </c>
      <c r="H61" s="15" t="s">
        <v>313</v>
      </c>
      <c r="I61" s="106"/>
    </row>
    <row r="62" spans="1:11" ht="12.75" customHeight="1" x14ac:dyDescent="0.2">
      <c r="A62">
        <f>+MAX($A$7:A61)+1</f>
        <v>54</v>
      </c>
      <c r="B62" t="s">
        <v>355</v>
      </c>
      <c r="C62" t="s">
        <v>356</v>
      </c>
      <c r="D62" t="s">
        <v>357</v>
      </c>
      <c r="E62" s="28">
        <v>17235</v>
      </c>
      <c r="F62" s="13">
        <v>24.456465000000001</v>
      </c>
      <c r="G62" s="14">
        <f t="shared" si="2"/>
        <v>2.0000000000000001E-4</v>
      </c>
      <c r="H62" s="15" t="s">
        <v>313</v>
      </c>
      <c r="I62" s="106"/>
    </row>
    <row r="63" spans="1:11" ht="12.75" customHeight="1" x14ac:dyDescent="0.2">
      <c r="A63">
        <f>+MAX($A$7:A62)+1</f>
        <v>55</v>
      </c>
      <c r="B63" t="s">
        <v>448</v>
      </c>
      <c r="C63" t="s">
        <v>81</v>
      </c>
      <c r="D63" t="s">
        <v>98</v>
      </c>
      <c r="E63" s="28">
        <v>30579</v>
      </c>
      <c r="F63" s="13">
        <v>0</v>
      </c>
      <c r="G63" s="107" t="s">
        <v>430</v>
      </c>
      <c r="H63" s="15" t="s">
        <v>313</v>
      </c>
      <c r="I63" s="106"/>
    </row>
    <row r="64" spans="1:11" ht="12.75" customHeight="1" x14ac:dyDescent="0.2">
      <c r="B64" s="18" t="s">
        <v>82</v>
      </c>
      <c r="C64" s="18"/>
      <c r="D64" s="18"/>
      <c r="E64" s="29"/>
      <c r="F64" s="19">
        <f>SUM(F9:F63)</f>
        <v>106149.626705</v>
      </c>
      <c r="G64" s="20">
        <f>SUM(G9:G63)</f>
        <v>0.65730000000000022</v>
      </c>
      <c r="H64" s="21"/>
      <c r="I64" s="35"/>
    </row>
    <row r="65" spans="1:9" ht="12.75" customHeight="1" x14ac:dyDescent="0.2">
      <c r="F65" s="13"/>
      <c r="G65" s="14"/>
      <c r="H65" s="15"/>
    </row>
    <row r="66" spans="1:9" ht="12.75" customHeight="1" x14ac:dyDescent="0.2">
      <c r="B66" s="16" t="s">
        <v>88</v>
      </c>
      <c r="C66" s="16"/>
      <c r="F66" s="13"/>
      <c r="G66" s="14"/>
      <c r="H66" s="15"/>
    </row>
    <row r="67" spans="1:9" ht="12.75" customHeight="1" x14ac:dyDescent="0.2">
      <c r="B67" s="16" t="s">
        <v>519</v>
      </c>
      <c r="C67" s="16"/>
      <c r="F67" s="13"/>
      <c r="G67" s="14"/>
      <c r="H67" s="15"/>
    </row>
    <row r="68" spans="1:9" ht="12.75" customHeight="1" x14ac:dyDescent="0.2">
      <c r="A68">
        <f>+MAX($A$7:A67)+1</f>
        <v>56</v>
      </c>
      <c r="B68" s="65" t="s">
        <v>195</v>
      </c>
      <c r="C68" t="s">
        <v>529</v>
      </c>
      <c r="D68" t="s">
        <v>149</v>
      </c>
      <c r="E68" s="28">
        <v>2500</v>
      </c>
      <c r="F68" s="13">
        <v>2495.9724999999999</v>
      </c>
      <c r="G68" s="14">
        <f>+ROUND(F68/VLOOKUP("Grand Total",$B$4:$F$319,5,0),4)</f>
        <v>1.55E-2</v>
      </c>
      <c r="H68" s="15">
        <v>43353</v>
      </c>
      <c r="I68" s="106"/>
    </row>
    <row r="69" spans="1:9" ht="12.75" customHeight="1" x14ac:dyDescent="0.2">
      <c r="B69" s="18" t="s">
        <v>82</v>
      </c>
      <c r="C69" s="18"/>
      <c r="D69" s="18"/>
      <c r="E69" s="29"/>
      <c r="F69" s="19">
        <f>SUM(F68:F68)</f>
        <v>2495.9724999999999</v>
      </c>
      <c r="G69" s="20">
        <f>SUM(G68:G68)</f>
        <v>1.55E-2</v>
      </c>
      <c r="H69" s="21"/>
    </row>
    <row r="70" spans="1:9" ht="12.75" customHeight="1" x14ac:dyDescent="0.2">
      <c r="B70" s="16"/>
      <c r="C70" s="16"/>
      <c r="F70" s="13"/>
      <c r="G70" s="14"/>
      <c r="H70" s="15"/>
    </row>
    <row r="71" spans="1:9" ht="12.75" customHeight="1" x14ac:dyDescent="0.2">
      <c r="B71" s="16" t="s">
        <v>267</v>
      </c>
      <c r="C71" s="16"/>
      <c r="F71" s="13"/>
      <c r="G71" s="14"/>
      <c r="H71" s="15"/>
    </row>
    <row r="72" spans="1:9" ht="12.75" customHeight="1" x14ac:dyDescent="0.2">
      <c r="A72">
        <f>+MAX($A$7:A71)+1</f>
        <v>57</v>
      </c>
      <c r="B72" s="65" t="s">
        <v>630</v>
      </c>
      <c r="C72" t="s">
        <v>631</v>
      </c>
      <c r="D72" t="s">
        <v>255</v>
      </c>
      <c r="E72" s="28">
        <v>500</v>
      </c>
      <c r="F72" s="13">
        <v>2492.7449999999999</v>
      </c>
      <c r="G72" s="14">
        <f t="shared" ref="G72:G80" si="3">+ROUND(F72/VLOOKUP("Grand Total",$B$4:$F$319,5,0),4)</f>
        <v>1.54E-2</v>
      </c>
      <c r="H72" s="15">
        <v>43357</v>
      </c>
      <c r="I72" s="106"/>
    </row>
    <row r="73" spans="1:9" ht="12.75" customHeight="1" x14ac:dyDescent="0.2">
      <c r="A73">
        <f>+MAX($A$7:A72)+1</f>
        <v>58</v>
      </c>
      <c r="B73" s="65" t="s">
        <v>541</v>
      </c>
      <c r="C73" t="s">
        <v>713</v>
      </c>
      <c r="D73" t="s">
        <v>149</v>
      </c>
      <c r="E73" s="28">
        <v>500</v>
      </c>
      <c r="F73" s="13">
        <v>2485.4050000000002</v>
      </c>
      <c r="G73" s="14">
        <f t="shared" si="3"/>
        <v>1.54E-2</v>
      </c>
      <c r="H73" s="15">
        <v>43371</v>
      </c>
      <c r="I73" s="106"/>
    </row>
    <row r="74" spans="1:9" ht="12.75" customHeight="1" x14ac:dyDescent="0.2">
      <c r="A74">
        <f>+MAX($A$7:A73)+1</f>
        <v>59</v>
      </c>
      <c r="B74" s="65" t="s">
        <v>689</v>
      </c>
      <c r="C74" t="s">
        <v>690</v>
      </c>
      <c r="D74" t="s">
        <v>255</v>
      </c>
      <c r="E74" s="28">
        <v>400</v>
      </c>
      <c r="F74" s="13">
        <v>1989.7460000000001</v>
      </c>
      <c r="G74" s="14">
        <f t="shared" si="3"/>
        <v>1.23E-2</v>
      </c>
      <c r="H74" s="15">
        <v>43370</v>
      </c>
      <c r="I74" s="106"/>
    </row>
    <row r="75" spans="1:9" ht="12.75" customHeight="1" x14ac:dyDescent="0.2">
      <c r="A75">
        <f>+MAX($A$7:A74)+1</f>
        <v>60</v>
      </c>
      <c r="B75" s="65" t="s">
        <v>456</v>
      </c>
      <c r="C75" t="s">
        <v>714</v>
      </c>
      <c r="D75" t="s">
        <v>688</v>
      </c>
      <c r="E75" s="28">
        <v>300</v>
      </c>
      <c r="F75" s="13">
        <v>1499.1614999999999</v>
      </c>
      <c r="G75" s="14">
        <f t="shared" si="3"/>
        <v>9.2999999999999992E-3</v>
      </c>
      <c r="H75" s="15">
        <v>43347</v>
      </c>
      <c r="I75" s="106"/>
    </row>
    <row r="76" spans="1:9" ht="12.75" customHeight="1" x14ac:dyDescent="0.2">
      <c r="A76">
        <f>+MAX($A$7:A75)+1</f>
        <v>61</v>
      </c>
      <c r="B76" s="65" t="s">
        <v>715</v>
      </c>
      <c r="C76" t="s">
        <v>716</v>
      </c>
      <c r="D76" t="s">
        <v>255</v>
      </c>
      <c r="E76" s="28">
        <v>300</v>
      </c>
      <c r="F76" s="13">
        <v>1476.711</v>
      </c>
      <c r="G76" s="14">
        <f t="shared" si="3"/>
        <v>9.1000000000000004E-3</v>
      </c>
      <c r="H76" s="15">
        <v>43416</v>
      </c>
      <c r="I76" s="106"/>
    </row>
    <row r="77" spans="1:9" ht="12.75" customHeight="1" x14ac:dyDescent="0.2">
      <c r="A77">
        <f>+MAX($A$7:A76)+1</f>
        <v>62</v>
      </c>
      <c r="B77" s="65" t="s">
        <v>256</v>
      </c>
      <c r="C77" t="s">
        <v>443</v>
      </c>
      <c r="D77" t="s">
        <v>449</v>
      </c>
      <c r="E77" s="28">
        <v>200</v>
      </c>
      <c r="F77" s="13">
        <v>998.69899999999996</v>
      </c>
      <c r="G77" s="14">
        <f t="shared" si="3"/>
        <v>6.1999999999999998E-3</v>
      </c>
      <c r="H77" s="15">
        <v>43350</v>
      </c>
      <c r="I77" s="106"/>
    </row>
    <row r="78" spans="1:9" ht="12.75" customHeight="1" x14ac:dyDescent="0.2">
      <c r="A78">
        <f>+MAX($A$7:A77)+1</f>
        <v>63</v>
      </c>
      <c r="B78" s="65" t="s">
        <v>517</v>
      </c>
      <c r="C78" t="s">
        <v>650</v>
      </c>
      <c r="D78" t="s">
        <v>255</v>
      </c>
      <c r="E78" s="28">
        <v>200</v>
      </c>
      <c r="F78" s="13">
        <v>994.19100000000003</v>
      </c>
      <c r="G78" s="14">
        <f t="shared" si="3"/>
        <v>6.1999999999999998E-3</v>
      </c>
      <c r="H78" s="15">
        <v>43367</v>
      </c>
      <c r="I78" s="106"/>
    </row>
    <row r="79" spans="1:9" ht="12.75" customHeight="1" x14ac:dyDescent="0.2">
      <c r="A79">
        <f>+MAX($A$7:A78)+1</f>
        <v>64</v>
      </c>
      <c r="B79" s="65" t="s">
        <v>444</v>
      </c>
      <c r="C79" t="s">
        <v>652</v>
      </c>
      <c r="D79" t="s">
        <v>445</v>
      </c>
      <c r="E79" s="28">
        <v>140</v>
      </c>
      <c r="F79" s="13">
        <v>696.64419999999996</v>
      </c>
      <c r="G79" s="14">
        <f t="shared" si="3"/>
        <v>4.3E-3</v>
      </c>
      <c r="H79" s="15">
        <v>43362</v>
      </c>
      <c r="I79" s="106"/>
    </row>
    <row r="80" spans="1:9" ht="12.75" customHeight="1" x14ac:dyDescent="0.2">
      <c r="A80">
        <f>+MAX($A$7:A79)+1</f>
        <v>65</v>
      </c>
      <c r="B80" s="65" t="s">
        <v>452</v>
      </c>
      <c r="C80" t="s">
        <v>717</v>
      </c>
      <c r="D80" t="s">
        <v>149</v>
      </c>
      <c r="E80" s="28">
        <v>100</v>
      </c>
      <c r="F80" s="13">
        <v>495.05500000000001</v>
      </c>
      <c r="G80" s="14">
        <f t="shared" si="3"/>
        <v>3.0999999999999999E-3</v>
      </c>
      <c r="H80" s="15">
        <v>43392</v>
      </c>
      <c r="I80" s="106"/>
    </row>
    <row r="81" spans="1:9" ht="12.75" customHeight="1" x14ac:dyDescent="0.2">
      <c r="B81" s="18" t="s">
        <v>82</v>
      </c>
      <c r="C81" s="18"/>
      <c r="D81" s="18"/>
      <c r="E81" s="29"/>
      <c r="F81" s="19">
        <f>SUM(F72:F80)</f>
        <v>13128.3577</v>
      </c>
      <c r="G81" s="20">
        <f>SUM(G72:G80)</f>
        <v>8.1299999999999997E-2</v>
      </c>
      <c r="H81" s="21"/>
    </row>
    <row r="82" spans="1:9" ht="12.75" customHeight="1" x14ac:dyDescent="0.2">
      <c r="F82" s="13"/>
      <c r="G82" s="14"/>
      <c r="H82" s="15"/>
    </row>
    <row r="83" spans="1:9" ht="12.75" customHeight="1" x14ac:dyDescent="0.2">
      <c r="B83" s="16" t="s">
        <v>120</v>
      </c>
      <c r="C83" s="16"/>
      <c r="F83" s="13"/>
      <c r="G83" s="14"/>
      <c r="H83" s="15"/>
    </row>
    <row r="84" spans="1:9" ht="12.75" customHeight="1" x14ac:dyDescent="0.2">
      <c r="B84" s="31" t="s">
        <v>347</v>
      </c>
      <c r="C84" s="16"/>
      <c r="F84" s="13"/>
      <c r="G84" s="14"/>
      <c r="H84" s="15"/>
    </row>
    <row r="85" spans="1:9" ht="12.75" customHeight="1" x14ac:dyDescent="0.2">
      <c r="A85">
        <f>+MAX($A$7:A84)+1</f>
        <v>66</v>
      </c>
      <c r="B85" s="65" t="s">
        <v>776</v>
      </c>
      <c r="C85" t="s">
        <v>540</v>
      </c>
      <c r="D85" t="s">
        <v>369</v>
      </c>
      <c r="E85" s="28">
        <v>250</v>
      </c>
      <c r="F85" s="13">
        <v>2547.7750000000001</v>
      </c>
      <c r="G85" s="14">
        <f t="shared" ref="G85:G102" si="4">+ROUND(F85/VLOOKUP("Grand Total",$B$4:$F$319,5,0),4)</f>
        <v>1.5800000000000002E-2</v>
      </c>
      <c r="H85" s="15">
        <v>44739</v>
      </c>
      <c r="I85" s="106"/>
    </row>
    <row r="86" spans="1:9" ht="12.75" customHeight="1" x14ac:dyDescent="0.2">
      <c r="A86">
        <f>+MAX($A$7:A85)+1</f>
        <v>67</v>
      </c>
      <c r="B86" s="65" t="s">
        <v>627</v>
      </c>
      <c r="C86" t="s">
        <v>447</v>
      </c>
      <c r="D86" t="s">
        <v>104</v>
      </c>
      <c r="E86" s="28">
        <v>235</v>
      </c>
      <c r="F86" s="13">
        <v>2223.2574500000001</v>
      </c>
      <c r="G86" s="14">
        <f t="shared" si="4"/>
        <v>1.38E-2</v>
      </c>
      <c r="H86" s="15">
        <v>44804</v>
      </c>
      <c r="I86" s="106"/>
    </row>
    <row r="87" spans="1:9" ht="12.75" customHeight="1" x14ac:dyDescent="0.2">
      <c r="A87">
        <f>+MAX($A$7:A86)+1</f>
        <v>68</v>
      </c>
      <c r="B87" s="65" t="s">
        <v>763</v>
      </c>
      <c r="C87" t="s">
        <v>644</v>
      </c>
      <c r="D87" t="s">
        <v>306</v>
      </c>
      <c r="E87" s="28">
        <v>170000</v>
      </c>
      <c r="F87" s="13">
        <v>1670.4641999999999</v>
      </c>
      <c r="G87" s="14">
        <f t="shared" si="4"/>
        <v>1.03E-2</v>
      </c>
      <c r="H87" s="15">
        <v>44351</v>
      </c>
      <c r="I87" s="106"/>
    </row>
    <row r="88" spans="1:9" ht="12.75" customHeight="1" x14ac:dyDescent="0.2">
      <c r="A88">
        <f>+MAX($A$7:A87)+1</f>
        <v>69</v>
      </c>
      <c r="B88" s="65" t="s">
        <v>764</v>
      </c>
      <c r="C88" t="s">
        <v>706</v>
      </c>
      <c r="D88" t="s">
        <v>104</v>
      </c>
      <c r="E88" s="28">
        <v>170</v>
      </c>
      <c r="F88" s="13">
        <v>1642.3155999999999</v>
      </c>
      <c r="G88" s="14">
        <f t="shared" si="4"/>
        <v>1.0200000000000001E-2</v>
      </c>
      <c r="H88" s="15">
        <v>44942</v>
      </c>
      <c r="I88" s="106"/>
    </row>
    <row r="89" spans="1:9" ht="12.75" customHeight="1" x14ac:dyDescent="0.2">
      <c r="A89">
        <f>+MAX($A$7:A88)+1</f>
        <v>70</v>
      </c>
      <c r="B89" s="65" t="s">
        <v>777</v>
      </c>
      <c r="C89" t="s">
        <v>446</v>
      </c>
      <c r="D89" t="s">
        <v>104</v>
      </c>
      <c r="E89" s="28">
        <v>150</v>
      </c>
      <c r="F89" s="13">
        <v>1460.2739999999999</v>
      </c>
      <c r="G89" s="14">
        <f t="shared" si="4"/>
        <v>8.9999999999999993E-3</v>
      </c>
      <c r="H89" s="15">
        <v>44104</v>
      </c>
      <c r="I89" s="106"/>
    </row>
    <row r="90" spans="1:9" ht="12.75" customHeight="1" x14ac:dyDescent="0.2">
      <c r="A90">
        <f>+MAX($A$7:A89)+1</f>
        <v>71</v>
      </c>
      <c r="B90" s="65" t="s">
        <v>759</v>
      </c>
      <c r="C90" t="s">
        <v>428</v>
      </c>
      <c r="D90" t="s">
        <v>306</v>
      </c>
      <c r="E90" s="28">
        <v>140000</v>
      </c>
      <c r="F90" s="13">
        <v>1396.4566</v>
      </c>
      <c r="G90" s="14">
        <f t="shared" si="4"/>
        <v>8.6E-3</v>
      </c>
      <c r="H90" s="15">
        <v>43717</v>
      </c>
      <c r="I90" s="106"/>
    </row>
    <row r="91" spans="1:9" ht="12.75" customHeight="1" x14ac:dyDescent="0.2">
      <c r="A91">
        <f>+MAX($A$7:A90)+1</f>
        <v>72</v>
      </c>
      <c r="B91" s="65" t="s">
        <v>769</v>
      </c>
      <c r="C91" t="s">
        <v>473</v>
      </c>
      <c r="D91" t="s">
        <v>104</v>
      </c>
      <c r="E91" s="28">
        <v>125</v>
      </c>
      <c r="F91" s="13">
        <v>1246.5987500000001</v>
      </c>
      <c r="G91" s="14">
        <f t="shared" si="4"/>
        <v>7.7000000000000002E-3</v>
      </c>
      <c r="H91" s="15">
        <v>43584</v>
      </c>
      <c r="I91" s="106"/>
    </row>
    <row r="92" spans="1:9" ht="12.75" customHeight="1" x14ac:dyDescent="0.2">
      <c r="A92">
        <f>+MAX($A$7:A91)+1</f>
        <v>73</v>
      </c>
      <c r="B92" s="65" t="s">
        <v>778</v>
      </c>
      <c r="C92" t="s">
        <v>413</v>
      </c>
      <c r="D92" t="s">
        <v>104</v>
      </c>
      <c r="E92" s="28">
        <v>110</v>
      </c>
      <c r="F92" s="13">
        <v>1078.6974</v>
      </c>
      <c r="G92" s="14">
        <f t="shared" si="4"/>
        <v>6.7000000000000002E-3</v>
      </c>
      <c r="H92" s="15">
        <v>44091</v>
      </c>
      <c r="I92" s="106"/>
    </row>
    <row r="93" spans="1:9" ht="12.75" customHeight="1" x14ac:dyDescent="0.2">
      <c r="A93">
        <f>+MAX($A$7:A92)+1</f>
        <v>74</v>
      </c>
      <c r="B93" s="65" t="s">
        <v>760</v>
      </c>
      <c r="C93" t="s">
        <v>463</v>
      </c>
      <c r="D93" t="s">
        <v>104</v>
      </c>
      <c r="E93" s="28">
        <v>100</v>
      </c>
      <c r="F93" s="13">
        <v>991.30499999999995</v>
      </c>
      <c r="G93" s="14">
        <f t="shared" si="4"/>
        <v>6.1000000000000004E-3</v>
      </c>
      <c r="H93" s="15">
        <v>45042</v>
      </c>
      <c r="I93" s="106"/>
    </row>
    <row r="94" spans="1:9" ht="12.75" customHeight="1" x14ac:dyDescent="0.2">
      <c r="A94">
        <f>+MAX($A$7:A93)+1</f>
        <v>75</v>
      </c>
      <c r="B94" s="65" t="s">
        <v>779</v>
      </c>
      <c r="C94" t="s">
        <v>646</v>
      </c>
      <c r="D94" t="s">
        <v>369</v>
      </c>
      <c r="E94" s="28">
        <v>95</v>
      </c>
      <c r="F94" s="13">
        <v>942.62990000000002</v>
      </c>
      <c r="G94" s="14">
        <f t="shared" si="4"/>
        <v>5.7999999999999996E-3</v>
      </c>
      <c r="H94" s="15">
        <v>43616</v>
      </c>
      <c r="I94" s="106"/>
    </row>
    <row r="95" spans="1:9" ht="12.75" customHeight="1" x14ac:dyDescent="0.2">
      <c r="A95">
        <f>+MAX($A$7:A94)+1</f>
        <v>76</v>
      </c>
      <c r="B95" s="65" t="s">
        <v>780</v>
      </c>
      <c r="C95" t="s">
        <v>479</v>
      </c>
      <c r="D95" t="s">
        <v>104</v>
      </c>
      <c r="E95" s="28">
        <v>5</v>
      </c>
      <c r="F95" s="13">
        <v>499.80200000000002</v>
      </c>
      <c r="G95" s="14">
        <f t="shared" si="4"/>
        <v>3.0999999999999999E-3</v>
      </c>
      <c r="H95" s="15">
        <v>43367</v>
      </c>
      <c r="I95" s="106"/>
    </row>
    <row r="96" spans="1:9" ht="12.75" customHeight="1" x14ac:dyDescent="0.2">
      <c r="A96">
        <f>+MAX($A$7:A95)+1</f>
        <v>77</v>
      </c>
      <c r="B96" s="65" t="s">
        <v>759</v>
      </c>
      <c r="C96" t="s">
        <v>361</v>
      </c>
      <c r="D96" t="s">
        <v>306</v>
      </c>
      <c r="E96" s="28">
        <v>50000</v>
      </c>
      <c r="F96" s="13">
        <v>498.91199999999998</v>
      </c>
      <c r="G96" s="14">
        <f t="shared" si="4"/>
        <v>3.0999999999999999E-3</v>
      </c>
      <c r="H96" s="15">
        <v>43693</v>
      </c>
      <c r="I96" s="106"/>
    </row>
    <row r="97" spans="1:11" ht="12.75" customHeight="1" x14ac:dyDescent="0.2">
      <c r="A97">
        <f>+MAX($A$7:A96)+1</f>
        <v>78</v>
      </c>
      <c r="B97" s="65" t="s">
        <v>781</v>
      </c>
      <c r="C97" t="s">
        <v>373</v>
      </c>
      <c r="D97" t="s">
        <v>104</v>
      </c>
      <c r="E97" s="28">
        <v>5</v>
      </c>
      <c r="F97" s="13">
        <v>497.81450000000001</v>
      </c>
      <c r="G97" s="14">
        <f t="shared" si="4"/>
        <v>3.0999999999999999E-3</v>
      </c>
      <c r="H97" s="15">
        <v>43544</v>
      </c>
      <c r="I97" s="106"/>
    </row>
    <row r="98" spans="1:11" ht="12.75" customHeight="1" x14ac:dyDescent="0.2">
      <c r="A98">
        <f>+MAX($A$7:A97)+1</f>
        <v>79</v>
      </c>
      <c r="B98" s="65" t="s">
        <v>782</v>
      </c>
      <c r="C98" t="s">
        <v>488</v>
      </c>
      <c r="D98" t="s">
        <v>257</v>
      </c>
      <c r="E98" s="28">
        <v>50</v>
      </c>
      <c r="F98" s="13">
        <v>497.29349999999999</v>
      </c>
      <c r="G98" s="14">
        <f t="shared" si="4"/>
        <v>3.0999999999999999E-3</v>
      </c>
      <c r="H98" s="15">
        <v>43643</v>
      </c>
      <c r="I98" s="106"/>
    </row>
    <row r="99" spans="1:11" ht="12.75" customHeight="1" x14ac:dyDescent="0.2">
      <c r="A99">
        <f>+MAX($A$7:A98)+1</f>
        <v>80</v>
      </c>
      <c r="B99" s="65" t="s">
        <v>783</v>
      </c>
      <c r="C99" t="s">
        <v>511</v>
      </c>
      <c r="D99" t="s">
        <v>512</v>
      </c>
      <c r="E99" s="28">
        <v>50</v>
      </c>
      <c r="F99" s="13">
        <v>488.70350000000002</v>
      </c>
      <c r="G99" s="14">
        <f t="shared" si="4"/>
        <v>3.0000000000000001E-3</v>
      </c>
      <c r="H99" s="15">
        <v>45097</v>
      </c>
      <c r="I99" s="106"/>
    </row>
    <row r="100" spans="1:11" ht="12.75" customHeight="1" x14ac:dyDescent="0.2">
      <c r="A100">
        <f>+MAX($A$7:A99)+1</f>
        <v>81</v>
      </c>
      <c r="B100" s="65" t="s">
        <v>784</v>
      </c>
      <c r="C100" t="s">
        <v>487</v>
      </c>
      <c r="D100" t="s">
        <v>481</v>
      </c>
      <c r="E100" s="28">
        <v>70</v>
      </c>
      <c r="F100" s="13">
        <v>466.47019999999998</v>
      </c>
      <c r="G100" s="14">
        <f t="shared" si="4"/>
        <v>2.8999999999999998E-3</v>
      </c>
      <c r="H100" s="15">
        <v>43826</v>
      </c>
      <c r="I100" s="106"/>
    </row>
    <row r="101" spans="1:11" ht="12.75" customHeight="1" x14ac:dyDescent="0.2">
      <c r="A101">
        <f>+MAX($A$7:A100)+1</f>
        <v>82</v>
      </c>
      <c r="B101" s="65" t="s">
        <v>762</v>
      </c>
      <c r="C101" t="s">
        <v>380</v>
      </c>
      <c r="D101" t="s">
        <v>482</v>
      </c>
      <c r="E101" s="28">
        <v>30</v>
      </c>
      <c r="F101" s="13">
        <v>299.36160000000001</v>
      </c>
      <c r="G101" s="14">
        <f t="shared" si="4"/>
        <v>1.9E-3</v>
      </c>
      <c r="H101" s="15">
        <v>43469</v>
      </c>
      <c r="I101" s="106"/>
    </row>
    <row r="102" spans="1:11" ht="12.75" customHeight="1" x14ac:dyDescent="0.2">
      <c r="A102">
        <f>+MAX($A$7:A101)+1</f>
        <v>83</v>
      </c>
      <c r="B102" s="65" t="s">
        <v>785</v>
      </c>
      <c r="C102" t="s">
        <v>285</v>
      </c>
      <c r="D102" t="s">
        <v>694</v>
      </c>
      <c r="E102" s="28">
        <v>10</v>
      </c>
      <c r="F102" s="13">
        <v>100.2205</v>
      </c>
      <c r="G102" s="14">
        <f t="shared" si="4"/>
        <v>5.9999999999999995E-4</v>
      </c>
      <c r="H102" s="15">
        <v>43621</v>
      </c>
      <c r="I102" s="106"/>
    </row>
    <row r="103" spans="1:11" ht="12.75" customHeight="1" x14ac:dyDescent="0.2">
      <c r="B103" s="18" t="s">
        <v>82</v>
      </c>
      <c r="C103" s="18"/>
      <c r="D103" s="18"/>
      <c r="E103" s="29"/>
      <c r="F103" s="19">
        <f>SUM(F85:F102)</f>
        <v>18548.351699999999</v>
      </c>
      <c r="G103" s="20">
        <f>SUM(G85:G102)</f>
        <v>0.11480000000000003</v>
      </c>
      <c r="H103" s="21"/>
    </row>
    <row r="104" spans="1:11" ht="12.75" customHeight="1" x14ac:dyDescent="0.2">
      <c r="F104" s="13"/>
      <c r="G104" s="14"/>
      <c r="H104" s="15"/>
    </row>
    <row r="105" spans="1:11" ht="12.75" customHeight="1" x14ac:dyDescent="0.2">
      <c r="B105" s="16" t="s">
        <v>546</v>
      </c>
      <c r="C105" s="16"/>
      <c r="F105" s="13"/>
      <c r="G105" s="14"/>
      <c r="H105" s="15"/>
    </row>
    <row r="106" spans="1:11" ht="12.75" customHeight="1" x14ac:dyDescent="0.2">
      <c r="A106">
        <f>+MAX($A$7:A105)+1</f>
        <v>84</v>
      </c>
      <c r="B106" s="65" t="s">
        <v>626</v>
      </c>
      <c r="C106" t="s">
        <v>429</v>
      </c>
      <c r="D106" t="s">
        <v>155</v>
      </c>
      <c r="E106" s="28">
        <v>150</v>
      </c>
      <c r="F106" s="13">
        <v>1447.539</v>
      </c>
      <c r="G106" s="14">
        <f>+ROUND(F106/VLOOKUP("Grand Total",$B$4:$F$319,5,0),4)</f>
        <v>8.9999999999999993E-3</v>
      </c>
      <c r="H106" s="15">
        <v>44376</v>
      </c>
    </row>
    <row r="107" spans="1:11" ht="12.75" customHeight="1" x14ac:dyDescent="0.2">
      <c r="B107" s="18" t="s">
        <v>82</v>
      </c>
      <c r="C107" s="18"/>
      <c r="D107" s="18"/>
      <c r="E107" s="29"/>
      <c r="F107" s="19">
        <f>SUM(F106:F106)</f>
        <v>1447.539</v>
      </c>
      <c r="G107" s="20">
        <f>SUM(G106:G106)</f>
        <v>8.9999999999999993E-3</v>
      </c>
      <c r="H107" s="21"/>
    </row>
    <row r="108" spans="1:11" s="46" customFormat="1" ht="12.75" customHeight="1" x14ac:dyDescent="0.2">
      <c r="B108" s="67"/>
      <c r="C108" s="67"/>
      <c r="D108" s="67"/>
      <c r="E108" s="68"/>
      <c r="F108" s="69"/>
      <c r="G108" s="70"/>
      <c r="H108" s="71"/>
      <c r="I108" s="33"/>
      <c r="K108" s="48"/>
    </row>
    <row r="109" spans="1:11" ht="12.75" customHeight="1" x14ac:dyDescent="0.2">
      <c r="B109" s="16" t="s">
        <v>154</v>
      </c>
      <c r="C109" s="16"/>
      <c r="F109" s="13"/>
      <c r="G109" s="14"/>
      <c r="H109" s="15"/>
    </row>
    <row r="110" spans="1:11" ht="12.75" customHeight="1" x14ac:dyDescent="0.2">
      <c r="A110">
        <f>+MAX($A$7:A109)+1</f>
        <v>85</v>
      </c>
      <c r="B110" s="65" t="s">
        <v>381</v>
      </c>
      <c r="C110" t="s">
        <v>382</v>
      </c>
      <c r="D110" t="s">
        <v>345</v>
      </c>
      <c r="E110" s="28">
        <v>2600000</v>
      </c>
      <c r="F110" s="13">
        <v>2494.3308000000002</v>
      </c>
      <c r="G110" s="14">
        <f t="shared" ref="G110:G115" si="5">+ROUND(F110/VLOOKUP("Grand Total",$B$4:$F$319,5,0),4)</f>
        <v>1.54E-2</v>
      </c>
      <c r="H110" s="15">
        <v>44914</v>
      </c>
    </row>
    <row r="111" spans="1:11" ht="12.75" customHeight="1" x14ac:dyDescent="0.2">
      <c r="A111">
        <f>+MAX($A$7:A110)+1</f>
        <v>86</v>
      </c>
      <c r="B111" s="65" t="s">
        <v>621</v>
      </c>
      <c r="C111" t="s">
        <v>622</v>
      </c>
      <c r="D111" t="s">
        <v>345</v>
      </c>
      <c r="E111" s="28">
        <v>2000000</v>
      </c>
      <c r="F111" s="13">
        <v>1931.5340000000001</v>
      </c>
      <c r="G111" s="14">
        <f t="shared" si="5"/>
        <v>1.2E-2</v>
      </c>
      <c r="H111" s="15">
        <v>45066</v>
      </c>
    </row>
    <row r="112" spans="1:11" ht="12.75" customHeight="1" x14ac:dyDescent="0.2">
      <c r="A112">
        <f>+MAX($A$7:A111)+1</f>
        <v>87</v>
      </c>
      <c r="B112" s="65" t="s">
        <v>513</v>
      </c>
      <c r="C112" t="s">
        <v>514</v>
      </c>
      <c r="D112" t="s">
        <v>345</v>
      </c>
      <c r="E112" s="28">
        <v>1950000</v>
      </c>
      <c r="F112" s="13">
        <v>1889.316</v>
      </c>
      <c r="G112" s="14">
        <f t="shared" si="5"/>
        <v>1.17E-2</v>
      </c>
      <c r="H112" s="15">
        <v>45465</v>
      </c>
    </row>
    <row r="113" spans="1:11" ht="12.75" customHeight="1" x14ac:dyDescent="0.2">
      <c r="A113">
        <f>+MAX($A$7:A112)+1</f>
        <v>88</v>
      </c>
      <c r="B113" s="65" t="s">
        <v>703</v>
      </c>
      <c r="C113" t="s">
        <v>704</v>
      </c>
      <c r="D113" t="s">
        <v>345</v>
      </c>
      <c r="E113" s="28">
        <v>600000</v>
      </c>
      <c r="F113" s="13">
        <v>551.9778</v>
      </c>
      <c r="G113" s="14">
        <f t="shared" si="5"/>
        <v>3.3999999999999998E-3</v>
      </c>
      <c r="H113" s="15">
        <v>46522</v>
      </c>
    </row>
    <row r="114" spans="1:11" ht="12.75" customHeight="1" x14ac:dyDescent="0.2">
      <c r="A114">
        <f>+MAX($A$7:A113)+1</f>
        <v>89</v>
      </c>
      <c r="B114" s="65" t="s">
        <v>623</v>
      </c>
      <c r="C114" t="s">
        <v>624</v>
      </c>
      <c r="D114" t="s">
        <v>345</v>
      </c>
      <c r="E114" s="28">
        <v>500000</v>
      </c>
      <c r="F114" s="13">
        <v>512.50549999999998</v>
      </c>
      <c r="G114" s="14">
        <f t="shared" si="5"/>
        <v>3.2000000000000002E-3</v>
      </c>
      <c r="H114" s="15">
        <v>44508</v>
      </c>
    </row>
    <row r="115" spans="1:11" ht="12.75" customHeight="1" x14ac:dyDescent="0.2">
      <c r="A115">
        <f>+MAX($A$7:A114)+1</f>
        <v>90</v>
      </c>
      <c r="B115" s="65" t="s">
        <v>534</v>
      </c>
      <c r="C115" t="s">
        <v>535</v>
      </c>
      <c r="D115" t="s">
        <v>345</v>
      </c>
      <c r="E115" s="28">
        <v>117800</v>
      </c>
      <c r="F115" s="13">
        <v>114.92249939999999</v>
      </c>
      <c r="G115" s="14">
        <f t="shared" si="5"/>
        <v>6.9999999999999999E-4</v>
      </c>
      <c r="H115" s="15">
        <v>45032</v>
      </c>
    </row>
    <row r="116" spans="1:11" ht="12.75" customHeight="1" x14ac:dyDescent="0.2">
      <c r="B116" s="18" t="s">
        <v>82</v>
      </c>
      <c r="C116" s="18"/>
      <c r="D116" s="18"/>
      <c r="E116" s="29"/>
      <c r="F116" s="19">
        <f>SUM(F110:F115)</f>
        <v>7494.5865993999996</v>
      </c>
      <c r="G116" s="20">
        <f>SUM(G110:G115)</f>
        <v>4.6400000000000004E-2</v>
      </c>
      <c r="H116" s="21"/>
    </row>
    <row r="117" spans="1:11" s="46" customFormat="1" ht="12.75" customHeight="1" x14ac:dyDescent="0.2">
      <c r="B117" s="67"/>
      <c r="C117" s="67"/>
      <c r="D117" s="67"/>
      <c r="E117" s="68"/>
      <c r="F117" s="69"/>
      <c r="G117" s="70"/>
      <c r="H117" s="71"/>
      <c r="I117" s="33"/>
      <c r="K117" s="48"/>
    </row>
    <row r="118" spans="1:11" ht="12.75" customHeight="1" x14ac:dyDescent="0.2">
      <c r="B118" s="16" t="s">
        <v>89</v>
      </c>
      <c r="C118" s="16"/>
      <c r="F118" s="13"/>
      <c r="G118" s="14"/>
      <c r="H118" s="15"/>
    </row>
    <row r="119" spans="1:11" ht="12.75" customHeight="1" x14ac:dyDescent="0.2">
      <c r="A119">
        <f>+MAX($A$7:A118)+1</f>
        <v>91</v>
      </c>
      <c r="B119" s="65" t="s">
        <v>632</v>
      </c>
      <c r="C119" t="s">
        <v>480</v>
      </c>
      <c r="D119" t="s">
        <v>279</v>
      </c>
      <c r="E119" s="28">
        <v>55322.918599999997</v>
      </c>
      <c r="F119" s="13">
        <v>1573.6125652999999</v>
      </c>
      <c r="G119" s="14">
        <f>+ROUND(F119/VLOOKUP("Grand Total",$B$4:$F$319,5,0),4)</f>
        <v>9.7000000000000003E-3</v>
      </c>
      <c r="H119" s="15"/>
    </row>
    <row r="120" spans="1:11" ht="12.75" customHeight="1" x14ac:dyDescent="0.2">
      <c r="B120" s="18" t="s">
        <v>82</v>
      </c>
      <c r="C120" s="18"/>
      <c r="D120" s="18"/>
      <c r="E120" s="29"/>
      <c r="F120" s="19">
        <f>SUM(F119:F119)</f>
        <v>1573.6125652999999</v>
      </c>
      <c r="G120" s="20">
        <f>SUM(G119:G119)</f>
        <v>9.7000000000000003E-3</v>
      </c>
      <c r="H120" s="21"/>
    </row>
    <row r="121" spans="1:11" s="46" customFormat="1" ht="12.75" customHeight="1" x14ac:dyDescent="0.2">
      <c r="B121" s="67"/>
      <c r="C121" s="67"/>
      <c r="D121" s="67"/>
      <c r="E121" s="68"/>
      <c r="F121" s="69"/>
      <c r="G121" s="70"/>
      <c r="H121" s="71"/>
      <c r="I121" s="33"/>
      <c r="K121" s="48"/>
    </row>
    <row r="122" spans="1:11" ht="12.75" customHeight="1" x14ac:dyDescent="0.2">
      <c r="B122" s="16" t="s">
        <v>91</v>
      </c>
      <c r="C122" s="16"/>
      <c r="F122" s="13"/>
      <c r="G122" s="14"/>
      <c r="H122" s="15"/>
    </row>
    <row r="123" spans="1:11" ht="12.75" customHeight="1" x14ac:dyDescent="0.2">
      <c r="A123" s="94" t="s">
        <v>312</v>
      </c>
      <c r="B123" s="16" t="s">
        <v>633</v>
      </c>
      <c r="C123" s="16"/>
      <c r="F123" s="13">
        <v>9428.3957864000004</v>
      </c>
      <c r="G123" s="14">
        <f>+ROUND(F123/VLOOKUP("Grand Total",$B$4:$F$319,5,0),4)</f>
        <v>5.8400000000000001E-2</v>
      </c>
      <c r="H123" s="15">
        <v>43346</v>
      </c>
    </row>
    <row r="124" spans="1:11" ht="12.75" customHeight="1" x14ac:dyDescent="0.2">
      <c r="B124" s="16" t="s">
        <v>92</v>
      </c>
      <c r="C124" s="16"/>
      <c r="F124" s="13">
        <v>1219.2684214000183</v>
      </c>
      <c r="G124" s="14">
        <f>+ROUND(F124/VLOOKUP("Grand Total",$B$4:$F$319,5,0),4)</f>
        <v>7.6E-3</v>
      </c>
      <c r="H124" s="15"/>
    </row>
    <row r="125" spans="1:11" ht="12.75" customHeight="1" x14ac:dyDescent="0.2">
      <c r="B125" s="18" t="s">
        <v>82</v>
      </c>
      <c r="C125" s="18"/>
      <c r="D125" s="18"/>
      <c r="E125" s="29"/>
      <c r="F125" s="19">
        <f>SUM(F123:F124)</f>
        <v>10647.664207800019</v>
      </c>
      <c r="G125" s="122">
        <f>SUM(G123:G124)</f>
        <v>6.6000000000000003E-2</v>
      </c>
      <c r="H125" s="21"/>
      <c r="I125" s="35"/>
    </row>
    <row r="126" spans="1:11" ht="12.75" customHeight="1" x14ac:dyDescent="0.2">
      <c r="B126" s="22" t="s">
        <v>93</v>
      </c>
      <c r="C126" s="22"/>
      <c r="D126" s="22"/>
      <c r="E126" s="30"/>
      <c r="F126" s="23">
        <f>+SUMIF($B$5:B125,"Total",$F$5:F125)</f>
        <v>161485.71097750001</v>
      </c>
      <c r="G126" s="24">
        <f>+SUMIF($B$5:B125,"Total",$G$5:G125)</f>
        <v>1.0000000000000002</v>
      </c>
      <c r="H126" s="25"/>
      <c r="I126" s="35"/>
    </row>
    <row r="127" spans="1:11" ht="12.75" customHeight="1" x14ac:dyDescent="0.2"/>
    <row r="128" spans="1:11" ht="12.75" customHeight="1" x14ac:dyDescent="0.2">
      <c r="B128" s="16" t="s">
        <v>483</v>
      </c>
      <c r="C128" s="16"/>
    </row>
    <row r="129" spans="2:7" ht="12.75" customHeight="1" x14ac:dyDescent="0.2">
      <c r="B129" s="16" t="s">
        <v>166</v>
      </c>
      <c r="C129" s="16"/>
    </row>
    <row r="130" spans="2:7" ht="12.75" customHeight="1" x14ac:dyDescent="0.2">
      <c r="B130" s="16" t="s">
        <v>167</v>
      </c>
      <c r="C130" s="16"/>
      <c r="F130" s="43"/>
      <c r="G130" s="43"/>
    </row>
    <row r="131" spans="2:7" ht="12.75" customHeight="1" x14ac:dyDescent="0.2">
      <c r="B131" s="53" t="s">
        <v>268</v>
      </c>
      <c r="C131" s="16"/>
    </row>
    <row r="132" spans="2:7" ht="12.75" customHeight="1" x14ac:dyDescent="0.2">
      <c r="B132" s="16"/>
    </row>
    <row r="133" spans="2:7" ht="12.75" customHeight="1" x14ac:dyDescent="0.2"/>
    <row r="134" spans="2:7" ht="12.75" customHeight="1" x14ac:dyDescent="0.2"/>
    <row r="135" spans="2:7" ht="12.75" customHeight="1" x14ac:dyDescent="0.2"/>
    <row r="136" spans="2:7" ht="12.75" customHeight="1" x14ac:dyDescent="0.2"/>
    <row r="137" spans="2:7" ht="12.75" customHeight="1" x14ac:dyDescent="0.2"/>
    <row r="138" spans="2:7" ht="12.75" customHeight="1" x14ac:dyDescent="0.2"/>
    <row r="139" spans="2:7" ht="12.75" customHeight="1" x14ac:dyDescent="0.2"/>
    <row r="140" spans="2:7" ht="12.75" customHeight="1" x14ac:dyDescent="0.2"/>
    <row r="141" spans="2:7" ht="12.75" customHeight="1" x14ac:dyDescent="0.2"/>
    <row r="142" spans="2:7" ht="12.75" customHeight="1" x14ac:dyDescent="0.2"/>
    <row r="143" spans="2:7" ht="12.75" customHeight="1" x14ac:dyDescent="0.2"/>
    <row r="144" spans="2:7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</sheetData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329</v>
      </c>
      <c r="B1" s="128" t="s">
        <v>747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82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519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+MAX($A$7:A8)+1</f>
        <v>1</v>
      </c>
      <c r="B9" s="65" t="s">
        <v>663</v>
      </c>
      <c r="C9" t="s">
        <v>664</v>
      </c>
      <c r="D9" t="s">
        <v>255</v>
      </c>
      <c r="E9" s="28">
        <v>7500</v>
      </c>
      <c r="F9" s="13">
        <v>7465.2749999999996</v>
      </c>
      <c r="G9" s="14">
        <f>+ROUND(F9/VLOOKUP("Grand Total",$B$4:$F$264,5,0),4)</f>
        <v>7.1800000000000003E-2</v>
      </c>
      <c r="H9" s="15">
        <v>43369</v>
      </c>
      <c r="J9" s="14" t="s">
        <v>255</v>
      </c>
      <c r="K9" s="48">
        <f t="shared" ref="K9:K13" si="0">SUMIFS($G$5:$G$342,$D$5:$D$342,J9)</f>
        <v>0.42370000000000008</v>
      </c>
    </row>
    <row r="10" spans="1:16" ht="12.75" customHeight="1" x14ac:dyDescent="0.2">
      <c r="A10">
        <f>+MAX($A$7:A9)+1</f>
        <v>2</v>
      </c>
      <c r="B10" s="65" t="s">
        <v>665</v>
      </c>
      <c r="C10" t="s">
        <v>718</v>
      </c>
      <c r="D10" t="s">
        <v>150</v>
      </c>
      <c r="E10" s="28">
        <v>7000</v>
      </c>
      <c r="F10" s="13">
        <v>6886.8239999999996</v>
      </c>
      <c r="G10" s="14">
        <f>+ROUND(F10/VLOOKUP("Grand Total",$B$4:$F$264,5,0),4)</f>
        <v>6.6199999999999995E-2</v>
      </c>
      <c r="H10" s="15">
        <v>43426</v>
      </c>
      <c r="J10" s="14" t="s">
        <v>149</v>
      </c>
      <c r="K10" s="48">
        <f t="shared" si="0"/>
        <v>0.3246</v>
      </c>
    </row>
    <row r="11" spans="1:16" ht="12.75" customHeight="1" x14ac:dyDescent="0.2">
      <c r="A11">
        <f>+MAX($A$7:A10)+1</f>
        <v>3</v>
      </c>
      <c r="B11" s="65" t="s">
        <v>38</v>
      </c>
      <c r="C11" t="s">
        <v>719</v>
      </c>
      <c r="D11" t="s">
        <v>255</v>
      </c>
      <c r="E11" s="28">
        <v>2100</v>
      </c>
      <c r="F11" s="13">
        <v>2098.8155999999999</v>
      </c>
      <c r="G11" s="14">
        <f>+ROUND(F11/VLOOKUP("Grand Total",$B$4:$F$264,5,0),4)</f>
        <v>2.0199999999999999E-2</v>
      </c>
      <c r="H11" s="15">
        <v>43347</v>
      </c>
      <c r="J11" s="14" t="s">
        <v>345</v>
      </c>
      <c r="K11" s="48">
        <f t="shared" si="0"/>
        <v>0.10440000000000001</v>
      </c>
    </row>
    <row r="12" spans="1:16" ht="12.75" customHeight="1" x14ac:dyDescent="0.2">
      <c r="B12" s="18" t="s">
        <v>82</v>
      </c>
      <c r="C12" s="18"/>
      <c r="D12" s="18"/>
      <c r="E12" s="29"/>
      <c r="F12" s="19">
        <f>SUM(F9:F11)</f>
        <v>16450.914599999996</v>
      </c>
      <c r="G12" s="20">
        <f>SUM(G9:G11)</f>
        <v>0.15820000000000001</v>
      </c>
      <c r="H12" s="21"/>
      <c r="I12" s="81"/>
      <c r="J12" s="14" t="s">
        <v>150</v>
      </c>
      <c r="K12" s="48">
        <f t="shared" si="0"/>
        <v>6.6199999999999995E-2</v>
      </c>
    </row>
    <row r="13" spans="1:16" ht="12.75" customHeight="1" x14ac:dyDescent="0.2">
      <c r="B13" s="16"/>
      <c r="C13" s="16"/>
      <c r="F13" s="13"/>
      <c r="G13" s="14"/>
      <c r="H13" s="15"/>
      <c r="J13" s="14" t="s">
        <v>445</v>
      </c>
      <c r="K13" s="48">
        <f t="shared" si="0"/>
        <v>3.3099999999999997E-2</v>
      </c>
    </row>
    <row r="14" spans="1:16" ht="12.75" customHeight="1" x14ac:dyDescent="0.2">
      <c r="B14" s="16" t="s">
        <v>267</v>
      </c>
      <c r="C14" s="16"/>
      <c r="F14" s="13"/>
      <c r="G14" s="14"/>
      <c r="H14" s="15"/>
      <c r="J14" s="14" t="s">
        <v>62</v>
      </c>
      <c r="K14" s="48">
        <f>+SUMIFS($G$5:$G$1002,$B$5:$B$1002,"CBLO / Reverse Repo")+SUMIFS($G$5:$G$1002,$B$5:$B$1002,"Net Receivable/Payable")</f>
        <v>4.8000000000000001E-2</v>
      </c>
      <c r="M14" s="14"/>
      <c r="N14" s="36"/>
      <c r="P14" s="14"/>
    </row>
    <row r="15" spans="1:16" ht="12.75" customHeight="1" x14ac:dyDescent="0.2">
      <c r="A15">
        <f>+MAX($A$7:A14)+1</f>
        <v>4</v>
      </c>
      <c r="B15" t="s">
        <v>349</v>
      </c>
      <c r="C15" t="s">
        <v>720</v>
      </c>
      <c r="D15" t="s">
        <v>149</v>
      </c>
      <c r="E15" s="28">
        <v>2000</v>
      </c>
      <c r="F15" s="13">
        <v>9949.26</v>
      </c>
      <c r="G15" s="14">
        <f t="shared" ref="G15:G29" si="1">+ROUND(F15/VLOOKUP("Grand Total",$B$4:$F$264,5,0),4)</f>
        <v>9.5600000000000004E-2</v>
      </c>
      <c r="H15" s="15">
        <v>43371</v>
      </c>
      <c r="J15" s="14"/>
      <c r="K15" s="48"/>
      <c r="L15" s="54"/>
      <c r="M15" s="14"/>
      <c r="N15" s="36"/>
      <c r="P15" s="14"/>
    </row>
    <row r="16" spans="1:16" ht="12.75" customHeight="1" x14ac:dyDescent="0.2">
      <c r="A16">
        <f>+MAX($A$7:A15)+1</f>
        <v>5</v>
      </c>
      <c r="B16" s="65" t="s">
        <v>721</v>
      </c>
      <c r="C16" t="s">
        <v>722</v>
      </c>
      <c r="D16" t="s">
        <v>255</v>
      </c>
      <c r="E16" s="28">
        <v>1500</v>
      </c>
      <c r="F16" s="13">
        <v>7459.8450000000003</v>
      </c>
      <c r="G16" s="14">
        <f t="shared" si="1"/>
        <v>7.17E-2</v>
      </c>
      <c r="H16" s="15">
        <v>43370</v>
      </c>
      <c r="J16" s="14"/>
      <c r="K16" s="48"/>
      <c r="M16" s="14"/>
      <c r="N16" s="36"/>
      <c r="P16" s="14"/>
    </row>
    <row r="17" spans="1:11" ht="12.75" customHeight="1" x14ac:dyDescent="0.2">
      <c r="A17">
        <f>+MAX($A$7:A16)+1</f>
        <v>6</v>
      </c>
      <c r="B17" s="65" t="s">
        <v>715</v>
      </c>
      <c r="C17" t="s">
        <v>716</v>
      </c>
      <c r="D17" t="s">
        <v>255</v>
      </c>
      <c r="E17" s="28">
        <v>1500</v>
      </c>
      <c r="F17" s="13">
        <v>7383.5550000000003</v>
      </c>
      <c r="G17" s="14">
        <f t="shared" si="1"/>
        <v>7.0999999999999994E-2</v>
      </c>
      <c r="H17" s="15">
        <v>43416</v>
      </c>
      <c r="J17" s="14"/>
      <c r="K17" s="48"/>
    </row>
    <row r="18" spans="1:11" ht="12.75" customHeight="1" x14ac:dyDescent="0.2">
      <c r="A18">
        <f>+MAX($A$7:A17)+1</f>
        <v>7</v>
      </c>
      <c r="B18" t="s">
        <v>517</v>
      </c>
      <c r="C18" t="s">
        <v>650</v>
      </c>
      <c r="D18" t="s">
        <v>255</v>
      </c>
      <c r="E18" s="28">
        <v>1130</v>
      </c>
      <c r="F18" s="13">
        <v>5617.1791499999999</v>
      </c>
      <c r="G18" s="14">
        <f t="shared" si="1"/>
        <v>5.3999999999999999E-2</v>
      </c>
      <c r="H18" s="15">
        <v>43367</v>
      </c>
      <c r="J18" s="14"/>
      <c r="K18" s="48"/>
    </row>
    <row r="19" spans="1:11" ht="12.75" customHeight="1" x14ac:dyDescent="0.2">
      <c r="A19">
        <f>+MAX($A$7:A18)+1</f>
        <v>8</v>
      </c>
      <c r="B19" t="s">
        <v>723</v>
      </c>
      <c r="C19" t="s">
        <v>724</v>
      </c>
      <c r="D19" t="s">
        <v>255</v>
      </c>
      <c r="E19" s="28">
        <v>1000</v>
      </c>
      <c r="F19" s="13">
        <v>4973.34</v>
      </c>
      <c r="G19" s="14">
        <f t="shared" si="1"/>
        <v>4.7800000000000002E-2</v>
      </c>
      <c r="H19" s="15">
        <v>43369</v>
      </c>
    </row>
    <row r="20" spans="1:11" ht="12.75" customHeight="1" x14ac:dyDescent="0.2">
      <c r="A20">
        <f>+MAX($A$7:A19)+1</f>
        <v>9</v>
      </c>
      <c r="B20" t="s">
        <v>517</v>
      </c>
      <c r="C20" t="s">
        <v>666</v>
      </c>
      <c r="D20" t="s">
        <v>255</v>
      </c>
      <c r="E20" s="28">
        <v>920</v>
      </c>
      <c r="F20" s="13">
        <v>4590.3998000000001</v>
      </c>
      <c r="G20" s="14">
        <f t="shared" si="1"/>
        <v>4.41E-2</v>
      </c>
      <c r="H20" s="15">
        <v>43353</v>
      </c>
    </row>
    <row r="21" spans="1:11" ht="12.75" customHeight="1" x14ac:dyDescent="0.2">
      <c r="A21">
        <f>+MAX($A$7:A20)+1</f>
        <v>10</v>
      </c>
      <c r="B21" t="s">
        <v>541</v>
      </c>
      <c r="C21" t="s">
        <v>667</v>
      </c>
      <c r="D21" t="s">
        <v>149</v>
      </c>
      <c r="E21" s="28">
        <v>920</v>
      </c>
      <c r="F21" s="13">
        <v>4576.3100000000004</v>
      </c>
      <c r="G21" s="14">
        <f t="shared" si="1"/>
        <v>4.3999999999999997E-2</v>
      </c>
      <c r="H21" s="15">
        <v>43367</v>
      </c>
    </row>
    <row r="22" spans="1:11" ht="12.75" customHeight="1" x14ac:dyDescent="0.2">
      <c r="A22">
        <f>+MAX($A$7:A21)+1</f>
        <v>11</v>
      </c>
      <c r="B22" t="s">
        <v>541</v>
      </c>
      <c r="C22" t="s">
        <v>668</v>
      </c>
      <c r="D22" t="s">
        <v>149</v>
      </c>
      <c r="E22" s="28">
        <v>900</v>
      </c>
      <c r="F22" s="13">
        <v>4484.9925000000003</v>
      </c>
      <c r="G22" s="14">
        <f t="shared" si="1"/>
        <v>4.3099999999999999E-2</v>
      </c>
      <c r="H22" s="15">
        <v>43360</v>
      </c>
      <c r="J22" s="14"/>
      <c r="K22" s="48"/>
    </row>
    <row r="23" spans="1:11" ht="12.75" customHeight="1" x14ac:dyDescent="0.2">
      <c r="A23">
        <f>+MAX($A$7:A22)+1</f>
        <v>12</v>
      </c>
      <c r="B23" t="s">
        <v>498</v>
      </c>
      <c r="C23" t="s">
        <v>669</v>
      </c>
      <c r="D23" t="s">
        <v>149</v>
      </c>
      <c r="E23" s="28">
        <v>886</v>
      </c>
      <c r="F23" s="13">
        <v>4412.0363500000003</v>
      </c>
      <c r="G23" s="14">
        <f t="shared" si="1"/>
        <v>4.24E-2</v>
      </c>
      <c r="H23" s="15">
        <v>43362</v>
      </c>
      <c r="J23" s="14"/>
      <c r="K23" s="48"/>
    </row>
    <row r="24" spans="1:11" ht="12.75" customHeight="1" x14ac:dyDescent="0.2">
      <c r="A24">
        <f>+MAX($A$7:A23)+1</f>
        <v>13</v>
      </c>
      <c r="B24" t="s">
        <v>498</v>
      </c>
      <c r="C24" t="s">
        <v>662</v>
      </c>
      <c r="D24" t="s">
        <v>149</v>
      </c>
      <c r="E24" s="28">
        <v>880</v>
      </c>
      <c r="F24" s="13">
        <v>4374.4975999999997</v>
      </c>
      <c r="G24" s="14">
        <f t="shared" si="1"/>
        <v>4.2000000000000003E-2</v>
      </c>
      <c r="H24" s="15">
        <v>43368</v>
      </c>
      <c r="J24" s="14"/>
      <c r="K24" s="48"/>
    </row>
    <row r="25" spans="1:11" ht="12.75" customHeight="1" x14ac:dyDescent="0.2">
      <c r="A25">
        <f>+MAX($A$7:A24)+1</f>
        <v>14</v>
      </c>
      <c r="B25" t="s">
        <v>172</v>
      </c>
      <c r="C25" t="s">
        <v>649</v>
      </c>
      <c r="D25" t="s">
        <v>149</v>
      </c>
      <c r="E25" s="28">
        <v>700</v>
      </c>
      <c r="F25" s="13">
        <v>3497.4659999999999</v>
      </c>
      <c r="G25" s="14">
        <f t="shared" si="1"/>
        <v>3.3599999999999998E-2</v>
      </c>
      <c r="H25" s="15">
        <v>43348</v>
      </c>
      <c r="J25" s="14"/>
      <c r="K25" s="48"/>
    </row>
    <row r="26" spans="1:11" ht="12.75" customHeight="1" x14ac:dyDescent="0.2">
      <c r="A26">
        <f>+MAX($A$7:A25)+1</f>
        <v>15</v>
      </c>
      <c r="B26" t="s">
        <v>444</v>
      </c>
      <c r="C26" t="s">
        <v>652</v>
      </c>
      <c r="D26" t="s">
        <v>445</v>
      </c>
      <c r="E26" s="28">
        <v>692</v>
      </c>
      <c r="F26" s="13">
        <v>3443.4127600000002</v>
      </c>
      <c r="G26" s="14">
        <f t="shared" si="1"/>
        <v>3.3099999999999997E-2</v>
      </c>
      <c r="H26" s="15">
        <v>43362</v>
      </c>
      <c r="J26" s="14"/>
    </row>
    <row r="27" spans="1:11" ht="12.75" customHeight="1" x14ac:dyDescent="0.2">
      <c r="A27">
        <f>+MAX($A$7:A26)+1</f>
        <v>16</v>
      </c>
      <c r="B27" t="s">
        <v>410</v>
      </c>
      <c r="C27" t="s">
        <v>725</v>
      </c>
      <c r="D27" t="s">
        <v>255</v>
      </c>
      <c r="E27" s="28">
        <v>500</v>
      </c>
      <c r="F27" s="13">
        <v>2498.8775000000001</v>
      </c>
      <c r="G27" s="14">
        <f t="shared" si="1"/>
        <v>2.4E-2</v>
      </c>
      <c r="H27" s="15">
        <v>43346</v>
      </c>
      <c r="J27" s="14"/>
    </row>
    <row r="28" spans="1:11" ht="12.75" customHeight="1" x14ac:dyDescent="0.2">
      <c r="A28">
        <f>+MAX($A$7:A27)+1</f>
        <v>17</v>
      </c>
      <c r="B28" t="s">
        <v>691</v>
      </c>
      <c r="C28" t="s">
        <v>692</v>
      </c>
      <c r="D28" t="s">
        <v>149</v>
      </c>
      <c r="E28" s="28">
        <v>500</v>
      </c>
      <c r="F28" s="13">
        <v>2486.605</v>
      </c>
      <c r="G28" s="14">
        <f t="shared" si="1"/>
        <v>2.3900000000000001E-2</v>
      </c>
      <c r="H28" s="15">
        <v>43370</v>
      </c>
      <c r="J28" s="14"/>
    </row>
    <row r="29" spans="1:11" ht="12.75" customHeight="1" x14ac:dyDescent="0.2">
      <c r="A29">
        <f>+MAX($A$7:A28)+1</f>
        <v>18</v>
      </c>
      <c r="B29" t="s">
        <v>689</v>
      </c>
      <c r="C29" t="s">
        <v>690</v>
      </c>
      <c r="D29" t="s">
        <v>255</v>
      </c>
      <c r="E29" s="28">
        <v>400</v>
      </c>
      <c r="F29" s="13">
        <v>1989.7460000000001</v>
      </c>
      <c r="G29" s="14">
        <f t="shared" si="1"/>
        <v>1.9099999999999999E-2</v>
      </c>
      <c r="H29" s="15">
        <v>43370</v>
      </c>
      <c r="J29" s="14"/>
    </row>
    <row r="30" spans="1:11" ht="12.75" customHeight="1" x14ac:dyDescent="0.2">
      <c r="B30" s="18" t="s">
        <v>82</v>
      </c>
      <c r="C30" s="18"/>
      <c r="D30" s="18"/>
      <c r="E30" s="29"/>
      <c r="F30" s="19">
        <f>SUM(F15:F29)</f>
        <v>71737.522659999988</v>
      </c>
      <c r="G30" s="20">
        <f>SUM(G15:G29)</f>
        <v>0.68940000000000001</v>
      </c>
      <c r="H30" s="21"/>
    </row>
    <row r="31" spans="1:11" ht="12.75" customHeight="1" x14ac:dyDescent="0.2">
      <c r="F31" s="13"/>
      <c r="G31" s="14"/>
      <c r="H31" s="15"/>
    </row>
    <row r="32" spans="1:11" ht="12.75" customHeight="1" x14ac:dyDescent="0.2">
      <c r="B32" s="16" t="s">
        <v>153</v>
      </c>
      <c r="C32" s="16"/>
      <c r="F32" s="13"/>
      <c r="G32" s="14"/>
      <c r="H32" s="15"/>
    </row>
    <row r="33" spans="1:9" ht="12.75" customHeight="1" x14ac:dyDescent="0.2">
      <c r="A33">
        <f>+MAX($A$7:A32)+1</f>
        <v>19</v>
      </c>
      <c r="B33" s="1" t="s">
        <v>450</v>
      </c>
      <c r="C33" t="s">
        <v>670</v>
      </c>
      <c r="D33" t="s">
        <v>345</v>
      </c>
      <c r="E33" s="28">
        <v>10000000</v>
      </c>
      <c r="F33" s="13">
        <v>9991.4599999999991</v>
      </c>
      <c r="G33" s="14">
        <f>+ROUND(F33/VLOOKUP("Grand Total",$B$4:$F$264,5,0),4)</f>
        <v>9.6000000000000002E-2</v>
      </c>
      <c r="H33" s="15">
        <v>43349</v>
      </c>
    </row>
    <row r="34" spans="1:9" ht="12.75" customHeight="1" x14ac:dyDescent="0.2">
      <c r="A34">
        <f>+MAX($A$7:A33)+1</f>
        <v>20</v>
      </c>
      <c r="B34" s="1" t="s">
        <v>450</v>
      </c>
      <c r="C34" t="s">
        <v>672</v>
      </c>
      <c r="D34" t="s">
        <v>345</v>
      </c>
      <c r="E34" s="28">
        <v>886000</v>
      </c>
      <c r="F34" s="13">
        <v>873.87951999999996</v>
      </c>
      <c r="G34" s="14">
        <f>+ROUND(F34/VLOOKUP("Grand Total",$B$4:$F$264,5,0),4)</f>
        <v>8.3999999999999995E-3</v>
      </c>
      <c r="H34" s="15">
        <v>43419</v>
      </c>
    </row>
    <row r="35" spans="1:9" ht="12.75" customHeight="1" x14ac:dyDescent="0.2">
      <c r="B35" s="18" t="s">
        <v>82</v>
      </c>
      <c r="C35" s="18"/>
      <c r="D35" s="18"/>
      <c r="E35" s="29"/>
      <c r="F35" s="19">
        <f>SUM(F33:F34)</f>
        <v>10865.33952</v>
      </c>
      <c r="G35" s="20">
        <f>SUM(G33:G34)</f>
        <v>0.10440000000000001</v>
      </c>
      <c r="H35" s="21"/>
      <c r="I35" s="81"/>
    </row>
    <row r="36" spans="1:9" ht="12.75" customHeight="1" x14ac:dyDescent="0.2">
      <c r="F36" s="13"/>
      <c r="G36" s="14"/>
      <c r="H36" s="15"/>
    </row>
    <row r="37" spans="1:9" ht="12.75" customHeight="1" x14ac:dyDescent="0.2">
      <c r="B37" s="16" t="s">
        <v>91</v>
      </c>
      <c r="C37" s="16"/>
      <c r="F37" s="13"/>
      <c r="G37" s="14"/>
      <c r="H37" s="15"/>
    </row>
    <row r="38" spans="1:9" ht="12.75" customHeight="1" x14ac:dyDescent="0.2">
      <c r="A38" s="94" t="s">
        <v>312</v>
      </c>
      <c r="B38" s="16" t="s">
        <v>633</v>
      </c>
      <c r="C38" s="16"/>
      <c r="F38" s="13">
        <v>4758.4769956</v>
      </c>
      <c r="G38" s="14">
        <f>+ROUND(F38/VLOOKUP("Grand Total",$B$4:$F$264,5,0),4)</f>
        <v>4.5699999999999998E-2</v>
      </c>
      <c r="H38" s="15">
        <v>43346</v>
      </c>
      <c r="I38" s="33"/>
    </row>
    <row r="39" spans="1:9" ht="12.75" customHeight="1" x14ac:dyDescent="0.2">
      <c r="B39" s="16" t="s">
        <v>92</v>
      </c>
      <c r="C39" s="16"/>
      <c r="F39" s="13">
        <v>220.86922819999745</v>
      </c>
      <c r="G39" s="14">
        <f>+ROUND(F39/VLOOKUP("Grand Total",$B$4:$F$264,5,0),4)+0.02%</f>
        <v>2.3E-3</v>
      </c>
      <c r="H39" s="15"/>
    </row>
    <row r="40" spans="1:9" ht="12.75" customHeight="1" x14ac:dyDescent="0.2">
      <c r="B40" s="18" t="s">
        <v>82</v>
      </c>
      <c r="C40" s="18"/>
      <c r="D40" s="18"/>
      <c r="E40" s="29"/>
      <c r="F40" s="19">
        <f>SUM(F38:F39)</f>
        <v>4979.3462237999975</v>
      </c>
      <c r="G40" s="122">
        <f>SUM(G38:G39)</f>
        <v>4.8000000000000001E-2</v>
      </c>
      <c r="H40" s="21"/>
      <c r="I40" s="81"/>
    </row>
    <row r="41" spans="1:9" ht="12.75" customHeight="1" x14ac:dyDescent="0.2">
      <c r="B41" s="22" t="s">
        <v>93</v>
      </c>
      <c r="C41" s="22"/>
      <c r="D41" s="22"/>
      <c r="E41" s="30"/>
      <c r="F41" s="23">
        <f>+SUMIF($B$5:B40,"Total",$F$5:F40)</f>
        <v>104033.12300379996</v>
      </c>
      <c r="G41" s="24">
        <f>+SUMIF($B$5:B40,"Total",$G$5:G40)</f>
        <v>1</v>
      </c>
      <c r="H41" s="25"/>
      <c r="I41" s="81"/>
    </row>
    <row r="42" spans="1:9" ht="12.75" customHeight="1" x14ac:dyDescent="0.2"/>
    <row r="43" spans="1:9" ht="12.75" customHeight="1" x14ac:dyDescent="0.2">
      <c r="B43" s="16" t="s">
        <v>483</v>
      </c>
      <c r="C43" s="16"/>
    </row>
    <row r="44" spans="1:9" ht="12.75" customHeight="1" x14ac:dyDescent="0.2">
      <c r="B44" s="16" t="s">
        <v>166</v>
      </c>
      <c r="C44" s="16"/>
    </row>
    <row r="45" spans="1:9" ht="12.75" customHeight="1" x14ac:dyDescent="0.2">
      <c r="B45" s="16" t="s">
        <v>788</v>
      </c>
      <c r="C45" s="16"/>
    </row>
    <row r="46" spans="1:9" ht="12.75" customHeight="1" x14ac:dyDescent="0.2">
      <c r="B46" s="16"/>
      <c r="C46" s="16"/>
      <c r="F46" s="43"/>
      <c r="G46" s="43"/>
    </row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70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4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8" customWidth="1"/>
    <col min="10" max="10" width="16.28515625" style="65" bestFit="1" customWidth="1"/>
    <col min="11" max="11" width="8" style="83" customWidth="1"/>
    <col min="12" max="16384" width="9.140625" style="65"/>
  </cols>
  <sheetData>
    <row r="1" spans="1:16" ht="18.75" x14ac:dyDescent="0.2">
      <c r="A1" s="108" t="s">
        <v>330</v>
      </c>
      <c r="B1" s="128" t="s">
        <v>748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109"/>
      <c r="D2" s="110"/>
      <c r="E2" s="111"/>
      <c r="F2" s="112"/>
      <c r="G2" s="113"/>
      <c r="H2" s="113"/>
    </row>
    <row r="3" spans="1:16" ht="15.75" customHeight="1" x14ac:dyDescent="0.2">
      <c r="A3" s="114"/>
      <c r="B3" s="115"/>
      <c r="C3" s="115"/>
      <c r="D3" s="116"/>
      <c r="E3" s="111"/>
      <c r="F3" s="112"/>
      <c r="G3" s="113"/>
      <c r="H3" s="113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117"/>
    </row>
    <row r="5" spans="1:16" ht="12.75" customHeight="1" x14ac:dyDescent="0.2">
      <c r="F5" s="85"/>
      <c r="G5" s="89"/>
      <c r="H5" s="88"/>
    </row>
    <row r="6" spans="1:16" ht="12.75" customHeight="1" x14ac:dyDescent="0.2">
      <c r="F6" s="85"/>
      <c r="G6" s="89"/>
      <c r="H6" s="88"/>
    </row>
    <row r="7" spans="1:16" ht="12.75" customHeight="1" x14ac:dyDescent="0.2">
      <c r="B7" s="16" t="s">
        <v>88</v>
      </c>
      <c r="C7" s="16"/>
      <c r="F7" s="85"/>
      <c r="G7" s="89"/>
      <c r="H7" s="88"/>
      <c r="J7" s="17" t="s">
        <v>493</v>
      </c>
      <c r="K7" s="37" t="s">
        <v>11</v>
      </c>
    </row>
    <row r="8" spans="1:16" ht="12.75" customHeight="1" x14ac:dyDescent="0.2">
      <c r="B8" s="16" t="s">
        <v>519</v>
      </c>
      <c r="C8" s="16"/>
      <c r="F8" s="85"/>
      <c r="G8" s="89"/>
      <c r="H8" s="88"/>
      <c r="J8" s="14" t="s">
        <v>149</v>
      </c>
      <c r="K8" s="48">
        <f>SUMIFS($G$5:$G$363,$D$5:$D$363,J8)</f>
        <v>0.26850000000000002</v>
      </c>
      <c r="L8" s="83"/>
      <c r="M8" s="89"/>
    </row>
    <row r="9" spans="1:16" ht="12.75" customHeight="1" x14ac:dyDescent="0.2">
      <c r="A9" s="65">
        <f>+MAX($A$7:A8)+1</f>
        <v>1</v>
      </c>
      <c r="B9" s="65" t="s">
        <v>665</v>
      </c>
      <c r="C9" s="65" t="s">
        <v>718</v>
      </c>
      <c r="D9" s="65" t="s">
        <v>150</v>
      </c>
      <c r="E9" s="118">
        <v>500</v>
      </c>
      <c r="F9" s="90">
        <v>491.916</v>
      </c>
      <c r="G9" s="89">
        <f>+ROUND(F9/VLOOKUP("Grand Total",$B$4:$F$307,5,0),4)</f>
        <v>4.1700000000000001E-2</v>
      </c>
      <c r="H9" s="88">
        <v>43426</v>
      </c>
      <c r="J9" s="89" t="s">
        <v>104</v>
      </c>
      <c r="K9" s="48">
        <f>SUMIFS($G$5:$G$363,$D$5:$D$363,J9)</f>
        <v>0.25090000000000001</v>
      </c>
      <c r="L9" s="83"/>
      <c r="M9" s="89"/>
    </row>
    <row r="10" spans="1:16" ht="12.75" customHeight="1" x14ac:dyDescent="0.2">
      <c r="A10" s="65">
        <f>+MAX($A$7:A9)+1</f>
        <v>2</v>
      </c>
      <c r="B10" s="65" t="s">
        <v>195</v>
      </c>
      <c r="C10" s="65" t="s">
        <v>648</v>
      </c>
      <c r="D10" s="65" t="s">
        <v>149</v>
      </c>
      <c r="E10" s="118">
        <v>500</v>
      </c>
      <c r="F10" s="90">
        <v>481.47500000000002</v>
      </c>
      <c r="G10" s="89">
        <f t="shared" ref="G10:G11" si="0">+ROUND(F10/VLOOKUP("Grand Total",$B$4:$F$307,5,0),4)</f>
        <v>4.0800000000000003E-2</v>
      </c>
      <c r="H10" s="88">
        <v>43531</v>
      </c>
      <c r="J10" s="89" t="s">
        <v>255</v>
      </c>
      <c r="K10" s="48">
        <f t="shared" ref="K10:K11" si="1">SUMIFS($G$5:$G$363,$D$5:$D$363,J10)</f>
        <v>0.19319999999999998</v>
      </c>
      <c r="L10" s="83"/>
      <c r="M10" s="89"/>
    </row>
    <row r="11" spans="1:16" ht="12.75" customHeight="1" x14ac:dyDescent="0.2">
      <c r="A11" s="65">
        <f>+MAX($A$7:A10)+1</f>
        <v>3</v>
      </c>
      <c r="B11" s="65" t="s">
        <v>38</v>
      </c>
      <c r="C11" s="65" t="s">
        <v>719</v>
      </c>
      <c r="D11" s="65" t="s">
        <v>255</v>
      </c>
      <c r="E11" s="118">
        <v>400</v>
      </c>
      <c r="F11" s="90">
        <v>399.77440000000001</v>
      </c>
      <c r="G11" s="89">
        <f t="shared" si="0"/>
        <v>3.39E-2</v>
      </c>
      <c r="H11" s="88">
        <v>43347</v>
      </c>
      <c r="J11" s="89" t="s">
        <v>369</v>
      </c>
      <c r="K11" s="48">
        <f t="shared" si="1"/>
        <v>8.3999999999999991E-2</v>
      </c>
      <c r="L11" s="83"/>
      <c r="M11" s="89"/>
    </row>
    <row r="12" spans="1:16" ht="12.75" customHeight="1" x14ac:dyDescent="0.2">
      <c r="B12" s="18" t="s">
        <v>82</v>
      </c>
      <c r="C12" s="18"/>
      <c r="D12" s="18"/>
      <c r="E12" s="29"/>
      <c r="F12" s="19">
        <f>SUM(F9:F11)</f>
        <v>1373.1654000000001</v>
      </c>
      <c r="G12" s="20">
        <f>SUM(G9:G11)</f>
        <v>0.1164</v>
      </c>
      <c r="H12" s="21"/>
      <c r="I12" s="81"/>
      <c r="J12" s="89" t="s">
        <v>152</v>
      </c>
      <c r="K12" s="48">
        <f>SUMIFS($G$5:$G$363,$D$5:$D$363,J12)</f>
        <v>7.5700000000000003E-2</v>
      </c>
      <c r="L12" s="78">
        <f>SUM(K8:K12)</f>
        <v>0.87230000000000008</v>
      </c>
    </row>
    <row r="13" spans="1:16" ht="12.75" customHeight="1" x14ac:dyDescent="0.2">
      <c r="F13" s="85"/>
      <c r="G13" s="89"/>
      <c r="H13" s="88"/>
      <c r="J13" s="65" t="s">
        <v>449</v>
      </c>
      <c r="K13" s="48">
        <f>SUMIFS($G$5:$G$363,$D$5:$D$363,J13)</f>
        <v>5.7200000000000001E-2</v>
      </c>
    </row>
    <row r="14" spans="1:16" ht="12.75" customHeight="1" x14ac:dyDescent="0.2">
      <c r="B14" s="16" t="s">
        <v>267</v>
      </c>
      <c r="C14" s="16"/>
      <c r="F14" s="85"/>
      <c r="G14" s="89"/>
      <c r="H14" s="88"/>
      <c r="J14" s="14" t="s">
        <v>150</v>
      </c>
      <c r="K14" s="48">
        <f>SUMIFS($G$5:$G$363,$D$5:$D$363,J14)</f>
        <v>4.1700000000000001E-2</v>
      </c>
      <c r="L14" s="83"/>
      <c r="M14" s="89"/>
    </row>
    <row r="15" spans="1:16" ht="12.75" customHeight="1" x14ac:dyDescent="0.2">
      <c r="A15" s="65">
        <f>+MAX($A$7:A14)+1</f>
        <v>4</v>
      </c>
      <c r="B15" s="65" t="s">
        <v>715</v>
      </c>
      <c r="C15" s="65" t="s">
        <v>716</v>
      </c>
      <c r="D15" s="65" t="s">
        <v>255</v>
      </c>
      <c r="E15" s="118">
        <v>200</v>
      </c>
      <c r="F15" s="90">
        <v>984.47400000000005</v>
      </c>
      <c r="G15" s="89">
        <f t="shared" ref="G15:G25" si="2">+ROUND(F15/VLOOKUP("Grand Total",$B$4:$F$307,5,0),4)</f>
        <v>8.3400000000000002E-2</v>
      </c>
      <c r="H15" s="88">
        <v>43416</v>
      </c>
      <c r="J15" s="14" t="s">
        <v>345</v>
      </c>
      <c r="K15" s="48">
        <f>SUMIFS($G$5:$G$363,$D$5:$D$363,J15)</f>
        <v>3.5999999999999999E-3</v>
      </c>
      <c r="L15" s="83"/>
      <c r="M15" s="89"/>
    </row>
    <row r="16" spans="1:16" ht="12.75" customHeight="1" x14ac:dyDescent="0.2">
      <c r="A16" s="65">
        <f>+MAX($A$7:A15)+1</f>
        <v>5</v>
      </c>
      <c r="B16" s="119" t="s">
        <v>541</v>
      </c>
      <c r="C16" s="65" t="s">
        <v>668</v>
      </c>
      <c r="D16" s="65" t="s">
        <v>149</v>
      </c>
      <c r="E16" s="118">
        <v>100</v>
      </c>
      <c r="F16" s="90">
        <v>498.33249999999998</v>
      </c>
      <c r="G16" s="89">
        <f t="shared" si="2"/>
        <v>4.2200000000000001E-2</v>
      </c>
      <c r="H16" s="88">
        <v>43360</v>
      </c>
      <c r="J16" s="14" t="s">
        <v>62</v>
      </c>
      <c r="K16" s="48">
        <f>+SUMIFS($G$5:$G$1002,$B$5:$B$1002,"CBLO / Reverse Repo")+SUMIFS($G$5:$G$1002,$B$5:$B$1002,"Net Receivable/Payable")</f>
        <v>2.52E-2</v>
      </c>
      <c r="L16" s="78"/>
      <c r="M16" s="89"/>
      <c r="N16" s="83"/>
      <c r="P16" s="89"/>
    </row>
    <row r="17" spans="1:16" ht="12.75" customHeight="1" x14ac:dyDescent="0.2">
      <c r="A17" s="65">
        <f>+MAX($A$7:A16)+1</f>
        <v>6</v>
      </c>
      <c r="B17" s="119" t="s">
        <v>498</v>
      </c>
      <c r="C17" s="65" t="s">
        <v>669</v>
      </c>
      <c r="D17" s="65" t="s">
        <v>149</v>
      </c>
      <c r="E17" s="118">
        <v>100</v>
      </c>
      <c r="F17" s="90">
        <v>497.97250000000003</v>
      </c>
      <c r="G17" s="89">
        <f t="shared" si="2"/>
        <v>4.2200000000000001E-2</v>
      </c>
      <c r="H17" s="88">
        <v>43362</v>
      </c>
      <c r="J17" s="14"/>
      <c r="K17" s="48"/>
      <c r="L17" s="78"/>
      <c r="M17" s="89"/>
      <c r="N17" s="83"/>
      <c r="P17" s="89"/>
    </row>
    <row r="18" spans="1:16" ht="12.75" customHeight="1" x14ac:dyDescent="0.2">
      <c r="A18" s="65">
        <f>+MAX($A$7:A17)+1</f>
        <v>7</v>
      </c>
      <c r="B18" s="119" t="s">
        <v>691</v>
      </c>
      <c r="C18" s="65" t="s">
        <v>692</v>
      </c>
      <c r="D18" s="65" t="s">
        <v>149</v>
      </c>
      <c r="E18" s="118">
        <v>100</v>
      </c>
      <c r="F18" s="90">
        <v>497.32100000000003</v>
      </c>
      <c r="G18" s="89">
        <f t="shared" si="2"/>
        <v>4.2099999999999999E-2</v>
      </c>
      <c r="H18" s="88">
        <v>43370</v>
      </c>
      <c r="K18" s="48"/>
      <c r="L18" s="78"/>
      <c r="M18" s="89"/>
      <c r="N18" s="83"/>
      <c r="P18" s="89"/>
    </row>
    <row r="19" spans="1:16" ht="12.75" customHeight="1" x14ac:dyDescent="0.2">
      <c r="A19" s="65">
        <f>+MAX($A$7:A18)+1</f>
        <v>8</v>
      </c>
      <c r="B19" s="119" t="s">
        <v>498</v>
      </c>
      <c r="C19" s="65" t="s">
        <v>662</v>
      </c>
      <c r="D19" s="65" t="s">
        <v>149</v>
      </c>
      <c r="E19" s="118">
        <v>100</v>
      </c>
      <c r="F19" s="90">
        <v>497.10199999999998</v>
      </c>
      <c r="G19" s="89">
        <f t="shared" si="2"/>
        <v>4.2099999999999999E-2</v>
      </c>
      <c r="H19" s="88">
        <v>43368</v>
      </c>
      <c r="K19" s="48"/>
      <c r="L19" s="78"/>
      <c r="M19" s="89"/>
      <c r="N19" s="83"/>
      <c r="P19" s="89"/>
    </row>
    <row r="20" spans="1:16" ht="12.75" customHeight="1" x14ac:dyDescent="0.2">
      <c r="A20" s="65">
        <f>+MAX($A$7:A19)+1</f>
        <v>9</v>
      </c>
      <c r="B20" s="119" t="s">
        <v>517</v>
      </c>
      <c r="C20" s="65" t="s">
        <v>650</v>
      </c>
      <c r="D20" s="65" t="s">
        <v>255</v>
      </c>
      <c r="E20" s="118">
        <v>100</v>
      </c>
      <c r="F20" s="90">
        <v>497.09550000000002</v>
      </c>
      <c r="G20" s="89">
        <f t="shared" si="2"/>
        <v>4.2099999999999999E-2</v>
      </c>
      <c r="H20" s="88">
        <v>43367</v>
      </c>
      <c r="K20" s="48"/>
      <c r="L20" s="78"/>
      <c r="M20" s="89"/>
      <c r="N20" s="83"/>
      <c r="P20" s="89"/>
    </row>
    <row r="21" spans="1:16" ht="12.75" customHeight="1" x14ac:dyDescent="0.2">
      <c r="A21" s="65">
        <f>+MAX($A$7:A20)+1</f>
        <v>10</v>
      </c>
      <c r="B21" s="119" t="s">
        <v>256</v>
      </c>
      <c r="C21" s="65" t="s">
        <v>443</v>
      </c>
      <c r="D21" s="65" t="s">
        <v>449</v>
      </c>
      <c r="E21" s="118">
        <v>96</v>
      </c>
      <c r="F21" s="90">
        <v>479.37551999999999</v>
      </c>
      <c r="G21" s="89">
        <f t="shared" si="2"/>
        <v>4.0599999999999997E-2</v>
      </c>
      <c r="H21" s="88">
        <v>43350</v>
      </c>
      <c r="K21" s="48"/>
      <c r="L21" s="78"/>
      <c r="M21" s="89"/>
      <c r="N21" s="83"/>
      <c r="P21" s="89"/>
    </row>
    <row r="22" spans="1:16" ht="12.75" customHeight="1" x14ac:dyDescent="0.2">
      <c r="A22" s="65">
        <f>+MAX($A$7:A21)+1</f>
        <v>11</v>
      </c>
      <c r="B22" s="119" t="s">
        <v>517</v>
      </c>
      <c r="C22" s="65" t="s">
        <v>666</v>
      </c>
      <c r="D22" s="65" t="s">
        <v>255</v>
      </c>
      <c r="E22" s="118">
        <v>80</v>
      </c>
      <c r="F22" s="90">
        <v>399.16520000000003</v>
      </c>
      <c r="G22" s="89">
        <f t="shared" si="2"/>
        <v>3.3799999999999997E-2</v>
      </c>
      <c r="H22" s="88">
        <v>43353</v>
      </c>
      <c r="K22" s="48"/>
      <c r="L22" s="78"/>
      <c r="M22" s="89"/>
      <c r="N22" s="83"/>
      <c r="P22" s="89"/>
    </row>
    <row r="23" spans="1:16" ht="12.75" customHeight="1" x14ac:dyDescent="0.2">
      <c r="A23" s="65">
        <f>+MAX($A$7:A22)+1</f>
        <v>12</v>
      </c>
      <c r="B23" s="119" t="s">
        <v>541</v>
      </c>
      <c r="C23" s="65" t="s">
        <v>667</v>
      </c>
      <c r="D23" s="65" t="s">
        <v>149</v>
      </c>
      <c r="E23" s="118">
        <v>80</v>
      </c>
      <c r="F23" s="90">
        <v>397.94</v>
      </c>
      <c r="G23" s="89">
        <f t="shared" si="2"/>
        <v>3.3700000000000001E-2</v>
      </c>
      <c r="H23" s="88">
        <v>43367</v>
      </c>
      <c r="K23" s="48"/>
      <c r="L23" s="78"/>
      <c r="M23" s="89"/>
      <c r="N23" s="83"/>
      <c r="P23" s="89"/>
    </row>
    <row r="24" spans="1:16" ht="12.75" customHeight="1" x14ac:dyDescent="0.2">
      <c r="A24" s="65">
        <f>+MAX($A$7:A23)+1</f>
        <v>13</v>
      </c>
      <c r="B24" s="119" t="s">
        <v>172</v>
      </c>
      <c r="C24" s="65" t="s">
        <v>649</v>
      </c>
      <c r="D24" s="65" t="s">
        <v>149</v>
      </c>
      <c r="E24" s="118">
        <v>60</v>
      </c>
      <c r="F24" s="90">
        <v>299.78280000000001</v>
      </c>
      <c r="G24" s="89">
        <f t="shared" si="2"/>
        <v>2.5399999999999999E-2</v>
      </c>
      <c r="H24" s="88">
        <v>43348</v>
      </c>
      <c r="K24" s="48"/>
      <c r="L24" s="78"/>
      <c r="M24" s="89"/>
      <c r="N24" s="83"/>
      <c r="P24" s="89"/>
    </row>
    <row r="25" spans="1:16" ht="12.75" customHeight="1" x14ac:dyDescent="0.2">
      <c r="A25" s="65">
        <f>+MAX($A$7:A24)+1</f>
        <v>14</v>
      </c>
      <c r="B25" s="119" t="s">
        <v>256</v>
      </c>
      <c r="C25" s="65" t="s">
        <v>461</v>
      </c>
      <c r="D25" s="65" t="s">
        <v>449</v>
      </c>
      <c r="E25" s="118">
        <v>40</v>
      </c>
      <c r="F25" s="90">
        <v>196.16159999999999</v>
      </c>
      <c r="G25" s="89">
        <f t="shared" si="2"/>
        <v>1.66E-2</v>
      </c>
      <c r="H25" s="88">
        <v>43430</v>
      </c>
      <c r="K25" s="48"/>
      <c r="L25" s="78"/>
      <c r="M25" s="89"/>
      <c r="N25" s="83"/>
      <c r="P25" s="89"/>
    </row>
    <row r="26" spans="1:16" ht="12.75" customHeight="1" x14ac:dyDescent="0.2">
      <c r="B26" s="18" t="s">
        <v>82</v>
      </c>
      <c r="C26" s="18"/>
      <c r="D26" s="18"/>
      <c r="E26" s="29"/>
      <c r="F26" s="19">
        <f>SUM(F15:F25)</f>
        <v>5244.7226200000005</v>
      </c>
      <c r="G26" s="20">
        <f>SUM(G15:G25)</f>
        <v>0.44419999999999998</v>
      </c>
      <c r="H26" s="21"/>
      <c r="I26" s="81"/>
      <c r="J26" s="89"/>
      <c r="L26" s="78">
        <f>SUM(K14:K26)</f>
        <v>7.0500000000000007E-2</v>
      </c>
    </row>
    <row r="27" spans="1:16" ht="12.75" customHeight="1" x14ac:dyDescent="0.2">
      <c r="F27" s="85"/>
      <c r="G27" s="89"/>
      <c r="H27" s="88"/>
    </row>
    <row r="28" spans="1:16" ht="12.75" customHeight="1" x14ac:dyDescent="0.2">
      <c r="B28" s="16" t="s">
        <v>153</v>
      </c>
      <c r="C28" s="16"/>
      <c r="F28" s="85"/>
      <c r="G28" s="89"/>
      <c r="H28" s="88"/>
    </row>
    <row r="29" spans="1:16" ht="12.75" customHeight="1" x14ac:dyDescent="0.2">
      <c r="A29" s="65">
        <f>+MAX($A$7:A28)+1</f>
        <v>15</v>
      </c>
      <c r="B29" s="65" t="s">
        <v>450</v>
      </c>
      <c r="C29" s="65" t="s">
        <v>672</v>
      </c>
      <c r="D29" s="65" t="s">
        <v>345</v>
      </c>
      <c r="E29" s="84">
        <v>43000</v>
      </c>
      <c r="F29" s="85">
        <v>42.411760000000001</v>
      </c>
      <c r="G29" s="89">
        <f>+ROUND(F29/VLOOKUP("Grand Total",$B$4:$F$307,5,0),4)</f>
        <v>3.5999999999999999E-3</v>
      </c>
      <c r="H29" s="88">
        <v>43419</v>
      </c>
    </row>
    <row r="30" spans="1:16" ht="12.75" customHeight="1" x14ac:dyDescent="0.2">
      <c r="B30" s="18" t="s">
        <v>82</v>
      </c>
      <c r="C30" s="18"/>
      <c r="D30" s="18"/>
      <c r="E30" s="29"/>
      <c r="F30" s="19">
        <f>SUM(F29:F29)</f>
        <v>42.411760000000001</v>
      </c>
      <c r="G30" s="20">
        <f>SUM(G29:G29)</f>
        <v>3.5999999999999999E-3</v>
      </c>
      <c r="H30" s="21"/>
      <c r="I30" s="81"/>
    </row>
    <row r="31" spans="1:16" ht="12.75" customHeight="1" x14ac:dyDescent="0.2">
      <c r="F31" s="85"/>
      <c r="G31" s="89"/>
      <c r="H31" s="88"/>
    </row>
    <row r="32" spans="1:16" ht="12.75" customHeight="1" x14ac:dyDescent="0.2">
      <c r="B32" s="16" t="s">
        <v>120</v>
      </c>
      <c r="F32" s="85"/>
      <c r="G32" s="89"/>
      <c r="H32" s="88"/>
    </row>
    <row r="33" spans="1:9" ht="12.75" customHeight="1" x14ac:dyDescent="0.2">
      <c r="B33" s="31" t="s">
        <v>266</v>
      </c>
      <c r="C33" s="16"/>
      <c r="F33" s="85"/>
      <c r="G33" s="89"/>
      <c r="H33" s="88"/>
    </row>
    <row r="34" spans="1:9" ht="12.75" customHeight="1" x14ac:dyDescent="0.2">
      <c r="A34" s="65">
        <f>+MAX($A$7:A33)+1</f>
        <v>16</v>
      </c>
      <c r="B34" s="65" t="s">
        <v>726</v>
      </c>
      <c r="C34" s="65" t="s">
        <v>727</v>
      </c>
      <c r="D34" s="65" t="s">
        <v>104</v>
      </c>
      <c r="E34" s="84">
        <v>100</v>
      </c>
      <c r="F34" s="85">
        <v>999.58699999999999</v>
      </c>
      <c r="G34" s="89">
        <f>+ROUND(F34/VLOOKUP("Grand Total",$B$4:$F$307,5,0),4)</f>
        <v>8.4599999999999995E-2</v>
      </c>
      <c r="H34" s="88">
        <v>43633</v>
      </c>
    </row>
    <row r="35" spans="1:9" ht="12.75" customHeight="1" x14ac:dyDescent="0.2">
      <c r="A35" s="65">
        <f>+MAX($A$7:A34)+1</f>
        <v>17</v>
      </c>
      <c r="B35" s="65" t="s">
        <v>651</v>
      </c>
      <c r="C35" s="65" t="s">
        <v>473</v>
      </c>
      <c r="D35" s="65" t="s">
        <v>104</v>
      </c>
      <c r="E35" s="84">
        <v>95</v>
      </c>
      <c r="F35" s="85">
        <v>947.41504999999995</v>
      </c>
      <c r="G35" s="89">
        <f t="shared" ref="G35:G36" si="3">+ROUND(F35/VLOOKUP("Grand Total",$B$4:$F$307,5,0),4)</f>
        <v>8.0199999999999994E-2</v>
      </c>
      <c r="H35" s="88">
        <v>43584</v>
      </c>
    </row>
    <row r="36" spans="1:9" ht="12.75" customHeight="1" x14ac:dyDescent="0.2">
      <c r="A36" s="65">
        <f>+MAX($A$7:A35)+1</f>
        <v>18</v>
      </c>
      <c r="B36" s="65" t="s">
        <v>628</v>
      </c>
      <c r="C36" s="65" t="s">
        <v>629</v>
      </c>
      <c r="D36" s="65" t="s">
        <v>152</v>
      </c>
      <c r="E36" s="84">
        <v>90</v>
      </c>
      <c r="F36" s="85">
        <v>893.6739</v>
      </c>
      <c r="G36" s="89">
        <f t="shared" si="3"/>
        <v>7.5700000000000003E-2</v>
      </c>
      <c r="H36" s="88">
        <v>43662</v>
      </c>
    </row>
    <row r="37" spans="1:9" ht="12.75" customHeight="1" x14ac:dyDescent="0.2">
      <c r="A37" s="65">
        <f>+MAX($A$7:A36)+1</f>
        <v>19</v>
      </c>
      <c r="B37" s="65" t="s">
        <v>645</v>
      </c>
      <c r="C37" s="65" t="s">
        <v>646</v>
      </c>
      <c r="D37" s="65" t="s">
        <v>369</v>
      </c>
      <c r="E37" s="84">
        <v>60</v>
      </c>
      <c r="F37" s="85">
        <v>595.34519999999998</v>
      </c>
      <c r="G37" s="89">
        <f t="shared" ref="G37:G40" si="4">+ROUND(F37/VLOOKUP("Grand Total",$B$4:$F$307,5,0),4)</f>
        <v>5.04E-2</v>
      </c>
      <c r="H37" s="88">
        <v>43616</v>
      </c>
    </row>
    <row r="38" spans="1:9" ht="12.75" customHeight="1" x14ac:dyDescent="0.2">
      <c r="A38" s="65">
        <f>+MAX($A$7:A37)+1</f>
        <v>20</v>
      </c>
      <c r="B38" s="65" t="s">
        <v>708</v>
      </c>
      <c r="C38" s="65" t="s">
        <v>709</v>
      </c>
      <c r="D38" s="65" t="s">
        <v>104</v>
      </c>
      <c r="E38" s="84">
        <v>52</v>
      </c>
      <c r="F38" s="85">
        <v>517.60540000000003</v>
      </c>
      <c r="G38" s="89">
        <f t="shared" si="4"/>
        <v>4.3799999999999999E-2</v>
      </c>
      <c r="H38" s="88">
        <v>43623</v>
      </c>
    </row>
    <row r="39" spans="1:9" ht="12.75" customHeight="1" x14ac:dyDescent="0.2">
      <c r="A39" s="65">
        <f>+MAX($A$7:A38)+1</f>
        <v>21</v>
      </c>
      <c r="B39" s="65" t="s">
        <v>660</v>
      </c>
      <c r="C39" s="65" t="s">
        <v>661</v>
      </c>
      <c r="D39" s="65" t="s">
        <v>104</v>
      </c>
      <c r="E39" s="84">
        <v>50</v>
      </c>
      <c r="F39" s="85">
        <v>499.68299999999999</v>
      </c>
      <c r="G39" s="89">
        <f t="shared" si="4"/>
        <v>4.2299999999999997E-2</v>
      </c>
      <c r="H39" s="88">
        <v>43677</v>
      </c>
    </row>
    <row r="40" spans="1:9" ht="12.75" customHeight="1" x14ac:dyDescent="0.2">
      <c r="A40" s="65">
        <f>+MAX($A$7:A39)+1</f>
        <v>22</v>
      </c>
      <c r="B40" s="65" t="s">
        <v>427</v>
      </c>
      <c r="C40" s="65" t="s">
        <v>411</v>
      </c>
      <c r="D40" s="65" t="s">
        <v>369</v>
      </c>
      <c r="E40" s="84">
        <v>40</v>
      </c>
      <c r="F40" s="85">
        <v>397.35520000000002</v>
      </c>
      <c r="G40" s="89">
        <f t="shared" si="4"/>
        <v>3.3599999999999998E-2</v>
      </c>
      <c r="H40" s="88">
        <v>43671</v>
      </c>
    </row>
    <row r="41" spans="1:9" ht="12.75" customHeight="1" x14ac:dyDescent="0.2">
      <c r="B41" s="18" t="s">
        <v>82</v>
      </c>
      <c r="C41" s="18"/>
      <c r="D41" s="18"/>
      <c r="E41" s="29"/>
      <c r="F41" s="19">
        <f>SUM(F34:F40)</f>
        <v>4850.6647499999999</v>
      </c>
      <c r="G41" s="20">
        <f>SUM(G34:G40)</f>
        <v>0.41060000000000002</v>
      </c>
      <c r="H41" s="21"/>
      <c r="I41" s="81"/>
    </row>
    <row r="42" spans="1:9" ht="12.75" customHeight="1" x14ac:dyDescent="0.2">
      <c r="F42" s="85"/>
      <c r="G42" s="89"/>
      <c r="H42" s="88"/>
    </row>
    <row r="43" spans="1:9" ht="12.75" customHeight="1" x14ac:dyDescent="0.2">
      <c r="B43" s="16" t="s">
        <v>91</v>
      </c>
      <c r="C43" s="16"/>
      <c r="F43" s="85"/>
      <c r="G43" s="89"/>
      <c r="H43" s="88"/>
    </row>
    <row r="44" spans="1:9" ht="12.75" customHeight="1" x14ac:dyDescent="0.2">
      <c r="A44" s="94" t="s">
        <v>312</v>
      </c>
      <c r="B44" s="16" t="s">
        <v>633</v>
      </c>
      <c r="C44" s="16"/>
      <c r="F44" s="85">
        <v>257.226811</v>
      </c>
      <c r="G44" s="89">
        <f>+ROUND(F44/VLOOKUP("Grand Total",$B$4:$F$307,5,0),4)</f>
        <v>2.18E-2</v>
      </c>
      <c r="H44" s="88">
        <v>43346</v>
      </c>
    </row>
    <row r="45" spans="1:9" ht="12.75" customHeight="1" x14ac:dyDescent="0.2">
      <c r="B45" s="16" t="s">
        <v>92</v>
      </c>
      <c r="C45" s="16"/>
      <c r="F45" s="85">
        <v>40.79379599999811</v>
      </c>
      <c r="G45" s="89">
        <f>+ROUND(F45/VLOOKUP("Grand Total",$B$4:$F$307,5,0),4)-0.01%</f>
        <v>3.4000000000000002E-3</v>
      </c>
      <c r="H45" s="88"/>
    </row>
    <row r="46" spans="1:9" ht="12.75" customHeight="1" x14ac:dyDescent="0.2">
      <c r="B46" s="18" t="s">
        <v>82</v>
      </c>
      <c r="C46" s="18"/>
      <c r="D46" s="18"/>
      <c r="E46" s="29"/>
      <c r="F46" s="19">
        <f>SUM(F44:F45)</f>
        <v>298.02060699999811</v>
      </c>
      <c r="G46" s="20">
        <f>SUM(G44:G45)</f>
        <v>2.52E-2</v>
      </c>
      <c r="H46" s="21"/>
      <c r="I46" s="81"/>
    </row>
    <row r="47" spans="1:9" ht="12.75" customHeight="1" x14ac:dyDescent="0.2">
      <c r="B47" s="22" t="s">
        <v>93</v>
      </c>
      <c r="C47" s="22"/>
      <c r="D47" s="22"/>
      <c r="E47" s="30"/>
      <c r="F47" s="23">
        <f>+SUMIF($B$5:B46,"Total",$F$5:F46)</f>
        <v>11808.985137</v>
      </c>
      <c r="G47" s="24">
        <f>+SUMIF($B$5:B46,"Total",$G$5:G46)</f>
        <v>1</v>
      </c>
      <c r="H47" s="25"/>
      <c r="I47" s="81"/>
    </row>
    <row r="48" spans="1:9" ht="12.75" customHeight="1" x14ac:dyDescent="0.2"/>
    <row r="49" spans="2:3" ht="12.75" customHeight="1" x14ac:dyDescent="0.2">
      <c r="B49" s="16" t="s">
        <v>483</v>
      </c>
      <c r="C49" s="16"/>
    </row>
    <row r="50" spans="2:3" ht="12.75" customHeight="1" x14ac:dyDescent="0.2">
      <c r="B50" s="16" t="s">
        <v>166</v>
      </c>
      <c r="C50" s="16"/>
    </row>
    <row r="51" spans="2:3" ht="12.75" customHeight="1" x14ac:dyDescent="0.2">
      <c r="B51" s="16"/>
      <c r="C51" s="16"/>
    </row>
    <row r="52" spans="2:3" ht="12.75" customHeight="1" x14ac:dyDescent="0.2">
      <c r="B52" s="16"/>
      <c r="C52" s="16"/>
    </row>
    <row r="53" spans="2:3" ht="12.75" customHeight="1" x14ac:dyDescent="0.2">
      <c r="B53" s="16"/>
      <c r="C53" s="16"/>
    </row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5703125" bestFit="1" customWidth="1"/>
    <col min="11" max="11" width="8.28515625" style="36" bestFit="1" customWidth="1"/>
  </cols>
  <sheetData>
    <row r="1" spans="1:11" ht="18.75" x14ac:dyDescent="0.2">
      <c r="A1" s="93" t="s">
        <v>333</v>
      </c>
      <c r="B1" s="128" t="s">
        <v>753</v>
      </c>
      <c r="C1" s="129"/>
      <c r="D1" s="129"/>
      <c r="E1" s="129"/>
      <c r="F1" s="129"/>
      <c r="G1" s="129"/>
      <c r="H1" s="130"/>
    </row>
    <row r="2" spans="1:11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1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1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1" ht="12.75" customHeight="1" x14ac:dyDescent="0.2">
      <c r="F5" s="13"/>
      <c r="G5" s="14"/>
      <c r="H5" s="15"/>
    </row>
    <row r="6" spans="1:11" ht="12.75" customHeight="1" x14ac:dyDescent="0.2">
      <c r="B6" s="16"/>
      <c r="F6" s="13"/>
      <c r="G6" s="14"/>
      <c r="H6" s="15"/>
    </row>
    <row r="7" spans="1:11" ht="12.75" customHeight="1" x14ac:dyDescent="0.2">
      <c r="B7" s="16" t="s">
        <v>8</v>
      </c>
      <c r="F7" s="13"/>
      <c r="G7" s="14"/>
      <c r="H7" s="15"/>
      <c r="J7" s="17" t="s">
        <v>493</v>
      </c>
      <c r="K7" s="37" t="s">
        <v>11</v>
      </c>
    </row>
    <row r="8" spans="1:11" ht="12.75" customHeight="1" x14ac:dyDescent="0.2">
      <c r="B8" s="16" t="s">
        <v>347</v>
      </c>
      <c r="C8" s="16"/>
      <c r="F8" s="13"/>
      <c r="G8" s="14"/>
      <c r="H8" s="15"/>
      <c r="J8" s="89" t="s">
        <v>279</v>
      </c>
      <c r="K8" s="102">
        <f t="shared" ref="K8:K33" si="0">SUMIFS($G$5:$G$407,$D$5:$D$407,J8)</f>
        <v>0.26379999999999998</v>
      </c>
    </row>
    <row r="9" spans="1:11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281</v>
      </c>
      <c r="F9" s="13">
        <v>5.7919719999999995</v>
      </c>
      <c r="G9" s="14">
        <f t="shared" ref="G9:G40" si="1">+ROUND(F9/VLOOKUP("Grand Total",$B$4:$F$362,5,0),4)</f>
        <v>3.3500000000000002E-2</v>
      </c>
      <c r="H9" s="15" t="s">
        <v>313</v>
      </c>
      <c r="J9" s="89" t="s">
        <v>9</v>
      </c>
      <c r="K9" s="102">
        <f t="shared" si="0"/>
        <v>0.14069999999999999</v>
      </c>
    </row>
    <row r="10" spans="1:11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458</v>
      </c>
      <c r="F10" s="13">
        <v>5.6867569999999992</v>
      </c>
      <c r="G10" s="14">
        <f t="shared" si="1"/>
        <v>3.2899999999999999E-2</v>
      </c>
      <c r="H10" s="15" t="s">
        <v>313</v>
      </c>
      <c r="J10" s="89" t="s">
        <v>24</v>
      </c>
      <c r="K10" s="102">
        <f t="shared" si="0"/>
        <v>8.879999999999999E-2</v>
      </c>
    </row>
    <row r="11" spans="1:11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1428</v>
      </c>
      <c r="F11" s="13">
        <v>4.5674580000000002</v>
      </c>
      <c r="G11" s="14">
        <f t="shared" si="1"/>
        <v>2.64E-2</v>
      </c>
      <c r="H11" s="15" t="s">
        <v>313</v>
      </c>
      <c r="J11" s="80" t="s">
        <v>13</v>
      </c>
      <c r="K11" s="102">
        <f t="shared" si="0"/>
        <v>5.3600000000000002E-2</v>
      </c>
    </row>
    <row r="12" spans="1:11" ht="12.75" customHeight="1" x14ac:dyDescent="0.2">
      <c r="A12">
        <f>+MAX($A$8:A11)+1</f>
        <v>4</v>
      </c>
      <c r="B12" t="s">
        <v>194</v>
      </c>
      <c r="C12" t="s">
        <v>18</v>
      </c>
      <c r="D12" t="s">
        <v>13</v>
      </c>
      <c r="E12" s="28">
        <v>211</v>
      </c>
      <c r="F12" s="13">
        <v>4.3854240000000004</v>
      </c>
      <c r="G12" s="14">
        <f t="shared" si="1"/>
        <v>2.5399999999999999E-2</v>
      </c>
      <c r="H12" s="15" t="s">
        <v>313</v>
      </c>
      <c r="J12" s="80" t="s">
        <v>22</v>
      </c>
      <c r="K12" s="102">
        <f t="shared" si="0"/>
        <v>3.5199999999999995E-2</v>
      </c>
    </row>
    <row r="13" spans="1:11" ht="12.75" customHeight="1" x14ac:dyDescent="0.2">
      <c r="A13">
        <f>+MAX($A$8:A12)+1</f>
        <v>5</v>
      </c>
      <c r="B13" t="s">
        <v>173</v>
      </c>
      <c r="C13" t="s">
        <v>10</v>
      </c>
      <c r="D13" t="s">
        <v>9</v>
      </c>
      <c r="E13" s="28">
        <v>1274</v>
      </c>
      <c r="F13" s="13">
        <v>4.3647239999999998</v>
      </c>
      <c r="G13" s="14">
        <f t="shared" si="1"/>
        <v>2.53E-2</v>
      </c>
      <c r="H13" s="15" t="s">
        <v>313</v>
      </c>
      <c r="J13" s="80" t="s">
        <v>34</v>
      </c>
      <c r="K13" s="102">
        <f t="shared" si="0"/>
        <v>3.3999999999999996E-2</v>
      </c>
    </row>
    <row r="14" spans="1:11" ht="12.75" customHeight="1" x14ac:dyDescent="0.2">
      <c r="A14">
        <f>+MAX($A$8:A13)+1</f>
        <v>6</v>
      </c>
      <c r="B14" t="s">
        <v>15</v>
      </c>
      <c r="C14" t="s">
        <v>16</v>
      </c>
      <c r="D14" t="s">
        <v>9</v>
      </c>
      <c r="E14" s="28">
        <v>1327</v>
      </c>
      <c r="F14" s="13">
        <v>4.1083920000000003</v>
      </c>
      <c r="G14" s="14">
        <f t="shared" si="1"/>
        <v>2.3800000000000002E-2</v>
      </c>
      <c r="H14" s="15" t="s">
        <v>313</v>
      </c>
      <c r="J14" s="80" t="s">
        <v>28</v>
      </c>
      <c r="K14" s="102">
        <f t="shared" si="0"/>
        <v>3.2899999999999999E-2</v>
      </c>
    </row>
    <row r="15" spans="1:11" ht="12.75" customHeight="1" x14ac:dyDescent="0.2">
      <c r="A15">
        <f>+MAX($A$8:A14)+1</f>
        <v>7</v>
      </c>
      <c r="B15" t="s">
        <v>171</v>
      </c>
      <c r="C15" t="s">
        <v>14</v>
      </c>
      <c r="D15" t="s">
        <v>13</v>
      </c>
      <c r="E15" s="28">
        <v>254</v>
      </c>
      <c r="F15" s="13">
        <v>3.6603940000000001</v>
      </c>
      <c r="G15" s="14">
        <f t="shared" si="1"/>
        <v>2.12E-2</v>
      </c>
      <c r="H15" s="15" t="s">
        <v>313</v>
      </c>
      <c r="J15" s="80" t="s">
        <v>21</v>
      </c>
      <c r="K15" s="102">
        <f t="shared" si="0"/>
        <v>3.1800000000000002E-2</v>
      </c>
    </row>
    <row r="16" spans="1:11" ht="12.75" customHeight="1" x14ac:dyDescent="0.2">
      <c r="A16">
        <f>+MAX($A$8:A15)+1</f>
        <v>8</v>
      </c>
      <c r="B16" t="s">
        <v>203</v>
      </c>
      <c r="C16" t="s">
        <v>69</v>
      </c>
      <c r="D16" t="s">
        <v>26</v>
      </c>
      <c r="E16" s="28">
        <v>235</v>
      </c>
      <c r="F16" s="13">
        <v>3.2184425000000001</v>
      </c>
      <c r="G16" s="14">
        <f t="shared" si="1"/>
        <v>1.8599999999999998E-2</v>
      </c>
      <c r="H16" s="15" t="s">
        <v>313</v>
      </c>
      <c r="J16" s="80" t="s">
        <v>19</v>
      </c>
      <c r="K16" s="102">
        <f t="shared" si="0"/>
        <v>3.1799999999999995E-2</v>
      </c>
    </row>
    <row r="17" spans="1:11" ht="12.75" customHeight="1" x14ac:dyDescent="0.2">
      <c r="A17">
        <f>+MAX($A$8:A16)+1</f>
        <v>9</v>
      </c>
      <c r="B17" t="s">
        <v>176</v>
      </c>
      <c r="C17" t="s">
        <v>25</v>
      </c>
      <c r="D17" t="s">
        <v>22</v>
      </c>
      <c r="E17" s="28">
        <v>160</v>
      </c>
      <c r="F17" s="13">
        <v>3.0975199999999998</v>
      </c>
      <c r="G17" s="14">
        <f t="shared" si="1"/>
        <v>1.7899999999999999E-2</v>
      </c>
      <c r="H17" s="15" t="s">
        <v>313</v>
      </c>
      <c r="J17" s="80" t="s">
        <v>26</v>
      </c>
      <c r="K17" s="102">
        <f t="shared" si="0"/>
        <v>2.7999999999999997E-2</v>
      </c>
    </row>
    <row r="18" spans="1:11" ht="12.75" customHeight="1" x14ac:dyDescent="0.2">
      <c r="A18">
        <f>+MAX($A$8:A17)+1</f>
        <v>10</v>
      </c>
      <c r="B18" t="s">
        <v>336</v>
      </c>
      <c r="C18" t="s">
        <v>335</v>
      </c>
      <c r="D18" t="s">
        <v>24</v>
      </c>
      <c r="E18" s="28">
        <v>565</v>
      </c>
      <c r="F18" s="13">
        <v>2.7049375000000002</v>
      </c>
      <c r="G18" s="14">
        <f t="shared" si="1"/>
        <v>1.5599999999999999E-2</v>
      </c>
      <c r="H18" s="15" t="s">
        <v>313</v>
      </c>
      <c r="J18" s="80" t="s">
        <v>17</v>
      </c>
      <c r="K18" s="102">
        <f t="shared" si="0"/>
        <v>2.69E-2</v>
      </c>
    </row>
    <row r="19" spans="1:11" ht="12.75" customHeight="1" x14ac:dyDescent="0.2">
      <c r="A19">
        <f>+MAX($A$8:A18)+1</f>
        <v>11</v>
      </c>
      <c r="B19" t="s">
        <v>452</v>
      </c>
      <c r="C19" t="s">
        <v>453</v>
      </c>
      <c r="D19" t="s">
        <v>34</v>
      </c>
      <c r="E19" s="28">
        <v>3180</v>
      </c>
      <c r="F19" s="13">
        <v>2.43906</v>
      </c>
      <c r="G19" s="14">
        <f t="shared" si="1"/>
        <v>1.41E-2</v>
      </c>
      <c r="H19" s="15" t="s">
        <v>313</v>
      </c>
      <c r="J19" s="80" t="s">
        <v>36</v>
      </c>
      <c r="K19" s="102">
        <f t="shared" si="0"/>
        <v>1.83E-2</v>
      </c>
    </row>
    <row r="20" spans="1:11" ht="12.75" customHeight="1" x14ac:dyDescent="0.2">
      <c r="A20">
        <f>+MAX($A$8:A19)+1</f>
        <v>12</v>
      </c>
      <c r="B20" t="s">
        <v>454</v>
      </c>
      <c r="C20" t="s">
        <v>455</v>
      </c>
      <c r="D20" t="s">
        <v>24</v>
      </c>
      <c r="E20" s="28">
        <v>31</v>
      </c>
      <c r="F20" s="13">
        <v>2.3886894999999999</v>
      </c>
      <c r="G20" s="14">
        <f t="shared" si="1"/>
        <v>1.38E-2</v>
      </c>
      <c r="H20" s="15" t="s">
        <v>313</v>
      </c>
      <c r="J20" s="80" t="s">
        <v>126</v>
      </c>
      <c r="K20" s="102">
        <f t="shared" si="0"/>
        <v>1.8200000000000001E-2</v>
      </c>
    </row>
    <row r="21" spans="1:11" ht="12.75" customHeight="1" x14ac:dyDescent="0.2">
      <c r="A21">
        <f>+MAX($A$8:A20)+1</f>
        <v>13</v>
      </c>
      <c r="B21" t="s">
        <v>295</v>
      </c>
      <c r="C21" t="s">
        <v>521</v>
      </c>
      <c r="D21" t="s">
        <v>126</v>
      </c>
      <c r="E21" s="28">
        <v>980</v>
      </c>
      <c r="F21" s="13">
        <v>2.36964</v>
      </c>
      <c r="G21" s="14">
        <f t="shared" si="1"/>
        <v>1.37E-2</v>
      </c>
      <c r="H21" s="15" t="s">
        <v>313</v>
      </c>
      <c r="J21" s="80" t="s">
        <v>39</v>
      </c>
      <c r="K21" s="102">
        <f t="shared" si="0"/>
        <v>1.7299999999999999E-2</v>
      </c>
    </row>
    <row r="22" spans="1:11" ht="12.75" customHeight="1" x14ac:dyDescent="0.2">
      <c r="A22">
        <f>+MAX($A$8:A21)+1</f>
        <v>14</v>
      </c>
      <c r="B22" t="s">
        <v>349</v>
      </c>
      <c r="C22" t="s">
        <v>350</v>
      </c>
      <c r="D22" t="s">
        <v>351</v>
      </c>
      <c r="E22" s="28">
        <v>1421</v>
      </c>
      <c r="F22" s="13">
        <v>2.3467815000000001</v>
      </c>
      <c r="G22" s="14">
        <f t="shared" si="1"/>
        <v>1.3599999999999999E-2</v>
      </c>
      <c r="H22" s="15" t="s">
        <v>313</v>
      </c>
      <c r="J22" s="80" t="s">
        <v>351</v>
      </c>
      <c r="K22" s="102">
        <f t="shared" si="0"/>
        <v>1.3599999999999999E-2</v>
      </c>
    </row>
    <row r="23" spans="1:11" ht="12.75" customHeight="1" x14ac:dyDescent="0.2">
      <c r="A23">
        <f>+MAX($A$8:A22)+1</f>
        <v>15</v>
      </c>
      <c r="B23" t="s">
        <v>276</v>
      </c>
      <c r="C23" t="s">
        <v>277</v>
      </c>
      <c r="D23" t="s">
        <v>135</v>
      </c>
      <c r="E23" s="28">
        <v>404</v>
      </c>
      <c r="F23" s="13">
        <v>2.2894679999999998</v>
      </c>
      <c r="G23" s="14">
        <f t="shared" si="1"/>
        <v>1.32E-2</v>
      </c>
      <c r="H23" s="15" t="s">
        <v>313</v>
      </c>
      <c r="J23" s="80" t="s">
        <v>102</v>
      </c>
      <c r="K23" s="102">
        <f t="shared" si="0"/>
        <v>1.3600000000000001E-2</v>
      </c>
    </row>
    <row r="24" spans="1:11" ht="12.75" customHeight="1" x14ac:dyDescent="0.2">
      <c r="A24">
        <f>+MAX($A$8:A23)+1</f>
        <v>16</v>
      </c>
      <c r="B24" t="s">
        <v>189</v>
      </c>
      <c r="C24" t="s">
        <v>72</v>
      </c>
      <c r="D24" t="s">
        <v>395</v>
      </c>
      <c r="E24" s="28">
        <v>1664</v>
      </c>
      <c r="F24" s="13">
        <v>2.2838400000000001</v>
      </c>
      <c r="G24" s="14">
        <f t="shared" si="1"/>
        <v>1.32E-2</v>
      </c>
      <c r="H24" s="15" t="s">
        <v>313</v>
      </c>
      <c r="J24" s="80" t="s">
        <v>135</v>
      </c>
      <c r="K24" s="102">
        <f t="shared" si="0"/>
        <v>1.32E-2</v>
      </c>
    </row>
    <row r="25" spans="1:11" ht="12.75" customHeight="1" x14ac:dyDescent="0.2">
      <c r="A25">
        <f>+MAX($A$8:A24)+1</f>
        <v>17</v>
      </c>
      <c r="B25" t="s">
        <v>221</v>
      </c>
      <c r="C25" t="s">
        <v>111</v>
      </c>
      <c r="D25" t="s">
        <v>34</v>
      </c>
      <c r="E25" s="28">
        <v>1256</v>
      </c>
      <c r="F25" s="13">
        <v>2.1540400000000002</v>
      </c>
      <c r="G25" s="14">
        <f t="shared" si="1"/>
        <v>1.2500000000000001E-2</v>
      </c>
      <c r="H25" s="15" t="s">
        <v>313</v>
      </c>
      <c r="J25" s="80" t="s">
        <v>395</v>
      </c>
      <c r="K25" s="102">
        <f t="shared" si="0"/>
        <v>1.32E-2</v>
      </c>
    </row>
    <row r="26" spans="1:11" ht="12.75" customHeight="1" x14ac:dyDescent="0.2">
      <c r="A26">
        <f>+MAX($A$8:A25)+1</f>
        <v>18</v>
      </c>
      <c r="B26" t="s">
        <v>181</v>
      </c>
      <c r="C26" t="s">
        <v>46</v>
      </c>
      <c r="D26" t="s">
        <v>24</v>
      </c>
      <c r="E26" s="28">
        <v>30</v>
      </c>
      <c r="F26" s="13">
        <v>2.0210249999999998</v>
      </c>
      <c r="G26" s="14">
        <f t="shared" si="1"/>
        <v>1.17E-2</v>
      </c>
      <c r="H26" s="15" t="s">
        <v>313</v>
      </c>
      <c r="J26" s="80" t="s">
        <v>43</v>
      </c>
      <c r="K26" s="102">
        <f t="shared" si="0"/>
        <v>1.0800000000000001E-2</v>
      </c>
    </row>
    <row r="27" spans="1:11" ht="12.75" customHeight="1" x14ac:dyDescent="0.2">
      <c r="A27">
        <f>+MAX($A$8:A26)+1</f>
        <v>19</v>
      </c>
      <c r="B27" t="s">
        <v>269</v>
      </c>
      <c r="C27" t="s">
        <v>55</v>
      </c>
      <c r="D27" t="s">
        <v>24</v>
      </c>
      <c r="E27" s="28">
        <v>104</v>
      </c>
      <c r="F27" s="13">
        <v>1.940952</v>
      </c>
      <c r="G27" s="14">
        <f t="shared" si="1"/>
        <v>1.12E-2</v>
      </c>
      <c r="H27" s="15" t="s">
        <v>313</v>
      </c>
      <c r="J27" s="80" t="s">
        <v>49</v>
      </c>
      <c r="K27" s="102">
        <f t="shared" si="0"/>
        <v>1.0200000000000001E-2</v>
      </c>
    </row>
    <row r="28" spans="1:11" ht="12.75" customHeight="1" x14ac:dyDescent="0.2">
      <c r="A28">
        <f>+MAX($A$8:A27)+1</f>
        <v>20</v>
      </c>
      <c r="B28" t="s">
        <v>522</v>
      </c>
      <c r="C28" t="s">
        <v>523</v>
      </c>
      <c r="D28" t="s">
        <v>22</v>
      </c>
      <c r="E28" s="28">
        <v>506</v>
      </c>
      <c r="F28" s="13">
        <v>1.8992710000000002</v>
      </c>
      <c r="G28" s="14">
        <f t="shared" si="1"/>
        <v>1.0999999999999999E-2</v>
      </c>
      <c r="H28" s="15" t="s">
        <v>313</v>
      </c>
      <c r="J28" s="80" t="s">
        <v>345</v>
      </c>
      <c r="K28" s="102">
        <f t="shared" si="0"/>
        <v>5.7000000000000002E-3</v>
      </c>
    </row>
    <row r="29" spans="1:11" ht="12.75" customHeight="1" x14ac:dyDescent="0.2">
      <c r="A29">
        <f>+MAX($A$8:A28)+1</f>
        <v>21</v>
      </c>
      <c r="B29" t="s">
        <v>270</v>
      </c>
      <c r="C29" t="s">
        <v>74</v>
      </c>
      <c r="D29" t="s">
        <v>36</v>
      </c>
      <c r="E29" s="28">
        <v>556</v>
      </c>
      <c r="F29" s="13">
        <v>1.8962379999999999</v>
      </c>
      <c r="G29" s="14">
        <f t="shared" si="1"/>
        <v>1.0999999999999999E-2</v>
      </c>
      <c r="H29" s="15" t="s">
        <v>313</v>
      </c>
      <c r="J29" s="80" t="s">
        <v>41</v>
      </c>
      <c r="K29" s="102">
        <f t="shared" si="0"/>
        <v>5.4000000000000003E-3</v>
      </c>
    </row>
    <row r="30" spans="1:11" ht="12.75" customHeight="1" x14ac:dyDescent="0.2">
      <c r="A30">
        <f>+MAX($A$8:A29)+1</f>
        <v>22</v>
      </c>
      <c r="B30" t="s">
        <v>187</v>
      </c>
      <c r="C30" t="s">
        <v>47</v>
      </c>
      <c r="D30" t="s">
        <v>19</v>
      </c>
      <c r="E30" s="28">
        <v>20</v>
      </c>
      <c r="F30" s="13">
        <v>1.81928</v>
      </c>
      <c r="G30" s="14">
        <f t="shared" si="1"/>
        <v>1.0500000000000001E-2</v>
      </c>
      <c r="H30" s="15" t="s">
        <v>313</v>
      </c>
      <c r="J30" s="80" t="s">
        <v>35</v>
      </c>
      <c r="K30" s="102">
        <f t="shared" si="0"/>
        <v>5.4000000000000003E-3</v>
      </c>
    </row>
    <row r="31" spans="1:11" ht="12.75" customHeight="1" x14ac:dyDescent="0.2">
      <c r="A31">
        <f>+MAX($A$8:A30)+1</f>
        <v>23</v>
      </c>
      <c r="B31" t="s">
        <v>190</v>
      </c>
      <c r="C31" t="s">
        <v>94</v>
      </c>
      <c r="D31" t="s">
        <v>9</v>
      </c>
      <c r="E31" s="28">
        <v>141</v>
      </c>
      <c r="F31" s="13">
        <v>1.8150225</v>
      </c>
      <c r="G31" s="14">
        <f t="shared" si="1"/>
        <v>1.0500000000000001E-2</v>
      </c>
      <c r="H31" s="15" t="s">
        <v>313</v>
      </c>
      <c r="J31" s="80" t="s">
        <v>30</v>
      </c>
      <c r="K31" s="102">
        <f t="shared" si="0"/>
        <v>4.7999999999999996E-3</v>
      </c>
    </row>
    <row r="32" spans="1:11" ht="12.75" customHeight="1" x14ac:dyDescent="0.2">
      <c r="A32">
        <f>+MAX($A$8:A31)+1</f>
        <v>24</v>
      </c>
      <c r="B32" t="s">
        <v>271</v>
      </c>
      <c r="C32" t="s">
        <v>65</v>
      </c>
      <c r="D32" t="s">
        <v>17</v>
      </c>
      <c r="E32" s="28">
        <v>1402</v>
      </c>
      <c r="F32" s="13">
        <v>1.7721279999999999</v>
      </c>
      <c r="G32" s="14">
        <f t="shared" si="1"/>
        <v>1.03E-2</v>
      </c>
      <c r="H32" s="15" t="s">
        <v>313</v>
      </c>
      <c r="J32" s="80" t="s">
        <v>32</v>
      </c>
      <c r="K32" s="102">
        <f t="shared" si="0"/>
        <v>4.5999999999999999E-3</v>
      </c>
    </row>
    <row r="33" spans="1:11" ht="12.75" customHeight="1" x14ac:dyDescent="0.2">
      <c r="A33">
        <f>+MAX($A$8:A32)+1</f>
        <v>25</v>
      </c>
      <c r="B33" t="s">
        <v>206</v>
      </c>
      <c r="C33" t="s">
        <v>76</v>
      </c>
      <c r="D33" t="s">
        <v>49</v>
      </c>
      <c r="E33" s="28">
        <v>614</v>
      </c>
      <c r="F33" s="13">
        <v>1.755733</v>
      </c>
      <c r="G33" s="14">
        <f t="shared" si="1"/>
        <v>1.0200000000000001E-2</v>
      </c>
      <c r="H33" s="15" t="s">
        <v>313</v>
      </c>
      <c r="J33" s="14" t="s">
        <v>357</v>
      </c>
      <c r="K33" s="102">
        <f t="shared" si="0"/>
        <v>2.8E-3</v>
      </c>
    </row>
    <row r="34" spans="1:11" ht="12.75" customHeight="1" x14ac:dyDescent="0.2">
      <c r="A34">
        <f>+MAX($A$8:A33)+1</f>
        <v>26</v>
      </c>
      <c r="B34" t="s">
        <v>209</v>
      </c>
      <c r="C34" t="s">
        <v>634</v>
      </c>
      <c r="D34" t="s">
        <v>24</v>
      </c>
      <c r="E34" s="28">
        <v>277</v>
      </c>
      <c r="F34" s="13">
        <v>1.7457925000000001</v>
      </c>
      <c r="G34" s="14">
        <f t="shared" si="1"/>
        <v>1.01E-2</v>
      </c>
      <c r="H34" s="15" t="s">
        <v>313</v>
      </c>
      <c r="J34" s="14" t="s">
        <v>62</v>
      </c>
      <c r="K34" s="48">
        <f>+SUMIFS($G$5:$G$1002,$B$5:$B$1002,"CBLO / Reverse Repo")+SUMIFS($G$5:$G$1002,$B$5:$B$1002,"Net Receivable/Payable")</f>
        <v>7.5399999999999995E-2</v>
      </c>
    </row>
    <row r="35" spans="1:11" ht="12.75" customHeight="1" x14ac:dyDescent="0.2">
      <c r="A35">
        <f>+MAX($A$8:A34)+1</f>
        <v>27</v>
      </c>
      <c r="B35" t="s">
        <v>211</v>
      </c>
      <c r="C35" t="s">
        <v>96</v>
      </c>
      <c r="D35" t="s">
        <v>19</v>
      </c>
      <c r="E35" s="28">
        <v>171</v>
      </c>
      <c r="F35" s="13">
        <v>1.650663</v>
      </c>
      <c r="G35" s="14">
        <f t="shared" si="1"/>
        <v>9.5999999999999992E-3</v>
      </c>
      <c r="H35" s="15" t="s">
        <v>313</v>
      </c>
      <c r="J35" s="17"/>
      <c r="K35" s="37"/>
    </row>
    <row r="36" spans="1:11" ht="12.75" customHeight="1" x14ac:dyDescent="0.2">
      <c r="A36">
        <f>+MAX($A$8:A35)+1</f>
        <v>28</v>
      </c>
      <c r="B36" t="s">
        <v>246</v>
      </c>
      <c r="C36" t="s">
        <v>138</v>
      </c>
      <c r="D36" t="s">
        <v>39</v>
      </c>
      <c r="E36" s="28">
        <v>261</v>
      </c>
      <c r="F36" s="13">
        <v>1.6115445000000002</v>
      </c>
      <c r="G36" s="14">
        <f t="shared" si="1"/>
        <v>9.2999999999999992E-3</v>
      </c>
      <c r="H36" s="15" t="s">
        <v>313</v>
      </c>
      <c r="J36" s="17"/>
      <c r="K36" s="37"/>
    </row>
    <row r="37" spans="1:11" ht="12.75" customHeight="1" x14ac:dyDescent="0.2">
      <c r="A37">
        <f>+MAX($A$8:A36)+1</f>
        <v>29</v>
      </c>
      <c r="B37" t="s">
        <v>183</v>
      </c>
      <c r="C37" t="s">
        <v>48</v>
      </c>
      <c r="D37" t="s">
        <v>21</v>
      </c>
      <c r="E37" s="28">
        <v>18</v>
      </c>
      <c r="F37" s="13">
        <v>1.4995350000000001</v>
      </c>
      <c r="G37" s="14">
        <f t="shared" si="1"/>
        <v>8.6999999999999994E-3</v>
      </c>
      <c r="H37" s="15" t="s">
        <v>313</v>
      </c>
      <c r="J37" s="17"/>
      <c r="K37" s="37"/>
    </row>
    <row r="38" spans="1:11" ht="12.75" customHeight="1" x14ac:dyDescent="0.2">
      <c r="A38">
        <f>+MAX($A$8:A37)+1</f>
        <v>30</v>
      </c>
      <c r="B38" t="s">
        <v>432</v>
      </c>
      <c r="C38" t="s">
        <v>383</v>
      </c>
      <c r="D38" t="s">
        <v>21</v>
      </c>
      <c r="E38" s="28">
        <v>483</v>
      </c>
      <c r="F38" s="13">
        <v>1.4306460000000001</v>
      </c>
      <c r="G38" s="14">
        <f t="shared" si="1"/>
        <v>8.3000000000000001E-3</v>
      </c>
      <c r="H38" s="15" t="s">
        <v>313</v>
      </c>
      <c r="J38" s="17"/>
      <c r="K38" s="37"/>
    </row>
    <row r="39" spans="1:11" ht="12.75" customHeight="1" x14ac:dyDescent="0.2">
      <c r="A39">
        <f>+MAX($A$8:A38)+1</f>
        <v>31</v>
      </c>
      <c r="B39" t="s">
        <v>280</v>
      </c>
      <c r="C39" t="s">
        <v>281</v>
      </c>
      <c r="D39" t="s">
        <v>9</v>
      </c>
      <c r="E39" s="28">
        <v>687</v>
      </c>
      <c r="F39" s="13">
        <v>1.3915185000000001</v>
      </c>
      <c r="G39" s="14">
        <f t="shared" si="1"/>
        <v>8.0999999999999996E-3</v>
      </c>
      <c r="H39" s="15" t="s">
        <v>313</v>
      </c>
      <c r="J39" s="17"/>
      <c r="K39" s="37"/>
    </row>
    <row r="40" spans="1:11" ht="12.75" customHeight="1" x14ac:dyDescent="0.2">
      <c r="A40">
        <f>+MAX($A$8:A39)+1</f>
        <v>32</v>
      </c>
      <c r="B40" t="s">
        <v>184</v>
      </c>
      <c r="C40" t="s">
        <v>50</v>
      </c>
      <c r="D40" t="s">
        <v>39</v>
      </c>
      <c r="E40" s="28">
        <v>1627</v>
      </c>
      <c r="F40" s="13">
        <v>1.3870175</v>
      </c>
      <c r="G40" s="14">
        <f t="shared" si="1"/>
        <v>8.0000000000000002E-3</v>
      </c>
      <c r="H40" s="15" t="s">
        <v>313</v>
      </c>
      <c r="J40" s="17"/>
      <c r="K40" s="37"/>
    </row>
    <row r="41" spans="1:11" ht="12.75" customHeight="1" x14ac:dyDescent="0.2">
      <c r="A41">
        <f>+MAX($A$8:A40)+1</f>
        <v>33</v>
      </c>
      <c r="B41" t="s">
        <v>354</v>
      </c>
      <c r="C41" t="s">
        <v>66</v>
      </c>
      <c r="D41" t="s">
        <v>21</v>
      </c>
      <c r="E41" s="28">
        <v>208</v>
      </c>
      <c r="F41" s="13">
        <v>1.3579279999999998</v>
      </c>
      <c r="G41" s="14">
        <f t="shared" ref="G41:G71" si="2">+ROUND(F41/VLOOKUP("Grand Total",$B$4:$F$362,5,0),4)</f>
        <v>7.9000000000000008E-3</v>
      </c>
      <c r="H41" s="15" t="s">
        <v>313</v>
      </c>
      <c r="J41" s="17"/>
      <c r="K41" s="37"/>
    </row>
    <row r="42" spans="1:11" ht="12.75" customHeight="1" x14ac:dyDescent="0.2">
      <c r="A42">
        <f>+MAX($A$8:A41)+1</f>
        <v>34</v>
      </c>
      <c r="B42" t="s">
        <v>202</v>
      </c>
      <c r="C42" t="s">
        <v>64</v>
      </c>
      <c r="D42" t="s">
        <v>26</v>
      </c>
      <c r="E42" s="28">
        <v>421</v>
      </c>
      <c r="F42" s="13">
        <v>1.27142</v>
      </c>
      <c r="G42" s="14">
        <f t="shared" si="2"/>
        <v>7.4000000000000003E-3</v>
      </c>
      <c r="H42" s="15" t="s">
        <v>313</v>
      </c>
      <c r="J42" s="17"/>
      <c r="K42" s="37"/>
    </row>
    <row r="43" spans="1:11" ht="12.75" customHeight="1" x14ac:dyDescent="0.2">
      <c r="A43">
        <f>+MAX($A$8:A42)+1</f>
        <v>35</v>
      </c>
      <c r="B43" t="s">
        <v>309</v>
      </c>
      <c r="C43" t="s">
        <v>310</v>
      </c>
      <c r="D43" t="s">
        <v>36</v>
      </c>
      <c r="E43" s="28">
        <v>1502</v>
      </c>
      <c r="F43" s="13">
        <v>1.2676879999999999</v>
      </c>
      <c r="G43" s="14">
        <f t="shared" si="2"/>
        <v>7.3000000000000001E-3</v>
      </c>
      <c r="H43" s="15" t="s">
        <v>313</v>
      </c>
      <c r="J43" s="17"/>
      <c r="K43" s="37"/>
    </row>
    <row r="44" spans="1:11" ht="12.75" customHeight="1" x14ac:dyDescent="0.2">
      <c r="A44">
        <f>+MAX($A$8:A43)+1</f>
        <v>36</v>
      </c>
      <c r="B44" t="s">
        <v>468</v>
      </c>
      <c r="C44" t="s">
        <v>469</v>
      </c>
      <c r="D44" t="s">
        <v>102</v>
      </c>
      <c r="E44" s="28">
        <v>1329</v>
      </c>
      <c r="F44" s="13">
        <v>1.2067319999999999</v>
      </c>
      <c r="G44" s="14">
        <f t="shared" si="2"/>
        <v>7.0000000000000001E-3</v>
      </c>
      <c r="H44" s="15" t="s">
        <v>313</v>
      </c>
      <c r="J44" s="17"/>
      <c r="K44" s="37"/>
    </row>
    <row r="45" spans="1:11" ht="12.75" customHeight="1" x14ac:dyDescent="0.2">
      <c r="A45">
        <f>+MAX($A$8:A44)+1</f>
        <v>37</v>
      </c>
      <c r="B45" t="s">
        <v>175</v>
      </c>
      <c r="C45" t="s">
        <v>23</v>
      </c>
      <c r="D45" t="s">
        <v>13</v>
      </c>
      <c r="E45" s="28">
        <v>115</v>
      </c>
      <c r="F45" s="13">
        <v>1.2034175</v>
      </c>
      <c r="G45" s="14">
        <f t="shared" si="2"/>
        <v>7.0000000000000001E-3</v>
      </c>
      <c r="H45" s="15" t="s">
        <v>313</v>
      </c>
      <c r="J45" s="17"/>
      <c r="K45" s="37"/>
    </row>
    <row r="46" spans="1:11" ht="12.75" customHeight="1" x14ac:dyDescent="0.2">
      <c r="A46">
        <f>+MAX($A$8:A45)+1</f>
        <v>38</v>
      </c>
      <c r="B46" t="s">
        <v>193</v>
      </c>
      <c r="C46" t="s">
        <v>59</v>
      </c>
      <c r="D46" t="s">
        <v>21</v>
      </c>
      <c r="E46" s="28">
        <v>168</v>
      </c>
      <c r="F46" s="13">
        <v>1.1974199999999999</v>
      </c>
      <c r="G46" s="14">
        <f t="shared" si="2"/>
        <v>6.8999999999999999E-3</v>
      </c>
      <c r="H46" s="15" t="s">
        <v>313</v>
      </c>
      <c r="J46" s="17"/>
      <c r="K46" s="37"/>
    </row>
    <row r="47" spans="1:11" ht="12.75" customHeight="1" x14ac:dyDescent="0.2">
      <c r="A47">
        <f>+MAX($A$8:A46)+1</f>
        <v>39</v>
      </c>
      <c r="B47" t="s">
        <v>38</v>
      </c>
      <c r="C47" t="s">
        <v>40</v>
      </c>
      <c r="D47" t="s">
        <v>9</v>
      </c>
      <c r="E47" s="28">
        <v>752</v>
      </c>
      <c r="F47" s="13">
        <v>1.1501839999999999</v>
      </c>
      <c r="G47" s="14">
        <f t="shared" si="2"/>
        <v>6.7000000000000002E-3</v>
      </c>
      <c r="H47" s="15" t="s">
        <v>313</v>
      </c>
      <c r="J47" s="17"/>
      <c r="K47" s="37"/>
    </row>
    <row r="48" spans="1:11" ht="12.75" customHeight="1" x14ac:dyDescent="0.2">
      <c r="A48">
        <f>+MAX($A$8:A47)+1</f>
        <v>40</v>
      </c>
      <c r="B48" t="s">
        <v>456</v>
      </c>
      <c r="C48" t="s">
        <v>457</v>
      </c>
      <c r="D48" t="s">
        <v>102</v>
      </c>
      <c r="E48" s="28">
        <v>1427</v>
      </c>
      <c r="F48" s="13">
        <v>1.1394595000000001</v>
      </c>
      <c r="G48" s="14">
        <f t="shared" si="2"/>
        <v>6.6E-3</v>
      </c>
      <c r="H48" s="15" t="s">
        <v>313</v>
      </c>
      <c r="J48" s="17"/>
      <c r="K48" s="37"/>
    </row>
    <row r="49" spans="1:11" ht="12.75" customHeight="1" x14ac:dyDescent="0.2">
      <c r="A49">
        <f>+MAX($A$8:A48)+1</f>
        <v>41</v>
      </c>
      <c r="B49" t="s">
        <v>151</v>
      </c>
      <c r="C49" t="s">
        <v>161</v>
      </c>
      <c r="D49" t="s">
        <v>9</v>
      </c>
      <c r="E49" s="28">
        <v>400</v>
      </c>
      <c r="F49" s="13">
        <v>1.1348</v>
      </c>
      <c r="G49" s="14">
        <f t="shared" si="2"/>
        <v>6.6E-3</v>
      </c>
      <c r="H49" s="15" t="s">
        <v>313</v>
      </c>
      <c r="J49" s="17"/>
      <c r="K49" s="37"/>
    </row>
    <row r="50" spans="1:11" ht="12.75" customHeight="1" x14ac:dyDescent="0.2">
      <c r="A50">
        <f>+MAX($A$8:A49)+1</f>
        <v>42</v>
      </c>
      <c r="B50" t="s">
        <v>465</v>
      </c>
      <c r="C50" t="s">
        <v>346</v>
      </c>
      <c r="D50" t="s">
        <v>9</v>
      </c>
      <c r="E50" s="28">
        <v>1163</v>
      </c>
      <c r="F50" s="13">
        <v>1.088568</v>
      </c>
      <c r="G50" s="14">
        <f t="shared" si="2"/>
        <v>6.3E-3</v>
      </c>
      <c r="H50" s="15" t="s">
        <v>313</v>
      </c>
      <c r="J50" s="17"/>
      <c r="K50" s="37"/>
    </row>
    <row r="51" spans="1:11" ht="12.75" customHeight="1" x14ac:dyDescent="0.2">
      <c r="A51">
        <f>+MAX($A$8:A50)+1</f>
        <v>43</v>
      </c>
      <c r="B51" t="s">
        <v>195</v>
      </c>
      <c r="C51" t="s">
        <v>27</v>
      </c>
      <c r="D51" t="s">
        <v>9</v>
      </c>
      <c r="E51" s="28">
        <v>167</v>
      </c>
      <c r="F51" s="13">
        <v>1.0842475</v>
      </c>
      <c r="G51" s="14">
        <f t="shared" si="2"/>
        <v>6.3E-3</v>
      </c>
      <c r="H51" s="15" t="s">
        <v>313</v>
      </c>
      <c r="J51" s="17"/>
      <c r="K51" s="37"/>
    </row>
    <row r="52" spans="1:11" ht="12.75" customHeight="1" x14ac:dyDescent="0.2">
      <c r="A52">
        <f>+MAX($A$8:A51)+1</f>
        <v>44</v>
      </c>
      <c r="B52" t="s">
        <v>398</v>
      </c>
      <c r="C52" t="s">
        <v>399</v>
      </c>
      <c r="D52" t="s">
        <v>22</v>
      </c>
      <c r="E52" s="28">
        <v>81</v>
      </c>
      <c r="F52" s="13">
        <v>1.081998</v>
      </c>
      <c r="G52" s="14">
        <f t="shared" si="2"/>
        <v>6.3E-3</v>
      </c>
      <c r="H52" s="15" t="s">
        <v>313</v>
      </c>
      <c r="J52" s="17"/>
      <c r="K52" s="37"/>
    </row>
    <row r="53" spans="1:11" ht="12.75" customHeight="1" x14ac:dyDescent="0.2">
      <c r="A53">
        <f>+MAX($A$8:A52)+1</f>
        <v>45</v>
      </c>
      <c r="B53" t="s">
        <v>289</v>
      </c>
      <c r="C53" t="s">
        <v>290</v>
      </c>
      <c r="D53" t="s">
        <v>17</v>
      </c>
      <c r="E53" s="28">
        <v>142</v>
      </c>
      <c r="F53" s="13">
        <v>1.079626</v>
      </c>
      <c r="G53" s="14">
        <f t="shared" si="2"/>
        <v>6.1999999999999998E-3</v>
      </c>
      <c r="H53" s="15" t="s">
        <v>313</v>
      </c>
      <c r="J53" s="17"/>
      <c r="K53" s="37"/>
    </row>
    <row r="54" spans="1:11" ht="12.75" customHeight="1" x14ac:dyDescent="0.2">
      <c r="A54">
        <f>+MAX($A$8:A53)+1</f>
        <v>46</v>
      </c>
      <c r="B54" t="s">
        <v>182</v>
      </c>
      <c r="C54" t="s">
        <v>51</v>
      </c>
      <c r="D54" t="s">
        <v>17</v>
      </c>
      <c r="E54" s="28">
        <v>24</v>
      </c>
      <c r="F54" s="13">
        <v>1.07412</v>
      </c>
      <c r="G54" s="14">
        <f t="shared" si="2"/>
        <v>6.1999999999999998E-3</v>
      </c>
      <c r="H54" s="15" t="s">
        <v>313</v>
      </c>
      <c r="J54" s="17"/>
      <c r="K54" s="37"/>
    </row>
    <row r="55" spans="1:11" ht="12.75" customHeight="1" x14ac:dyDescent="0.2">
      <c r="A55">
        <f>+MAX($A$8:A54)+1</f>
        <v>47</v>
      </c>
      <c r="B55" t="s">
        <v>198</v>
      </c>
      <c r="C55" t="s">
        <v>61</v>
      </c>
      <c r="D55" t="s">
        <v>34</v>
      </c>
      <c r="E55" s="28">
        <v>292</v>
      </c>
      <c r="F55" s="13">
        <v>1.042586</v>
      </c>
      <c r="G55" s="14">
        <f t="shared" si="2"/>
        <v>6.0000000000000001E-3</v>
      </c>
      <c r="H55" s="15" t="s">
        <v>313</v>
      </c>
      <c r="J55" s="17"/>
      <c r="K55" s="37"/>
    </row>
    <row r="56" spans="1:11" ht="12.75" customHeight="1" x14ac:dyDescent="0.2">
      <c r="A56">
        <f>+MAX($A$8:A55)+1</f>
        <v>48</v>
      </c>
      <c r="B56" t="s">
        <v>219</v>
      </c>
      <c r="C56" t="s">
        <v>108</v>
      </c>
      <c r="D56" t="s">
        <v>19</v>
      </c>
      <c r="E56" s="28">
        <v>32</v>
      </c>
      <c r="F56" s="13">
        <v>1.0412160000000001</v>
      </c>
      <c r="G56" s="14">
        <f t="shared" si="2"/>
        <v>6.0000000000000001E-3</v>
      </c>
      <c r="H56" s="15" t="s">
        <v>313</v>
      </c>
      <c r="J56" s="17"/>
      <c r="K56" s="37"/>
    </row>
    <row r="57" spans="1:11" ht="12.75" customHeight="1" x14ac:dyDescent="0.2">
      <c r="A57">
        <f>+MAX($A$8:A56)+1</f>
        <v>49</v>
      </c>
      <c r="B57" t="s">
        <v>208</v>
      </c>
      <c r="C57" t="s">
        <v>78</v>
      </c>
      <c r="D57" t="s">
        <v>43</v>
      </c>
      <c r="E57" s="28">
        <v>344</v>
      </c>
      <c r="F57" s="13">
        <v>1.0304519999999999</v>
      </c>
      <c r="G57" s="14">
        <f t="shared" si="2"/>
        <v>6.0000000000000001E-3</v>
      </c>
      <c r="H57" s="15" t="s">
        <v>313</v>
      </c>
      <c r="J57" s="17"/>
      <c r="K57" s="37"/>
    </row>
    <row r="58" spans="1:11" ht="12.75" customHeight="1" x14ac:dyDescent="0.2">
      <c r="A58">
        <f>+MAX($A$8:A57)+1</f>
        <v>50</v>
      </c>
      <c r="B58" t="s">
        <v>177</v>
      </c>
      <c r="C58" t="s">
        <v>37</v>
      </c>
      <c r="D58" t="s">
        <v>19</v>
      </c>
      <c r="E58" s="28">
        <v>36</v>
      </c>
      <c r="F58" s="13">
        <v>0.98814600000000008</v>
      </c>
      <c r="G58" s="14">
        <f t="shared" si="2"/>
        <v>5.7000000000000002E-3</v>
      </c>
      <c r="H58" s="15" t="s">
        <v>313</v>
      </c>
      <c r="J58" s="17"/>
      <c r="K58" s="37"/>
    </row>
    <row r="59" spans="1:11" ht="12.75" customHeight="1" x14ac:dyDescent="0.2">
      <c r="A59">
        <f>+MAX($A$8:A58)+1</f>
        <v>51</v>
      </c>
      <c r="B59" t="s">
        <v>201</v>
      </c>
      <c r="C59" t="s">
        <v>68</v>
      </c>
      <c r="D59" t="s">
        <v>9</v>
      </c>
      <c r="E59" s="28">
        <v>1167</v>
      </c>
      <c r="F59" s="13">
        <v>0.94643699999999997</v>
      </c>
      <c r="G59" s="14">
        <f t="shared" si="2"/>
        <v>5.4999999999999997E-3</v>
      </c>
      <c r="H59" s="15" t="s">
        <v>313</v>
      </c>
      <c r="J59" s="17"/>
      <c r="K59" s="37"/>
    </row>
    <row r="60" spans="1:11" ht="12.75" customHeight="1" x14ac:dyDescent="0.2">
      <c r="A60">
        <f>+MAX($A$8:A59)+1</f>
        <v>52</v>
      </c>
      <c r="B60" t="s">
        <v>494</v>
      </c>
      <c r="C60" t="s">
        <v>495</v>
      </c>
      <c r="D60" t="s">
        <v>35</v>
      </c>
      <c r="E60" s="28">
        <v>101</v>
      </c>
      <c r="F60" s="13">
        <v>0.9381385000000001</v>
      </c>
      <c r="G60" s="14">
        <f t="shared" si="2"/>
        <v>5.4000000000000003E-3</v>
      </c>
      <c r="H60" s="15" t="s">
        <v>313</v>
      </c>
      <c r="J60" s="17"/>
      <c r="K60" s="37"/>
    </row>
    <row r="61" spans="1:11" ht="12.75" customHeight="1" x14ac:dyDescent="0.2">
      <c r="A61">
        <f>+MAX($A$8:A60)+1</f>
        <v>53</v>
      </c>
      <c r="B61" t="s">
        <v>437</v>
      </c>
      <c r="C61" t="s">
        <v>438</v>
      </c>
      <c r="D61" t="s">
        <v>9</v>
      </c>
      <c r="E61" s="28">
        <v>1466</v>
      </c>
      <c r="F61" s="13">
        <v>0.93750699999999998</v>
      </c>
      <c r="G61" s="14">
        <f t="shared" si="2"/>
        <v>5.4000000000000003E-3</v>
      </c>
      <c r="H61" s="15" t="s">
        <v>313</v>
      </c>
      <c r="J61" s="17"/>
      <c r="K61" s="37"/>
    </row>
    <row r="62" spans="1:11" ht="12.75" customHeight="1" x14ac:dyDescent="0.2">
      <c r="A62">
        <f>+MAX($A$8:A61)+1</f>
        <v>54</v>
      </c>
      <c r="B62" t="s">
        <v>396</v>
      </c>
      <c r="C62" t="s">
        <v>397</v>
      </c>
      <c r="D62" t="s">
        <v>41</v>
      </c>
      <c r="E62" s="28">
        <v>110</v>
      </c>
      <c r="F62" s="13">
        <v>0.92757500000000004</v>
      </c>
      <c r="G62" s="14">
        <f t="shared" si="2"/>
        <v>5.4000000000000003E-3</v>
      </c>
      <c r="H62" s="15" t="s">
        <v>313</v>
      </c>
      <c r="J62" s="17"/>
      <c r="K62" s="37"/>
    </row>
    <row r="63" spans="1:11" ht="12.75" customHeight="1" x14ac:dyDescent="0.2">
      <c r="A63">
        <f>+MAX($A$8:A62)+1</f>
        <v>55</v>
      </c>
      <c r="B63" t="s">
        <v>500</v>
      </c>
      <c r="C63" t="s">
        <v>501</v>
      </c>
      <c r="D63" t="s">
        <v>30</v>
      </c>
      <c r="E63" s="28">
        <v>401</v>
      </c>
      <c r="F63" s="13">
        <v>0.83688699999999994</v>
      </c>
      <c r="G63" s="14">
        <f t="shared" si="2"/>
        <v>4.7999999999999996E-3</v>
      </c>
      <c r="H63" s="15" t="s">
        <v>313</v>
      </c>
      <c r="J63" s="17"/>
      <c r="K63" s="37"/>
    </row>
    <row r="64" spans="1:11" ht="12.75" customHeight="1" x14ac:dyDescent="0.2">
      <c r="A64">
        <f>+MAX($A$8:A63)+1</f>
        <v>56</v>
      </c>
      <c r="B64" t="s">
        <v>435</v>
      </c>
      <c r="C64" t="s">
        <v>436</v>
      </c>
      <c r="D64" t="s">
        <v>43</v>
      </c>
      <c r="E64" s="28">
        <v>1114</v>
      </c>
      <c r="F64" s="13">
        <v>0.83382899999999993</v>
      </c>
      <c r="G64" s="14">
        <f t="shared" si="2"/>
        <v>4.7999999999999996E-3</v>
      </c>
      <c r="H64" s="15" t="s">
        <v>313</v>
      </c>
      <c r="J64" s="17"/>
      <c r="K64" s="37"/>
    </row>
    <row r="65" spans="1:12" ht="12.75" customHeight="1" x14ac:dyDescent="0.2">
      <c r="A65">
        <f>+MAX($A$8:A64)+1</f>
        <v>57</v>
      </c>
      <c r="B65" t="s">
        <v>192</v>
      </c>
      <c r="C65" t="s">
        <v>63</v>
      </c>
      <c r="D65" t="s">
        <v>32</v>
      </c>
      <c r="E65" s="28">
        <v>208</v>
      </c>
      <c r="F65" s="13">
        <v>0.79840800000000001</v>
      </c>
      <c r="G65" s="14">
        <f t="shared" si="2"/>
        <v>4.5999999999999999E-3</v>
      </c>
      <c r="H65" s="15" t="s">
        <v>313</v>
      </c>
      <c r="J65" s="17"/>
      <c r="K65" s="37"/>
    </row>
    <row r="66" spans="1:12" ht="12.75" customHeight="1" x14ac:dyDescent="0.2">
      <c r="A66">
        <f>+MAX($A$8:A65)+1</f>
        <v>58</v>
      </c>
      <c r="B66" t="s">
        <v>433</v>
      </c>
      <c r="C66" t="s">
        <v>434</v>
      </c>
      <c r="D66" t="s">
        <v>126</v>
      </c>
      <c r="E66" s="28">
        <v>407</v>
      </c>
      <c r="F66" s="13">
        <v>0.77065450000000002</v>
      </c>
      <c r="G66" s="14">
        <f t="shared" si="2"/>
        <v>4.4999999999999997E-3</v>
      </c>
      <c r="H66" s="15" t="s">
        <v>313</v>
      </c>
      <c r="J66" s="17"/>
      <c r="K66" s="37"/>
    </row>
    <row r="67" spans="1:12" ht="12.75" customHeight="1" x14ac:dyDescent="0.2">
      <c r="A67">
        <f>+MAX($A$8:A66)+1</f>
        <v>59</v>
      </c>
      <c r="B67" t="s">
        <v>185</v>
      </c>
      <c r="C67" t="s">
        <v>31</v>
      </c>
      <c r="D67" t="s">
        <v>17</v>
      </c>
      <c r="E67" s="28">
        <v>90</v>
      </c>
      <c r="F67" s="13">
        <v>0.72053999999999996</v>
      </c>
      <c r="G67" s="14">
        <f t="shared" si="2"/>
        <v>4.1999999999999997E-3</v>
      </c>
      <c r="H67" s="15" t="s">
        <v>313</v>
      </c>
      <c r="J67" s="17"/>
      <c r="K67" s="37"/>
    </row>
    <row r="68" spans="1:12" ht="12.75" customHeight="1" x14ac:dyDescent="0.2">
      <c r="A68">
        <f>+MAX($A$8:A67)+1</f>
        <v>60</v>
      </c>
      <c r="B68" t="s">
        <v>355</v>
      </c>
      <c r="C68" t="s">
        <v>356</v>
      </c>
      <c r="D68" t="s">
        <v>357</v>
      </c>
      <c r="E68" s="28">
        <v>335</v>
      </c>
      <c r="F68" s="13">
        <v>0.47536499999999998</v>
      </c>
      <c r="G68" s="14">
        <f t="shared" si="2"/>
        <v>2.8E-3</v>
      </c>
      <c r="H68" s="15" t="s">
        <v>313</v>
      </c>
      <c r="J68" s="17"/>
      <c r="K68" s="37"/>
    </row>
    <row r="69" spans="1:12" ht="12.75" customHeight="1" x14ac:dyDescent="0.2">
      <c r="A69">
        <f>+MAX($A$8:A68)+1</f>
        <v>61</v>
      </c>
      <c r="B69" t="s">
        <v>466</v>
      </c>
      <c r="C69" t="s">
        <v>467</v>
      </c>
      <c r="D69" t="s">
        <v>9</v>
      </c>
      <c r="E69" s="28">
        <v>1151</v>
      </c>
      <c r="F69" s="13">
        <v>0.46385300000000002</v>
      </c>
      <c r="G69" s="14">
        <f t="shared" si="2"/>
        <v>2.7000000000000001E-3</v>
      </c>
      <c r="H69" s="15" t="s">
        <v>313</v>
      </c>
      <c r="J69" s="17"/>
      <c r="K69" s="37"/>
    </row>
    <row r="70" spans="1:12" ht="12.75" customHeight="1" x14ac:dyDescent="0.2">
      <c r="A70">
        <f>+MAX($A$8:A69)+1</f>
        <v>62</v>
      </c>
      <c r="B70" t="s">
        <v>278</v>
      </c>
      <c r="C70" t="s">
        <v>70</v>
      </c>
      <c r="D70" t="s">
        <v>26</v>
      </c>
      <c r="E70" s="28">
        <v>2374</v>
      </c>
      <c r="F70" s="13">
        <v>0.33710800000000002</v>
      </c>
      <c r="G70" s="14">
        <f t="shared" si="2"/>
        <v>2E-3</v>
      </c>
      <c r="H70" s="15" t="s">
        <v>313</v>
      </c>
      <c r="J70" s="17"/>
      <c r="K70" s="37"/>
    </row>
    <row r="71" spans="1:12" ht="12.75" customHeight="1" x14ac:dyDescent="0.2">
      <c r="A71">
        <f>+MAX($A$8:A70)+1</f>
        <v>63</v>
      </c>
      <c r="B71" t="s">
        <v>197</v>
      </c>
      <c r="C71" t="s">
        <v>73</v>
      </c>
      <c r="D71" t="s">
        <v>34</v>
      </c>
      <c r="E71" s="28">
        <v>6095</v>
      </c>
      <c r="F71" s="13">
        <v>0.24989500000000001</v>
      </c>
      <c r="G71" s="14">
        <f t="shared" si="2"/>
        <v>1.4E-3</v>
      </c>
      <c r="H71" s="15" t="s">
        <v>313</v>
      </c>
      <c r="J71" s="17"/>
      <c r="K71" s="37"/>
    </row>
    <row r="72" spans="1:12" ht="12.75" customHeight="1" x14ac:dyDescent="0.2">
      <c r="B72" s="18" t="s">
        <v>82</v>
      </c>
      <c r="C72" s="18"/>
      <c r="D72" s="18"/>
      <c r="E72" s="29"/>
      <c r="F72" s="19">
        <f>SUM(F9:F71)</f>
        <v>113.17011199999996</v>
      </c>
      <c r="G72" s="20">
        <f>SUM(G9:G71)</f>
        <v>0.6550999999999999</v>
      </c>
      <c r="H72" s="21"/>
      <c r="I72" s="35"/>
    </row>
    <row r="73" spans="1:12" ht="11.25" customHeight="1" x14ac:dyDescent="0.2">
      <c r="F73" s="13"/>
      <c r="G73" s="14"/>
      <c r="H73" s="15"/>
      <c r="L73" s="54">
        <f>+SUM($K$11:K11)</f>
        <v>5.3600000000000002E-2</v>
      </c>
    </row>
    <row r="74" spans="1:12" x14ac:dyDescent="0.2">
      <c r="B74" s="16" t="s">
        <v>88</v>
      </c>
      <c r="F74" s="13"/>
      <c r="G74" s="14"/>
      <c r="H74" s="15"/>
      <c r="L74" s="54"/>
    </row>
    <row r="75" spans="1:12" ht="12.75" customHeight="1" x14ac:dyDescent="0.2">
      <c r="B75" s="16" t="s">
        <v>153</v>
      </c>
      <c r="C75" s="16"/>
      <c r="F75" s="13"/>
      <c r="G75" s="14"/>
      <c r="H75" s="15"/>
    </row>
    <row r="76" spans="1:12" ht="12.75" customHeight="1" x14ac:dyDescent="0.2">
      <c r="A76">
        <f>+MAX($A$8:A75)+1</f>
        <v>64</v>
      </c>
      <c r="B76" t="s">
        <v>450</v>
      </c>
      <c r="C76" t="s">
        <v>672</v>
      </c>
      <c r="D76" t="s">
        <v>345</v>
      </c>
      <c r="E76" s="28">
        <v>1000</v>
      </c>
      <c r="F76" s="13">
        <v>0.98631999999999997</v>
      </c>
      <c r="G76" s="14">
        <f>+ROUND(F76/VLOOKUP("Grand Total",$B$4:$F$362,5,0),4)</f>
        <v>5.7000000000000002E-3</v>
      </c>
      <c r="H76" s="15">
        <v>43419</v>
      </c>
      <c r="J76" s="17"/>
      <c r="K76" s="37"/>
    </row>
    <row r="77" spans="1:12" ht="12.75" customHeight="1" x14ac:dyDescent="0.2">
      <c r="B77" s="18" t="s">
        <v>82</v>
      </c>
      <c r="C77" s="18"/>
      <c r="D77" s="18"/>
      <c r="E77" s="29"/>
      <c r="F77" s="19">
        <f>SUM(F76:F76)</f>
        <v>0.98631999999999997</v>
      </c>
      <c r="G77" s="20">
        <f>SUM(G76:G76)</f>
        <v>5.7000000000000002E-3</v>
      </c>
      <c r="H77" s="21"/>
      <c r="I77" s="35"/>
    </row>
    <row r="78" spans="1:12" ht="11.25" customHeight="1" x14ac:dyDescent="0.2">
      <c r="F78" s="13"/>
      <c r="G78" s="14"/>
      <c r="H78" s="15"/>
      <c r="L78" s="54"/>
    </row>
    <row r="79" spans="1:12" ht="12.75" customHeight="1" x14ac:dyDescent="0.2">
      <c r="B79" s="16" t="s">
        <v>89</v>
      </c>
      <c r="C79" s="16"/>
      <c r="F79" s="13"/>
      <c r="G79" s="14"/>
      <c r="H79" s="15"/>
    </row>
    <row r="80" spans="1:12" ht="12.75" customHeight="1" x14ac:dyDescent="0.2">
      <c r="A80">
        <f>+MAX($A$8:A79)+1</f>
        <v>65</v>
      </c>
      <c r="B80" t="s">
        <v>286</v>
      </c>
      <c r="C80" t="s">
        <v>264</v>
      </c>
      <c r="D80" t="s">
        <v>279</v>
      </c>
      <c r="E80" s="28">
        <v>1549.4143999999999</v>
      </c>
      <c r="F80" s="13">
        <v>45.5873895</v>
      </c>
      <c r="G80" s="14">
        <f>+ROUND(F80/VLOOKUP("Grand Total",$B$4:$F$362,5,0),4)</f>
        <v>0.26379999999999998</v>
      </c>
      <c r="H80" s="15" t="s">
        <v>313</v>
      </c>
      <c r="J80" s="17"/>
      <c r="K80" s="37"/>
    </row>
    <row r="81" spans="1:12" ht="12.75" customHeight="1" x14ac:dyDescent="0.2">
      <c r="B81" s="18" t="s">
        <v>82</v>
      </c>
      <c r="C81" s="18"/>
      <c r="D81" s="18"/>
      <c r="E81" s="29"/>
      <c r="F81" s="19">
        <f>SUM(F80:F80)</f>
        <v>45.5873895</v>
      </c>
      <c r="G81" s="20">
        <f>SUM(G80:G80)</f>
        <v>0.26379999999999998</v>
      </c>
      <c r="H81" s="21"/>
      <c r="I81" s="35"/>
    </row>
    <row r="82" spans="1:12" ht="11.25" customHeight="1" x14ac:dyDescent="0.2">
      <c r="F82" s="13"/>
      <c r="G82" s="14"/>
      <c r="H82" s="15"/>
      <c r="L82" s="54"/>
    </row>
    <row r="83" spans="1:12" ht="12.75" customHeight="1" x14ac:dyDescent="0.2">
      <c r="B83" s="16" t="s">
        <v>91</v>
      </c>
      <c r="C83" s="16"/>
      <c r="F83" s="13"/>
      <c r="G83" s="14"/>
      <c r="H83" s="15"/>
    </row>
    <row r="84" spans="1:12" ht="12.75" customHeight="1" x14ac:dyDescent="0.2">
      <c r="A84" s="94" t="s">
        <v>312</v>
      </c>
      <c r="B84" s="16" t="s">
        <v>633</v>
      </c>
      <c r="C84" s="16"/>
      <c r="F84" s="13">
        <v>11.9554002</v>
      </c>
      <c r="G84" s="14">
        <f>+ROUND(F84/VLOOKUP("Grand Total",$B$4:$F$355,5,0),4)</f>
        <v>6.9199999999999998E-2</v>
      </c>
      <c r="H84" s="15">
        <v>43346</v>
      </c>
    </row>
    <row r="85" spans="1:12" ht="12.75" customHeight="1" x14ac:dyDescent="0.2">
      <c r="B85" s="16" t="s">
        <v>92</v>
      </c>
      <c r="C85" s="16"/>
      <c r="F85" s="13">
        <v>1.1411354000000244</v>
      </c>
      <c r="G85" s="14">
        <f>+ROUND(F85/VLOOKUP("Grand Total",$B$4:$F$362,5,0),4)-0.04%</f>
        <v>6.1999999999999998E-3</v>
      </c>
      <c r="H85" s="15"/>
    </row>
    <row r="86" spans="1:12" ht="12.75" customHeight="1" x14ac:dyDescent="0.2">
      <c r="B86" s="18" t="s">
        <v>82</v>
      </c>
      <c r="C86" s="18"/>
      <c r="D86" s="18"/>
      <c r="E86" s="29"/>
      <c r="F86" s="19">
        <f>SUM(F84:F85)</f>
        <v>13.096535600000024</v>
      </c>
      <c r="G86" s="20">
        <f>SUM(G84:G85)</f>
        <v>7.5399999999999995E-2</v>
      </c>
      <c r="H86" s="21"/>
      <c r="I86" s="35"/>
    </row>
    <row r="87" spans="1:12" ht="12.75" customHeight="1" x14ac:dyDescent="0.2">
      <c r="B87" s="22" t="s">
        <v>93</v>
      </c>
      <c r="C87" s="22"/>
      <c r="D87" s="22"/>
      <c r="E87" s="30"/>
      <c r="F87" s="23">
        <f>+SUMIF($B$5:B86,"Total",$F$5:F86)</f>
        <v>172.84035710000001</v>
      </c>
      <c r="G87" s="24">
        <f>+SUMIF($B$5:B86,"Total",$G$5:G86)</f>
        <v>0.99999999999999989</v>
      </c>
      <c r="H87" s="25"/>
      <c r="I87" s="35"/>
    </row>
    <row r="88" spans="1:12" ht="12.75" customHeight="1" x14ac:dyDescent="0.2"/>
    <row r="89" spans="1:12" ht="12.75" customHeight="1" x14ac:dyDescent="0.2">
      <c r="B89" s="16"/>
      <c r="C89" s="16"/>
    </row>
    <row r="90" spans="1:12" ht="12.75" customHeight="1" x14ac:dyDescent="0.2">
      <c r="B90" s="16"/>
      <c r="C90" s="16"/>
    </row>
    <row r="91" spans="1:12" ht="12.75" customHeight="1" x14ac:dyDescent="0.2">
      <c r="B91" s="16"/>
      <c r="C91" s="16"/>
    </row>
    <row r="92" spans="1:12" ht="12.75" customHeight="1" x14ac:dyDescent="0.2">
      <c r="B92" s="16"/>
      <c r="C92" s="16"/>
    </row>
    <row r="93" spans="1:12" ht="12.75" customHeight="1" x14ac:dyDescent="0.2">
      <c r="B93" s="16"/>
      <c r="C93" s="16"/>
    </row>
    <row r="94" spans="1:12" ht="12.75" customHeight="1" x14ac:dyDescent="0.2"/>
    <row r="95" spans="1:12" ht="12.75" customHeight="1" x14ac:dyDescent="0.2"/>
    <row r="96" spans="1:12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5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8.140625" customWidth="1"/>
    <col min="4" max="4" width="25.42578125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21.5703125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3" t="s">
        <v>319</v>
      </c>
      <c r="B1" s="125" t="s">
        <v>749</v>
      </c>
      <c r="C1" s="126"/>
      <c r="D1" s="126"/>
      <c r="E1" s="126"/>
      <c r="F1" s="126"/>
      <c r="G1" s="126"/>
      <c r="H1" s="126"/>
      <c r="I1" s="126"/>
    </row>
    <row r="2" spans="1:17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127" t="s">
        <v>792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347</v>
      </c>
      <c r="C8" s="16"/>
      <c r="F8" s="13"/>
      <c r="G8" s="14"/>
      <c r="H8" s="14"/>
      <c r="I8" s="60"/>
      <c r="K8" s="17" t="s">
        <v>493</v>
      </c>
      <c r="L8" s="101" t="s">
        <v>11</v>
      </c>
      <c r="Q8" s="65"/>
    </row>
    <row r="9" spans="1:17" s="65" customFormat="1" ht="12.75" customHeight="1" x14ac:dyDescent="0.2">
      <c r="A9" s="77">
        <f>+MAX($A$8:A8)+1</f>
        <v>1</v>
      </c>
      <c r="B9" s="77" t="s">
        <v>194</v>
      </c>
      <c r="C9" s="65" t="s">
        <v>18</v>
      </c>
      <c r="D9" s="77" t="s">
        <v>13</v>
      </c>
      <c r="E9" s="74">
        <v>11921</v>
      </c>
      <c r="F9" s="79">
        <v>247.76606399999997</v>
      </c>
      <c r="G9" s="76">
        <f t="shared" ref="G9:G32" si="0">+ROUND(F9/VLOOKUP("Grand Total",$B$4:$F$283,5,0),4)</f>
        <v>1.43E-2</v>
      </c>
      <c r="H9" s="76"/>
      <c r="I9" s="90" t="s">
        <v>313</v>
      </c>
      <c r="J9" s="100"/>
      <c r="K9" s="14" t="s">
        <v>22</v>
      </c>
      <c r="L9" s="102">
        <f t="shared" ref="L9:L28" si="1">SUMIFS($G$5:$G$299,$D$5:$D$299,K9)</f>
        <v>0.16770000000000002</v>
      </c>
    </row>
    <row r="10" spans="1:17" s="65" customFormat="1" ht="12.75" customHeight="1" x14ac:dyDescent="0.2">
      <c r="A10" s="77">
        <f>+MAX($A$8:A9)+1</f>
        <v>2</v>
      </c>
      <c r="B10" s="77" t="s">
        <v>172</v>
      </c>
      <c r="C10" s="65" t="s">
        <v>29</v>
      </c>
      <c r="D10" s="77" t="s">
        <v>28</v>
      </c>
      <c r="E10" s="74">
        <v>17999</v>
      </c>
      <c r="F10" s="79">
        <v>223.48458350000001</v>
      </c>
      <c r="G10" s="76">
        <f t="shared" si="0"/>
        <v>1.29E-2</v>
      </c>
      <c r="H10" s="76"/>
      <c r="I10" s="90" t="s">
        <v>313</v>
      </c>
      <c r="J10" s="100"/>
      <c r="K10" s="89" t="s">
        <v>21</v>
      </c>
      <c r="L10" s="102">
        <f t="shared" si="1"/>
        <v>0.12009999999999998</v>
      </c>
    </row>
    <row r="11" spans="1:17" s="65" customFormat="1" ht="12.75" customHeight="1" x14ac:dyDescent="0.2">
      <c r="A11" s="77">
        <f>+MAX($A$8:A10)+1</f>
        <v>3</v>
      </c>
      <c r="B11" s="77" t="s">
        <v>193</v>
      </c>
      <c r="C11" s="65" t="s">
        <v>59</v>
      </c>
      <c r="D11" s="77" t="s">
        <v>21</v>
      </c>
      <c r="E11" s="74">
        <v>28300</v>
      </c>
      <c r="F11" s="79">
        <v>201.70824999999999</v>
      </c>
      <c r="G11" s="76">
        <f t="shared" si="0"/>
        <v>1.17E-2</v>
      </c>
      <c r="H11" s="76"/>
      <c r="I11" s="90" t="s">
        <v>313</v>
      </c>
      <c r="J11" s="100"/>
      <c r="K11" s="14" t="s">
        <v>9</v>
      </c>
      <c r="L11" s="102">
        <f t="shared" si="1"/>
        <v>9.9099999999999994E-2</v>
      </c>
    </row>
    <row r="12" spans="1:17" s="65" customFormat="1" ht="12.75" customHeight="1" x14ac:dyDescent="0.2">
      <c r="A12" s="77">
        <f>+MAX($A$8:A11)+1</f>
        <v>4</v>
      </c>
      <c r="B12" s="77" t="s">
        <v>171</v>
      </c>
      <c r="C12" s="65" t="s">
        <v>14</v>
      </c>
      <c r="D12" s="77" t="s">
        <v>13</v>
      </c>
      <c r="E12" s="74">
        <v>13602</v>
      </c>
      <c r="F12" s="79">
        <v>196.01842199999999</v>
      </c>
      <c r="G12" s="76">
        <f t="shared" si="0"/>
        <v>1.1299999999999999E-2</v>
      </c>
      <c r="H12" s="76"/>
      <c r="I12" s="90" t="s">
        <v>313</v>
      </c>
      <c r="J12" s="100"/>
      <c r="K12" s="14" t="s">
        <v>19</v>
      </c>
      <c r="L12" s="102">
        <f t="shared" si="1"/>
        <v>8.4000000000000005E-2</v>
      </c>
    </row>
    <row r="13" spans="1:17" s="65" customFormat="1" ht="12.75" customHeight="1" x14ac:dyDescent="0.2">
      <c r="A13" s="77">
        <f>+MAX($A$8:A12)+1</f>
        <v>5</v>
      </c>
      <c r="B13" s="77" t="s">
        <v>221</v>
      </c>
      <c r="C13" s="65" t="s">
        <v>111</v>
      </c>
      <c r="D13" s="77" t="s">
        <v>34</v>
      </c>
      <c r="E13" s="74">
        <v>112889</v>
      </c>
      <c r="F13" s="79">
        <v>193.604635</v>
      </c>
      <c r="G13" s="76">
        <f t="shared" si="0"/>
        <v>1.12E-2</v>
      </c>
      <c r="H13" s="76"/>
      <c r="I13" s="90" t="s">
        <v>313</v>
      </c>
      <c r="J13" s="100"/>
      <c r="K13" s="65" t="s">
        <v>24</v>
      </c>
      <c r="L13" s="102">
        <f t="shared" si="1"/>
        <v>6.25E-2</v>
      </c>
    </row>
    <row r="14" spans="1:17" s="65" customFormat="1" ht="12.75" customHeight="1" x14ac:dyDescent="0.2">
      <c r="A14" s="77">
        <f>+MAX($A$8:A13)+1</f>
        <v>6</v>
      </c>
      <c r="B14" s="77" t="s">
        <v>179</v>
      </c>
      <c r="C14" s="65" t="s">
        <v>44</v>
      </c>
      <c r="D14" s="77" t="s">
        <v>24</v>
      </c>
      <c r="E14" s="74">
        <v>58268</v>
      </c>
      <c r="F14" s="79">
        <v>186.37019800000002</v>
      </c>
      <c r="G14" s="76">
        <f t="shared" si="0"/>
        <v>1.0800000000000001E-2</v>
      </c>
      <c r="H14" s="76"/>
      <c r="I14" s="90" t="s">
        <v>313</v>
      </c>
      <c r="J14" s="100"/>
      <c r="K14" s="14" t="s">
        <v>688</v>
      </c>
      <c r="L14" s="102">
        <f t="shared" si="1"/>
        <v>5.7700000000000001E-2</v>
      </c>
    </row>
    <row r="15" spans="1:17" s="65" customFormat="1" ht="12.75" customHeight="1" x14ac:dyDescent="0.2">
      <c r="A15" s="77">
        <f>+MAX($A$8:A14)+1</f>
        <v>7</v>
      </c>
      <c r="B15" s="77" t="s">
        <v>586</v>
      </c>
      <c r="C15" s="65" t="s">
        <v>587</v>
      </c>
      <c r="D15" s="77" t="s">
        <v>24</v>
      </c>
      <c r="E15" s="74">
        <v>50000</v>
      </c>
      <c r="F15" s="79">
        <v>184.72499999999999</v>
      </c>
      <c r="G15" s="76">
        <f t="shared" si="0"/>
        <v>1.0699999999999999E-2</v>
      </c>
      <c r="H15" s="76"/>
      <c r="I15" s="90" t="s">
        <v>313</v>
      </c>
      <c r="J15" s="100"/>
      <c r="K15" s="14" t="s">
        <v>369</v>
      </c>
      <c r="L15" s="102">
        <f t="shared" si="1"/>
        <v>5.1699999999999996E-2</v>
      </c>
    </row>
    <row r="16" spans="1:17" s="65" customFormat="1" ht="12.75" customHeight="1" x14ac:dyDescent="0.2">
      <c r="A16" s="77">
        <f>+MAX($A$8:A15)+1</f>
        <v>8</v>
      </c>
      <c r="B16" s="77" t="s">
        <v>173</v>
      </c>
      <c r="C16" s="65" t="s">
        <v>10</v>
      </c>
      <c r="D16" s="77" t="s">
        <v>9</v>
      </c>
      <c r="E16" s="74">
        <v>53617</v>
      </c>
      <c r="F16" s="79">
        <v>183.69184199999998</v>
      </c>
      <c r="G16" s="76">
        <f t="shared" si="0"/>
        <v>1.06E-2</v>
      </c>
      <c r="H16" s="76"/>
      <c r="I16" s="90" t="s">
        <v>313</v>
      </c>
      <c r="J16" s="100"/>
      <c r="K16" s="14" t="s">
        <v>306</v>
      </c>
      <c r="L16" s="102">
        <f t="shared" si="1"/>
        <v>4.5600000000000002E-2</v>
      </c>
    </row>
    <row r="17" spans="1:12" s="65" customFormat="1" ht="12.75" customHeight="1" x14ac:dyDescent="0.2">
      <c r="A17" s="77">
        <f>+MAX($A$8:A16)+1</f>
        <v>9</v>
      </c>
      <c r="B17" s="77" t="s">
        <v>210</v>
      </c>
      <c r="C17" s="65" t="s">
        <v>97</v>
      </c>
      <c r="D17" s="77" t="s">
        <v>24</v>
      </c>
      <c r="E17" s="74">
        <v>10186</v>
      </c>
      <c r="F17" s="79">
        <v>181.320986</v>
      </c>
      <c r="G17" s="76">
        <f t="shared" si="0"/>
        <v>1.0500000000000001E-2</v>
      </c>
      <c r="H17" s="76"/>
      <c r="I17" s="90" t="s">
        <v>313</v>
      </c>
      <c r="J17" s="100"/>
      <c r="K17" s="14" t="s">
        <v>34</v>
      </c>
      <c r="L17" s="102">
        <f t="shared" si="1"/>
        <v>3.5799999999999998E-2</v>
      </c>
    </row>
    <row r="18" spans="1:12" s="65" customFormat="1" ht="12.75" customHeight="1" x14ac:dyDescent="0.2">
      <c r="A18" s="77">
        <f>+MAX($A$8:A17)+1</f>
        <v>10</v>
      </c>
      <c r="B18" s="77" t="s">
        <v>452</v>
      </c>
      <c r="C18" s="65" t="s">
        <v>453</v>
      </c>
      <c r="D18" s="77" t="s">
        <v>34</v>
      </c>
      <c r="E18" s="74">
        <v>236144</v>
      </c>
      <c r="F18" s="79">
        <v>181.12244800000002</v>
      </c>
      <c r="G18" s="76">
        <f t="shared" si="0"/>
        <v>1.0500000000000001E-2</v>
      </c>
      <c r="H18" s="76"/>
      <c r="I18" s="90" t="s">
        <v>313</v>
      </c>
      <c r="J18" s="100"/>
      <c r="K18" s="89" t="s">
        <v>13</v>
      </c>
      <c r="L18" s="102">
        <f t="shared" si="1"/>
        <v>3.3099999999999997E-2</v>
      </c>
    </row>
    <row r="19" spans="1:12" s="65" customFormat="1" ht="12.75" customHeight="1" x14ac:dyDescent="0.2">
      <c r="A19" s="77">
        <f>+MAX($A$8:A18)+1</f>
        <v>11</v>
      </c>
      <c r="B19" s="77" t="s">
        <v>176</v>
      </c>
      <c r="C19" s="65" t="s">
        <v>25</v>
      </c>
      <c r="D19" s="77" t="s">
        <v>22</v>
      </c>
      <c r="E19" s="74">
        <v>9344</v>
      </c>
      <c r="F19" s="79">
        <v>180.89516800000001</v>
      </c>
      <c r="G19" s="76">
        <f t="shared" si="0"/>
        <v>1.0500000000000001E-2</v>
      </c>
      <c r="H19" s="76"/>
      <c r="I19" s="90" t="s">
        <v>313</v>
      </c>
      <c r="J19" s="100"/>
      <c r="K19" s="14" t="s">
        <v>17</v>
      </c>
      <c r="L19" s="102">
        <f t="shared" si="1"/>
        <v>2.18E-2</v>
      </c>
    </row>
    <row r="20" spans="1:12" s="65" customFormat="1" ht="12.75" customHeight="1" x14ac:dyDescent="0.2">
      <c r="A20" s="77">
        <f>+MAX($A$8:A19)+1</f>
        <v>12</v>
      </c>
      <c r="B20" s="77" t="s">
        <v>181</v>
      </c>
      <c r="C20" s="65" t="s">
        <v>46</v>
      </c>
      <c r="D20" s="77" t="s">
        <v>24</v>
      </c>
      <c r="E20" s="74">
        <v>2669</v>
      </c>
      <c r="F20" s="79">
        <v>179.80385749999999</v>
      </c>
      <c r="G20" s="76">
        <f t="shared" si="0"/>
        <v>1.04E-2</v>
      </c>
      <c r="H20" s="76"/>
      <c r="I20" s="90" t="s">
        <v>313</v>
      </c>
      <c r="J20" s="100"/>
      <c r="K20" s="14" t="s">
        <v>279</v>
      </c>
      <c r="L20" s="102">
        <f t="shared" si="1"/>
        <v>2.0500000000000001E-2</v>
      </c>
    </row>
    <row r="21" spans="1:12" s="65" customFormat="1" ht="12.75" customHeight="1" x14ac:dyDescent="0.2">
      <c r="A21" s="77">
        <f>+MAX($A$8:A20)+1</f>
        <v>13</v>
      </c>
      <c r="B21" s="77" t="s">
        <v>354</v>
      </c>
      <c r="C21" s="65" t="s">
        <v>66</v>
      </c>
      <c r="D21" s="77" t="s">
        <v>21</v>
      </c>
      <c r="E21" s="74">
        <v>27516</v>
      </c>
      <c r="F21" s="79">
        <v>179.63820600000003</v>
      </c>
      <c r="G21" s="76">
        <f t="shared" si="0"/>
        <v>1.04E-2</v>
      </c>
      <c r="H21" s="76"/>
      <c r="I21" s="90" t="s">
        <v>313</v>
      </c>
      <c r="J21" s="100"/>
      <c r="K21" s="14" t="s">
        <v>257</v>
      </c>
      <c r="L21" s="102">
        <f t="shared" si="1"/>
        <v>1.7299999999999999E-2</v>
      </c>
    </row>
    <row r="22" spans="1:12" s="65" customFormat="1" ht="12.75" customHeight="1" x14ac:dyDescent="0.2">
      <c r="A22" s="77">
        <f>+MAX($A$8:A21)+1</f>
        <v>14</v>
      </c>
      <c r="B22" s="77" t="s">
        <v>454</v>
      </c>
      <c r="C22" s="65" t="s">
        <v>455</v>
      </c>
      <c r="D22" s="77" t="s">
        <v>24</v>
      </c>
      <c r="E22" s="74">
        <v>2305</v>
      </c>
      <c r="F22" s="79">
        <v>177.61062250000001</v>
      </c>
      <c r="G22" s="76">
        <f t="shared" si="0"/>
        <v>1.03E-2</v>
      </c>
      <c r="H22" s="76"/>
      <c r="I22" s="90" t="s">
        <v>313</v>
      </c>
      <c r="J22" s="100"/>
      <c r="K22" s="89" t="s">
        <v>28</v>
      </c>
      <c r="L22" s="102">
        <f t="shared" si="1"/>
        <v>1.29E-2</v>
      </c>
    </row>
    <row r="23" spans="1:12" s="65" customFormat="1" ht="12.75" customHeight="1" x14ac:dyDescent="0.2">
      <c r="A23" s="77">
        <f>+MAX($A$8:A22)+1</f>
        <v>15</v>
      </c>
      <c r="B23" s="77" t="s">
        <v>218</v>
      </c>
      <c r="C23" s="65" t="s">
        <v>110</v>
      </c>
      <c r="D23" s="77" t="s">
        <v>34</v>
      </c>
      <c r="E23" s="74">
        <v>86303</v>
      </c>
      <c r="F23" s="79">
        <v>173.90054499999999</v>
      </c>
      <c r="G23" s="76">
        <f t="shared" si="0"/>
        <v>1.01E-2</v>
      </c>
      <c r="H23" s="76"/>
      <c r="I23" s="90" t="s">
        <v>313</v>
      </c>
      <c r="J23" s="100"/>
      <c r="K23" s="14" t="s">
        <v>104</v>
      </c>
      <c r="L23" s="102">
        <f t="shared" si="1"/>
        <v>1.2699999999999999E-2</v>
      </c>
    </row>
    <row r="24" spans="1:12" s="65" customFormat="1" ht="12.75" customHeight="1" x14ac:dyDescent="0.2">
      <c r="A24" s="77">
        <f>+MAX($A$8:A23)+1</f>
        <v>16</v>
      </c>
      <c r="B24" s="77" t="s">
        <v>190</v>
      </c>
      <c r="C24" s="65" t="s">
        <v>94</v>
      </c>
      <c r="D24" s="77" t="s">
        <v>9</v>
      </c>
      <c r="E24" s="74">
        <v>13412</v>
      </c>
      <c r="F24" s="79">
        <v>172.64597000000001</v>
      </c>
      <c r="G24" s="76">
        <f t="shared" si="0"/>
        <v>0.01</v>
      </c>
      <c r="H24" s="76"/>
      <c r="I24" s="90" t="s">
        <v>313</v>
      </c>
      <c r="J24" s="100"/>
      <c r="K24" s="14" t="s">
        <v>26</v>
      </c>
      <c r="L24" s="102">
        <f t="shared" si="1"/>
        <v>9.7999999999999997E-3</v>
      </c>
    </row>
    <row r="25" spans="1:12" s="65" customFormat="1" ht="12.75" customHeight="1" x14ac:dyDescent="0.2">
      <c r="A25" s="77">
        <f>+MAX($A$8:A24)+1</f>
        <v>17</v>
      </c>
      <c r="B25" s="77" t="s">
        <v>336</v>
      </c>
      <c r="C25" s="65" t="s">
        <v>335</v>
      </c>
      <c r="D25" s="77" t="s">
        <v>24</v>
      </c>
      <c r="E25" s="74">
        <v>35400</v>
      </c>
      <c r="F25" s="79">
        <v>169.47749999999999</v>
      </c>
      <c r="G25" s="76">
        <f t="shared" si="0"/>
        <v>9.7999999999999997E-3</v>
      </c>
      <c r="H25" s="76"/>
      <c r="I25" s="90" t="s">
        <v>313</v>
      </c>
      <c r="J25" s="100"/>
      <c r="K25" s="14" t="s">
        <v>102</v>
      </c>
      <c r="L25" s="102">
        <f t="shared" si="1"/>
        <v>9.1999999999999998E-3</v>
      </c>
    </row>
    <row r="26" spans="1:12" s="65" customFormat="1" ht="12.75" customHeight="1" x14ac:dyDescent="0.2">
      <c r="A26" s="77">
        <f>+MAX($A$8:A25)+1</f>
        <v>18</v>
      </c>
      <c r="B26" s="77" t="s">
        <v>203</v>
      </c>
      <c r="C26" s="65" t="s">
        <v>69</v>
      </c>
      <c r="D26" s="77" t="s">
        <v>26</v>
      </c>
      <c r="E26" s="74">
        <v>12331</v>
      </c>
      <c r="F26" s="79">
        <v>168.8792105</v>
      </c>
      <c r="G26" s="76">
        <f t="shared" si="0"/>
        <v>9.7999999999999997E-3</v>
      </c>
      <c r="H26" s="76"/>
      <c r="I26" s="90" t="s">
        <v>313</v>
      </c>
      <c r="J26" s="100"/>
      <c r="K26" s="65" t="s">
        <v>49</v>
      </c>
      <c r="L26" s="102">
        <f t="shared" si="1"/>
        <v>8.9999999999999993E-3</v>
      </c>
    </row>
    <row r="27" spans="1:12" s="65" customFormat="1" ht="12.75" customHeight="1" x14ac:dyDescent="0.2">
      <c r="A27" s="77">
        <f>+MAX($A$8:A26)+1</f>
        <v>19</v>
      </c>
      <c r="B27" s="77" t="s">
        <v>15</v>
      </c>
      <c r="C27" s="65" t="s">
        <v>16</v>
      </c>
      <c r="D27" s="77" t="s">
        <v>9</v>
      </c>
      <c r="E27" s="74">
        <v>54000</v>
      </c>
      <c r="F27" s="79">
        <v>167.18400000000003</v>
      </c>
      <c r="G27" s="76">
        <f t="shared" si="0"/>
        <v>9.7000000000000003E-3</v>
      </c>
      <c r="H27" s="76"/>
      <c r="I27" s="90" t="s">
        <v>313</v>
      </c>
      <c r="J27" s="100"/>
      <c r="K27" s="14" t="s">
        <v>345</v>
      </c>
      <c r="L27" s="102">
        <f t="shared" si="1"/>
        <v>8.9999999999999993E-3</v>
      </c>
    </row>
    <row r="28" spans="1:12" s="65" customFormat="1" ht="12.75" customHeight="1" x14ac:dyDescent="0.2">
      <c r="A28" s="77">
        <f>+MAX($A$8:A27)+1</f>
        <v>20</v>
      </c>
      <c r="B28" s="77" t="s">
        <v>211</v>
      </c>
      <c r="C28" s="65" t="s">
        <v>96</v>
      </c>
      <c r="D28" s="77" t="s">
        <v>19</v>
      </c>
      <c r="E28" s="74">
        <v>16564</v>
      </c>
      <c r="F28" s="79">
        <v>159.892292</v>
      </c>
      <c r="G28" s="76">
        <f t="shared" si="0"/>
        <v>9.2999999999999992E-3</v>
      </c>
      <c r="H28" s="76"/>
      <c r="I28" s="90" t="s">
        <v>313</v>
      </c>
      <c r="J28" s="100"/>
      <c r="K28" s="14" t="s">
        <v>449</v>
      </c>
      <c r="L28" s="102">
        <f t="shared" si="1"/>
        <v>5.7000000000000002E-3</v>
      </c>
    </row>
    <row r="29" spans="1:12" s="65" customFormat="1" ht="12.75" customHeight="1" x14ac:dyDescent="0.2">
      <c r="A29" s="77">
        <f>+MAX($A$8:A28)+1</f>
        <v>21</v>
      </c>
      <c r="B29" s="77" t="s">
        <v>456</v>
      </c>
      <c r="C29" s="65" t="s">
        <v>457</v>
      </c>
      <c r="D29" s="77" t="s">
        <v>102</v>
      </c>
      <c r="E29" s="74">
        <v>200000</v>
      </c>
      <c r="F29" s="79">
        <v>159.69999999999999</v>
      </c>
      <c r="G29" s="76">
        <f t="shared" si="0"/>
        <v>9.1999999999999998E-3</v>
      </c>
      <c r="H29" s="76"/>
      <c r="I29" s="90" t="s">
        <v>313</v>
      </c>
      <c r="J29" s="100"/>
      <c r="K29" s="14" t="s">
        <v>62</v>
      </c>
      <c r="L29" s="48">
        <f>+SUMIFS($G$5:$G$1002,$B$5:$B$1002,"CBLO / Reverse Repo")+SUMIFS($G$5:$G$1002,$B$5:$B$1002,"Net Receivable/Payable")</f>
        <v>0.1148</v>
      </c>
    </row>
    <row r="30" spans="1:12" s="65" customFormat="1" ht="12.75" customHeight="1" x14ac:dyDescent="0.2">
      <c r="A30" s="77">
        <f>+MAX($A$8:A29)+1</f>
        <v>22</v>
      </c>
      <c r="B30" s="77" t="s">
        <v>522</v>
      </c>
      <c r="C30" s="65" t="s">
        <v>523</v>
      </c>
      <c r="D30" s="77" t="s">
        <v>22</v>
      </c>
      <c r="E30" s="74">
        <v>41265</v>
      </c>
      <c r="F30" s="79">
        <v>154.88817750000001</v>
      </c>
      <c r="G30" s="76">
        <f t="shared" si="0"/>
        <v>8.9999999999999993E-3</v>
      </c>
      <c r="H30" s="76"/>
      <c r="I30" s="90" t="s">
        <v>313</v>
      </c>
      <c r="J30" s="100"/>
      <c r="K30" s="14"/>
      <c r="L30" s="48"/>
    </row>
    <row r="31" spans="1:12" s="65" customFormat="1" ht="12.75" customHeight="1" x14ac:dyDescent="0.2">
      <c r="A31" s="77">
        <f>+MAX($A$8:A30)+1</f>
        <v>23</v>
      </c>
      <c r="B31" s="77" t="s">
        <v>206</v>
      </c>
      <c r="C31" s="65" t="s">
        <v>76</v>
      </c>
      <c r="D31" s="77" t="s">
        <v>49</v>
      </c>
      <c r="E31" s="74">
        <v>54147</v>
      </c>
      <c r="F31" s="79">
        <v>154.8333465</v>
      </c>
      <c r="G31" s="76">
        <f t="shared" si="0"/>
        <v>8.9999999999999993E-3</v>
      </c>
      <c r="H31" s="76"/>
      <c r="I31" s="90" t="s">
        <v>313</v>
      </c>
      <c r="J31" s="100"/>
      <c r="K31" s="14"/>
      <c r="L31" s="48"/>
    </row>
    <row r="32" spans="1:12" s="65" customFormat="1" ht="12.75" customHeight="1" x14ac:dyDescent="0.2">
      <c r="A32" s="77">
        <f>+MAX($A$8:A31)+1</f>
        <v>24</v>
      </c>
      <c r="B32" s="77" t="s">
        <v>220</v>
      </c>
      <c r="C32" s="65" t="s">
        <v>109</v>
      </c>
      <c r="D32" s="77" t="s">
        <v>13</v>
      </c>
      <c r="E32" s="74">
        <v>17000</v>
      </c>
      <c r="F32" s="79">
        <v>130.18600000000001</v>
      </c>
      <c r="G32" s="76">
        <f t="shared" si="0"/>
        <v>7.4999999999999997E-3</v>
      </c>
      <c r="H32" s="76"/>
      <c r="I32" s="90" t="s">
        <v>313</v>
      </c>
      <c r="J32" s="100"/>
      <c r="K32" s="14"/>
      <c r="L32" s="48"/>
    </row>
    <row r="33" spans="1:14" ht="12.75" customHeight="1" x14ac:dyDescent="0.2">
      <c r="B33" s="18" t="s">
        <v>82</v>
      </c>
      <c r="C33" s="18"/>
      <c r="D33" s="18"/>
      <c r="E33" s="19"/>
      <c r="F33" s="19">
        <f>SUM(F9:F32)</f>
        <v>4309.3473239999994</v>
      </c>
      <c r="G33" s="20">
        <f>SUM(G9:G32)</f>
        <v>0.24950000000000006</v>
      </c>
      <c r="H33" s="20"/>
      <c r="I33" s="21"/>
      <c r="K33" s="65"/>
      <c r="L33" s="102"/>
    </row>
    <row r="34" spans="1:14" ht="12.75" customHeight="1" x14ac:dyDescent="0.2">
      <c r="F34" s="44"/>
      <c r="G34" s="14"/>
      <c r="H34" s="14"/>
      <c r="I34" s="15"/>
      <c r="K34" s="89"/>
      <c r="L34" s="102"/>
    </row>
    <row r="35" spans="1:14" s="65" customFormat="1" ht="12.75" customHeight="1" x14ac:dyDescent="0.2">
      <c r="A35"/>
      <c r="B35" s="16" t="s">
        <v>499</v>
      </c>
      <c r="C35" s="16"/>
      <c r="D35"/>
      <c r="E35" s="38"/>
      <c r="F35" s="44"/>
      <c r="G35" s="45"/>
      <c r="H35" s="45"/>
      <c r="I35" s="47"/>
      <c r="J35" s="77"/>
      <c r="K35" s="14"/>
      <c r="L35" s="102"/>
      <c r="N35" s="75"/>
    </row>
    <row r="36" spans="1:14" s="65" customFormat="1" ht="12.75" customHeight="1" x14ac:dyDescent="0.2">
      <c r="A36" s="77">
        <f>+MAX($A$8:A35)+1</f>
        <v>25</v>
      </c>
      <c r="B36" s="77" t="s">
        <v>180</v>
      </c>
      <c r="C36" s="77" t="s">
        <v>42</v>
      </c>
      <c r="D36" s="77" t="s">
        <v>22</v>
      </c>
      <c r="E36" s="74">
        <v>237000</v>
      </c>
      <c r="F36" s="79">
        <v>1582.3305</v>
      </c>
      <c r="G36" s="76">
        <f>+ROUND(F36/VLOOKUP("Grand Total",$B$4:$F$283,5,0),4)</f>
        <v>9.1600000000000001E-2</v>
      </c>
      <c r="H36" s="76"/>
      <c r="I36" s="90" t="s">
        <v>313</v>
      </c>
      <c r="J36" s="100"/>
      <c r="K36" s="89"/>
      <c r="L36" s="102"/>
    </row>
    <row r="37" spans="1:14" s="65" customFormat="1" ht="12.75" customHeight="1" x14ac:dyDescent="0.2">
      <c r="A37" s="77">
        <f>+A36+1</f>
        <v>26</v>
      </c>
      <c r="B37" s="77" t="s">
        <v>180</v>
      </c>
      <c r="C37" s="131" t="s">
        <v>787</v>
      </c>
      <c r="D37" s="77" t="s">
        <v>282</v>
      </c>
      <c r="E37" s="74">
        <v>-237000</v>
      </c>
      <c r="F37" s="79">
        <v>-1587.5445</v>
      </c>
      <c r="G37" s="76"/>
      <c r="H37" s="76">
        <f>+ROUND(F37/VLOOKUP("Grand Total",$B$4:$F$283,5,0),4)</f>
        <v>-9.1899999999999996E-2</v>
      </c>
      <c r="I37" s="103">
        <v>43370</v>
      </c>
      <c r="J37" s="100"/>
      <c r="K37" s="89"/>
      <c r="L37" s="102"/>
    </row>
    <row r="38" spans="1:14" s="65" customFormat="1" ht="12.75" customHeight="1" x14ac:dyDescent="0.2">
      <c r="A38" s="77">
        <f t="shared" ref="A38:A65" si="2">+A37+1</f>
        <v>27</v>
      </c>
      <c r="B38" s="77" t="s">
        <v>193</v>
      </c>
      <c r="C38" s="77" t="s">
        <v>59</v>
      </c>
      <c r="D38" s="77" t="s">
        <v>21</v>
      </c>
      <c r="E38" s="74">
        <v>175000</v>
      </c>
      <c r="F38" s="79">
        <v>1247.3125</v>
      </c>
      <c r="G38" s="76">
        <f>+ROUND(F38/VLOOKUP("Grand Total",$B$4:$F$283,5,0),4)</f>
        <v>7.22E-2</v>
      </c>
      <c r="H38" s="76"/>
      <c r="I38" s="90" t="s">
        <v>313</v>
      </c>
      <c r="J38" s="100"/>
      <c r="K38" s="89"/>
      <c r="L38" s="102"/>
    </row>
    <row r="39" spans="1:14" s="65" customFormat="1" ht="12.75" customHeight="1" x14ac:dyDescent="0.2">
      <c r="A39" s="77">
        <f t="shared" si="2"/>
        <v>28</v>
      </c>
      <c r="B39" s="77" t="s">
        <v>193</v>
      </c>
      <c r="C39" s="131" t="s">
        <v>787</v>
      </c>
      <c r="D39" s="77" t="s">
        <v>282</v>
      </c>
      <c r="E39" s="74">
        <v>-175000</v>
      </c>
      <c r="F39" s="79">
        <v>-1257.2874999999999</v>
      </c>
      <c r="G39" s="76"/>
      <c r="H39" s="76">
        <f>+ROUND(F39/VLOOKUP("Grand Total",$B$4:$F$283,5,0),4)</f>
        <v>-7.2800000000000004E-2</v>
      </c>
      <c r="I39" s="103">
        <v>43370</v>
      </c>
      <c r="J39" s="100"/>
      <c r="K39" s="89"/>
      <c r="L39" s="102"/>
    </row>
    <row r="40" spans="1:14" s="65" customFormat="1" ht="12.75" customHeight="1" x14ac:dyDescent="0.2">
      <c r="A40" s="77">
        <f t="shared" si="2"/>
        <v>29</v>
      </c>
      <c r="B40" s="77" t="s">
        <v>187</v>
      </c>
      <c r="C40" s="77" t="s">
        <v>47</v>
      </c>
      <c r="D40" s="77" t="s">
        <v>19</v>
      </c>
      <c r="E40" s="74">
        <v>7800</v>
      </c>
      <c r="F40" s="79">
        <v>709.51919999999996</v>
      </c>
      <c r="G40" s="76">
        <f>+ROUND(F40/VLOOKUP("Grand Total",$B$4:$F$283,5,0),4)</f>
        <v>4.1099999999999998E-2</v>
      </c>
      <c r="H40" s="76"/>
      <c r="I40" s="90" t="s">
        <v>313</v>
      </c>
      <c r="J40" s="100"/>
      <c r="L40" s="102"/>
    </row>
    <row r="41" spans="1:14" s="65" customFormat="1" ht="12.75" customHeight="1" x14ac:dyDescent="0.2">
      <c r="A41" s="77">
        <f t="shared" si="2"/>
        <v>30</v>
      </c>
      <c r="B41" s="77" t="s">
        <v>187</v>
      </c>
      <c r="C41" s="131" t="s">
        <v>787</v>
      </c>
      <c r="D41" s="77" t="s">
        <v>282</v>
      </c>
      <c r="E41" s="74">
        <v>-7800</v>
      </c>
      <c r="F41" s="79">
        <v>-715.13909999999998</v>
      </c>
      <c r="G41" s="76"/>
      <c r="H41" s="76">
        <f>+ROUND(F41/VLOOKUP("Grand Total",$B$4:$F$283,5,0),4)</f>
        <v>-4.1399999999999999E-2</v>
      </c>
      <c r="I41" s="103">
        <v>43370</v>
      </c>
      <c r="J41" s="100"/>
      <c r="K41" s="89"/>
      <c r="L41" s="102"/>
    </row>
    <row r="42" spans="1:14" s="65" customFormat="1" ht="12.75" customHeight="1" x14ac:dyDescent="0.2">
      <c r="A42" s="77">
        <f t="shared" si="2"/>
        <v>31</v>
      </c>
      <c r="B42" s="77" t="s">
        <v>606</v>
      </c>
      <c r="C42" s="77" t="s">
        <v>607</v>
      </c>
      <c r="D42" s="77" t="s">
        <v>9</v>
      </c>
      <c r="E42" s="74">
        <v>781000</v>
      </c>
      <c r="F42" s="79">
        <v>688.45150000000001</v>
      </c>
      <c r="G42" s="76">
        <f>+ROUND(F42/VLOOKUP("Grand Total",$B$4:$F$283,5,0),4)</f>
        <v>3.9800000000000002E-2</v>
      </c>
      <c r="H42" s="76"/>
      <c r="I42" s="90" t="s">
        <v>313</v>
      </c>
      <c r="J42" s="100"/>
      <c r="L42" s="102"/>
    </row>
    <row r="43" spans="1:14" s="65" customFormat="1" ht="12.75" customHeight="1" x14ac:dyDescent="0.2">
      <c r="A43" s="77">
        <f t="shared" si="2"/>
        <v>32</v>
      </c>
      <c r="B43" s="77" t="s">
        <v>606</v>
      </c>
      <c r="C43" s="131" t="s">
        <v>787</v>
      </c>
      <c r="D43" s="77" t="s">
        <v>282</v>
      </c>
      <c r="E43" s="74">
        <v>-781000</v>
      </c>
      <c r="F43" s="79">
        <v>-694.30899999999997</v>
      </c>
      <c r="G43" s="76"/>
      <c r="H43" s="76">
        <f>+ROUND(F43/VLOOKUP("Grand Total",$B$4:$F$283,5,0),4)</f>
        <v>-4.02E-2</v>
      </c>
      <c r="I43" s="103">
        <v>43370</v>
      </c>
      <c r="J43" s="100"/>
      <c r="K43" s="89"/>
      <c r="L43" s="102"/>
    </row>
    <row r="44" spans="1:14" s="65" customFormat="1" ht="12.75" customHeight="1" x14ac:dyDescent="0.2">
      <c r="A44" s="77">
        <f t="shared" si="2"/>
        <v>33</v>
      </c>
      <c r="B44" s="77" t="s">
        <v>542</v>
      </c>
      <c r="C44" s="77" t="s">
        <v>543</v>
      </c>
      <c r="D44" s="77" t="s">
        <v>22</v>
      </c>
      <c r="E44" s="74">
        <v>65800</v>
      </c>
      <c r="F44" s="79">
        <v>544.88980000000004</v>
      </c>
      <c r="G44" s="76">
        <f>+ROUND(F44/VLOOKUP("Grand Total",$B$4:$F$283,5,0),4)</f>
        <v>3.15E-2</v>
      </c>
      <c r="H44" s="76"/>
      <c r="I44" s="90" t="s">
        <v>313</v>
      </c>
      <c r="J44" s="100"/>
      <c r="K44" s="89"/>
      <c r="L44" s="102"/>
    </row>
    <row r="45" spans="1:14" s="65" customFormat="1" ht="12.75" customHeight="1" x14ac:dyDescent="0.2">
      <c r="A45" s="77">
        <f t="shared" si="2"/>
        <v>34</v>
      </c>
      <c r="B45" s="77" t="s">
        <v>542</v>
      </c>
      <c r="C45" s="131" t="s">
        <v>787</v>
      </c>
      <c r="D45" s="77" t="s">
        <v>282</v>
      </c>
      <c r="E45" s="74">
        <v>-65800</v>
      </c>
      <c r="F45" s="79">
        <v>-549.39710000000002</v>
      </c>
      <c r="G45" s="76"/>
      <c r="H45" s="76">
        <f>+ROUND(F45/VLOOKUP("Grand Total",$B$4:$F$283,5,0),4)</f>
        <v>-3.1800000000000002E-2</v>
      </c>
      <c r="I45" s="103">
        <v>43370</v>
      </c>
      <c r="J45" s="100"/>
      <c r="K45" s="89"/>
      <c r="L45" s="102"/>
    </row>
    <row r="46" spans="1:14" s="65" customFormat="1" ht="12.75" customHeight="1" x14ac:dyDescent="0.2">
      <c r="A46" s="77">
        <f t="shared" si="2"/>
        <v>35</v>
      </c>
      <c r="B46" s="77" t="s">
        <v>15</v>
      </c>
      <c r="C46" s="77" t="s">
        <v>16</v>
      </c>
      <c r="D46" s="77" t="s">
        <v>9</v>
      </c>
      <c r="E46" s="74">
        <v>162000</v>
      </c>
      <c r="F46" s="79">
        <v>501.55200000000002</v>
      </c>
      <c r="G46" s="76">
        <f>+ROUND(F46/VLOOKUP("Grand Total",$B$4:$F$283,5,0),4)</f>
        <v>2.9000000000000001E-2</v>
      </c>
      <c r="H46" s="76"/>
      <c r="I46" s="90" t="s">
        <v>313</v>
      </c>
      <c r="J46" s="100"/>
      <c r="K46" s="89"/>
      <c r="L46" s="102"/>
    </row>
    <row r="47" spans="1:14" s="65" customFormat="1" ht="12.75" customHeight="1" x14ac:dyDescent="0.2">
      <c r="A47" s="77">
        <f t="shared" si="2"/>
        <v>36</v>
      </c>
      <c r="B47" s="77" t="s">
        <v>15</v>
      </c>
      <c r="C47" s="131" t="s">
        <v>787</v>
      </c>
      <c r="D47" s="77" t="s">
        <v>282</v>
      </c>
      <c r="E47" s="74">
        <v>-162000</v>
      </c>
      <c r="F47" s="79">
        <v>-503.17200000000003</v>
      </c>
      <c r="G47" s="76"/>
      <c r="H47" s="76">
        <f>+ROUND(F47/VLOOKUP("Grand Total",$B$4:$F$283,5,0),4)</f>
        <v>-2.9100000000000001E-2</v>
      </c>
      <c r="I47" s="103">
        <v>43370</v>
      </c>
      <c r="J47" s="100"/>
      <c r="K47" s="89"/>
      <c r="L47" s="102"/>
    </row>
    <row r="48" spans="1:14" s="65" customFormat="1" ht="12.75" customHeight="1" x14ac:dyDescent="0.2">
      <c r="A48" s="77">
        <f t="shared" si="2"/>
        <v>37</v>
      </c>
      <c r="B48" s="77" t="s">
        <v>297</v>
      </c>
      <c r="C48" s="77" t="s">
        <v>298</v>
      </c>
      <c r="D48" s="77" t="s">
        <v>22</v>
      </c>
      <c r="E48" s="74">
        <v>34500</v>
      </c>
      <c r="F48" s="79">
        <v>434.44125000000003</v>
      </c>
      <c r="G48" s="76">
        <f>+ROUND(F48/VLOOKUP("Grand Total",$B$4:$F$283,5,0),4)</f>
        <v>2.5100000000000001E-2</v>
      </c>
      <c r="H48" s="76"/>
      <c r="I48" s="90" t="s">
        <v>313</v>
      </c>
      <c r="J48" s="100"/>
      <c r="K48" s="89"/>
      <c r="L48" s="102"/>
    </row>
    <row r="49" spans="1:12" s="65" customFormat="1" ht="12.75" customHeight="1" x14ac:dyDescent="0.2">
      <c r="A49" s="77">
        <f t="shared" si="2"/>
        <v>38</v>
      </c>
      <c r="B49" s="77" t="s">
        <v>297</v>
      </c>
      <c r="C49" s="131" t="s">
        <v>787</v>
      </c>
      <c r="D49" s="77" t="s">
        <v>282</v>
      </c>
      <c r="E49" s="74">
        <v>-34500</v>
      </c>
      <c r="F49" s="79">
        <v>-437.49450000000002</v>
      </c>
      <c r="G49" s="76"/>
      <c r="H49" s="76">
        <f>+ROUND(F49/VLOOKUP("Grand Total",$B$4:$F$283,5,0),4)</f>
        <v>-2.53E-2</v>
      </c>
      <c r="I49" s="103">
        <v>43370</v>
      </c>
      <c r="J49" s="100"/>
      <c r="K49" s="89"/>
      <c r="L49" s="102"/>
    </row>
    <row r="50" spans="1:12" s="65" customFormat="1" ht="12.75" customHeight="1" x14ac:dyDescent="0.2">
      <c r="A50" s="77">
        <f t="shared" si="2"/>
        <v>39</v>
      </c>
      <c r="B50" s="77" t="s">
        <v>354</v>
      </c>
      <c r="C50" s="77" t="s">
        <v>66</v>
      </c>
      <c r="D50" s="77" t="s">
        <v>21</v>
      </c>
      <c r="E50" s="74">
        <v>63800</v>
      </c>
      <c r="F50" s="79">
        <v>416.51830000000001</v>
      </c>
      <c r="G50" s="76">
        <f>+ROUND(F50/VLOOKUP("Grand Total",$B$4:$F$283,5,0),4)</f>
        <v>2.41E-2</v>
      </c>
      <c r="H50" s="76"/>
      <c r="I50" s="90" t="s">
        <v>313</v>
      </c>
      <c r="J50" s="100"/>
      <c r="K50" s="89"/>
      <c r="L50" s="102"/>
    </row>
    <row r="51" spans="1:12" s="65" customFormat="1" ht="12.75" customHeight="1" x14ac:dyDescent="0.2">
      <c r="A51" s="77">
        <f t="shared" si="2"/>
        <v>40</v>
      </c>
      <c r="B51" s="77" t="s">
        <v>354</v>
      </c>
      <c r="C51" s="131" t="s">
        <v>787</v>
      </c>
      <c r="D51" s="77" t="s">
        <v>282</v>
      </c>
      <c r="E51" s="74">
        <v>-63800</v>
      </c>
      <c r="F51" s="79">
        <v>-417.15629999999999</v>
      </c>
      <c r="G51" s="76"/>
      <c r="H51" s="76">
        <f>+ROUND(F51/VLOOKUP("Grand Total",$B$4:$F$283,5,0),4)</f>
        <v>-2.41E-2</v>
      </c>
      <c r="I51" s="103">
        <v>43370</v>
      </c>
      <c r="J51" s="100"/>
      <c r="K51" s="89"/>
      <c r="L51" s="102"/>
    </row>
    <row r="52" spans="1:12" s="65" customFormat="1" ht="12.75" customHeight="1" x14ac:dyDescent="0.2">
      <c r="A52" s="77">
        <f t="shared" si="2"/>
        <v>41</v>
      </c>
      <c r="B52" s="77" t="s">
        <v>178</v>
      </c>
      <c r="C52" s="77" t="s">
        <v>33</v>
      </c>
      <c r="D52" s="77" t="s">
        <v>17</v>
      </c>
      <c r="E52" s="74">
        <v>38500</v>
      </c>
      <c r="F52" s="79">
        <v>376.58775000000003</v>
      </c>
      <c r="G52" s="76">
        <f>+ROUND(F52/VLOOKUP("Grand Total",$B$4:$F$283,5,0),4)</f>
        <v>2.18E-2</v>
      </c>
      <c r="H52" s="76"/>
      <c r="I52" s="90" t="s">
        <v>313</v>
      </c>
      <c r="J52" s="100"/>
      <c r="L52" s="102"/>
    </row>
    <row r="53" spans="1:12" s="65" customFormat="1" ht="12.75" customHeight="1" x14ac:dyDescent="0.2">
      <c r="A53" s="77">
        <f t="shared" si="2"/>
        <v>42</v>
      </c>
      <c r="B53" s="77" t="s">
        <v>178</v>
      </c>
      <c r="C53" s="131" t="s">
        <v>787</v>
      </c>
      <c r="D53" s="77" t="s">
        <v>282</v>
      </c>
      <c r="E53" s="74">
        <v>-38500</v>
      </c>
      <c r="F53" s="79">
        <v>-379.64850000000001</v>
      </c>
      <c r="G53" s="76"/>
      <c r="H53" s="76">
        <f>+ROUND(F53/VLOOKUP("Grand Total",$B$4:$F$283,5,0),4)</f>
        <v>-2.1999999999999999E-2</v>
      </c>
      <c r="I53" s="103">
        <v>43370</v>
      </c>
      <c r="J53" s="100"/>
      <c r="K53" s="89"/>
      <c r="L53" s="102"/>
    </row>
    <row r="54" spans="1:12" s="65" customFormat="1" ht="12.75" customHeight="1" x14ac:dyDescent="0.2">
      <c r="A54" s="77">
        <f t="shared" si="2"/>
        <v>43</v>
      </c>
      <c r="B54" s="77" t="s">
        <v>174</v>
      </c>
      <c r="C54" s="77" t="s">
        <v>20</v>
      </c>
      <c r="D54" s="77" t="s">
        <v>19</v>
      </c>
      <c r="E54" s="74">
        <v>105000</v>
      </c>
      <c r="F54" s="79">
        <v>280.875</v>
      </c>
      <c r="G54" s="76">
        <f>+ROUND(F54/VLOOKUP("Grand Total",$B$4:$F$283,5,0),4)</f>
        <v>1.6299999999999999E-2</v>
      </c>
      <c r="H54" s="76"/>
      <c r="I54" s="90" t="s">
        <v>313</v>
      </c>
      <c r="J54" s="100"/>
      <c r="K54" s="89"/>
      <c r="L54" s="102"/>
    </row>
    <row r="55" spans="1:12" s="65" customFormat="1" ht="12.75" customHeight="1" x14ac:dyDescent="0.2">
      <c r="A55" s="77">
        <f t="shared" si="2"/>
        <v>44</v>
      </c>
      <c r="B55" s="77" t="s">
        <v>174</v>
      </c>
      <c r="C55" s="131" t="s">
        <v>787</v>
      </c>
      <c r="D55" s="77" t="s">
        <v>282</v>
      </c>
      <c r="E55" s="74">
        <v>-105000</v>
      </c>
      <c r="F55" s="79">
        <v>-282.71249999999998</v>
      </c>
      <c r="G55" s="76"/>
      <c r="H55" s="76">
        <f>+ROUND(F55/VLOOKUP("Grand Total",$B$4:$F$283,5,0),4)</f>
        <v>-1.6400000000000001E-2</v>
      </c>
      <c r="I55" s="103">
        <v>43370</v>
      </c>
      <c r="J55" s="100"/>
      <c r="K55" s="89"/>
      <c r="L55" s="102"/>
    </row>
    <row r="56" spans="1:12" s="65" customFormat="1" ht="12.75" customHeight="1" x14ac:dyDescent="0.2">
      <c r="A56" s="77">
        <f t="shared" si="2"/>
        <v>45</v>
      </c>
      <c r="B56" s="77" t="s">
        <v>177</v>
      </c>
      <c r="C56" s="77" t="s">
        <v>37</v>
      </c>
      <c r="D56" s="77" t="s">
        <v>19</v>
      </c>
      <c r="E56" s="74">
        <v>6250</v>
      </c>
      <c r="F56" s="79">
        <v>171.55312499999999</v>
      </c>
      <c r="G56" s="76">
        <f>+ROUND(F56/VLOOKUP("Grand Total",$B$4:$F$283,5,0),4)</f>
        <v>9.9000000000000008E-3</v>
      </c>
      <c r="H56" s="76"/>
      <c r="I56" s="90" t="s">
        <v>313</v>
      </c>
      <c r="J56" s="100"/>
      <c r="K56" s="89"/>
      <c r="L56" s="102"/>
    </row>
    <row r="57" spans="1:12" s="65" customFormat="1" ht="12.75" customHeight="1" x14ac:dyDescent="0.2">
      <c r="A57" s="77">
        <f t="shared" si="2"/>
        <v>46</v>
      </c>
      <c r="B57" s="77" t="s">
        <v>177</v>
      </c>
      <c r="C57" s="131" t="s">
        <v>787</v>
      </c>
      <c r="D57" s="77" t="s">
        <v>282</v>
      </c>
      <c r="E57" s="74">
        <v>-6250</v>
      </c>
      <c r="F57" s="79">
        <v>-173.07187500000001</v>
      </c>
      <c r="G57" s="76"/>
      <c r="H57" s="76">
        <f>+ROUND(F57/VLOOKUP("Grand Total",$B$4:$F$283,5,0),4)</f>
        <v>-0.01</v>
      </c>
      <c r="I57" s="103">
        <v>43370</v>
      </c>
      <c r="J57" s="100"/>
      <c r="K57" s="89"/>
      <c r="L57" s="102"/>
    </row>
    <row r="58" spans="1:12" s="65" customFormat="1" ht="12.75" customHeight="1" x14ac:dyDescent="0.2">
      <c r="A58" s="77">
        <f t="shared" si="2"/>
        <v>47</v>
      </c>
      <c r="B58" s="77" t="s">
        <v>391</v>
      </c>
      <c r="C58" s="77" t="s">
        <v>392</v>
      </c>
      <c r="D58" s="77" t="s">
        <v>19</v>
      </c>
      <c r="E58" s="74">
        <v>8800</v>
      </c>
      <c r="F58" s="79">
        <v>76.537999999999997</v>
      </c>
      <c r="G58" s="76">
        <f>+ROUND(F58/VLOOKUP("Grand Total",$B$4:$F$283,5,0),4)</f>
        <v>4.4000000000000003E-3</v>
      </c>
      <c r="H58" s="76"/>
      <c r="I58" s="90" t="s">
        <v>313</v>
      </c>
      <c r="J58" s="100"/>
      <c r="K58" s="89"/>
      <c r="L58" s="102"/>
    </row>
    <row r="59" spans="1:12" s="65" customFormat="1" ht="12.75" customHeight="1" x14ac:dyDescent="0.2">
      <c r="A59" s="77">
        <f t="shared" si="2"/>
        <v>48</v>
      </c>
      <c r="B59" s="77" t="s">
        <v>391</v>
      </c>
      <c r="C59" s="131" t="s">
        <v>787</v>
      </c>
      <c r="D59" s="77" t="s">
        <v>282</v>
      </c>
      <c r="E59" s="74">
        <v>-8800</v>
      </c>
      <c r="F59" s="79">
        <v>-77.1584</v>
      </c>
      <c r="G59" s="76"/>
      <c r="H59" s="76">
        <f>+ROUND(F59/VLOOKUP("Grand Total",$B$4:$F$283,5,0),4)</f>
        <v>-4.4999999999999997E-3</v>
      </c>
      <c r="I59" s="103">
        <v>43370</v>
      </c>
      <c r="J59" s="100"/>
      <c r="K59" s="89"/>
      <c r="L59" s="102"/>
    </row>
    <row r="60" spans="1:12" s="65" customFormat="1" ht="12.75" customHeight="1" x14ac:dyDescent="0.2">
      <c r="A60" s="77">
        <f t="shared" si="2"/>
        <v>49</v>
      </c>
      <c r="B60" s="77" t="s">
        <v>262</v>
      </c>
      <c r="C60" s="77" t="s">
        <v>162</v>
      </c>
      <c r="D60" s="77" t="s">
        <v>34</v>
      </c>
      <c r="E60" s="74">
        <v>182000</v>
      </c>
      <c r="F60" s="79">
        <v>68.704999999999998</v>
      </c>
      <c r="G60" s="76">
        <f>+ROUND(F60/VLOOKUP("Grand Total",$B$4:$F$283,5,0),4)</f>
        <v>4.0000000000000001E-3</v>
      </c>
      <c r="H60" s="76"/>
      <c r="I60" s="90" t="s">
        <v>313</v>
      </c>
      <c r="J60" s="100"/>
      <c r="K60" s="89"/>
      <c r="L60" s="102"/>
    </row>
    <row r="61" spans="1:12" s="65" customFormat="1" ht="12.75" customHeight="1" x14ac:dyDescent="0.2">
      <c r="A61" s="77">
        <f t="shared" si="2"/>
        <v>50</v>
      </c>
      <c r="B61" s="77" t="s">
        <v>262</v>
      </c>
      <c r="C61" s="131" t="s">
        <v>787</v>
      </c>
      <c r="D61" s="77" t="s">
        <v>282</v>
      </c>
      <c r="E61" s="74">
        <v>-182000</v>
      </c>
      <c r="F61" s="79">
        <v>-69.069000000000003</v>
      </c>
      <c r="G61" s="76"/>
      <c r="H61" s="76">
        <f>+ROUND(F61/VLOOKUP("Grand Total",$B$4:$F$283,5,0),4)</f>
        <v>-4.0000000000000001E-3</v>
      </c>
      <c r="I61" s="103">
        <v>43370</v>
      </c>
      <c r="J61" s="100"/>
      <c r="K61" s="89"/>
      <c r="L61" s="102"/>
    </row>
    <row r="62" spans="1:12" s="65" customFormat="1" ht="12.75" customHeight="1" x14ac:dyDescent="0.2">
      <c r="A62" s="77">
        <f t="shared" si="2"/>
        <v>51</v>
      </c>
      <c r="B62" s="77" t="s">
        <v>338</v>
      </c>
      <c r="C62" s="77" t="s">
        <v>123</v>
      </c>
      <c r="D62" s="77" t="s">
        <v>19</v>
      </c>
      <c r="E62" s="74">
        <v>36400</v>
      </c>
      <c r="F62" s="79">
        <v>51.706200000000003</v>
      </c>
      <c r="G62" s="76">
        <f>+ROUND(F62/VLOOKUP("Grand Total",$B$4:$F$283,5,0),4)</f>
        <v>3.0000000000000001E-3</v>
      </c>
      <c r="H62" s="76"/>
      <c r="I62" s="90" t="s">
        <v>313</v>
      </c>
      <c r="J62" s="100"/>
      <c r="K62" s="89"/>
      <c r="L62" s="102"/>
    </row>
    <row r="63" spans="1:12" s="65" customFormat="1" ht="12.75" customHeight="1" x14ac:dyDescent="0.2">
      <c r="A63" s="77">
        <f t="shared" si="2"/>
        <v>52</v>
      </c>
      <c r="B63" s="77" t="s">
        <v>338</v>
      </c>
      <c r="C63" s="131" t="s">
        <v>787</v>
      </c>
      <c r="D63" s="77" t="s">
        <v>282</v>
      </c>
      <c r="E63" s="74">
        <v>-36400</v>
      </c>
      <c r="F63" s="79">
        <v>-52.1248</v>
      </c>
      <c r="G63" s="76"/>
      <c r="H63" s="76">
        <f>+ROUND(F63/VLOOKUP("Grand Total",$B$4:$F$283,5,0),4)</f>
        <v>-3.0000000000000001E-3</v>
      </c>
      <c r="I63" s="103">
        <v>43370</v>
      </c>
      <c r="J63" s="100"/>
      <c r="K63" s="89"/>
      <c r="L63" s="102"/>
    </row>
    <row r="64" spans="1:12" s="65" customFormat="1" ht="12.75" customHeight="1" x14ac:dyDescent="0.2">
      <c r="A64" s="77">
        <f t="shared" si="2"/>
        <v>53</v>
      </c>
      <c r="B64" s="77" t="s">
        <v>728</v>
      </c>
      <c r="C64" s="77" t="s">
        <v>729</v>
      </c>
      <c r="D64" s="77" t="s">
        <v>21</v>
      </c>
      <c r="E64" s="74">
        <v>4500</v>
      </c>
      <c r="F64" s="79">
        <v>29.875499999999999</v>
      </c>
      <c r="G64" s="76">
        <f>+ROUND(F64/VLOOKUP("Grand Total",$B$4:$F$283,5,0),4)</f>
        <v>1.6999999999999999E-3</v>
      </c>
      <c r="H64" s="76"/>
      <c r="I64" s="90" t="s">
        <v>313</v>
      </c>
      <c r="J64" s="100"/>
      <c r="K64" s="89"/>
      <c r="L64" s="102"/>
    </row>
    <row r="65" spans="1:13" s="65" customFormat="1" ht="12.75" customHeight="1" x14ac:dyDescent="0.2">
      <c r="A65" s="77">
        <f t="shared" si="2"/>
        <v>54</v>
      </c>
      <c r="B65" s="77" t="s">
        <v>728</v>
      </c>
      <c r="C65" s="131" t="s">
        <v>787</v>
      </c>
      <c r="D65" s="77" t="s">
        <v>282</v>
      </c>
      <c r="E65" s="74">
        <v>-4500</v>
      </c>
      <c r="F65" s="79">
        <v>-30.037500000000001</v>
      </c>
      <c r="G65" s="76"/>
      <c r="H65" s="76">
        <f>+ROUND(F65/VLOOKUP("Grand Total",$B$4:$F$283,5,0),4)</f>
        <v>-1.6999999999999999E-3</v>
      </c>
      <c r="I65" s="103">
        <v>43370</v>
      </c>
      <c r="J65" s="100"/>
      <c r="K65" s="89"/>
      <c r="L65" s="102"/>
    </row>
    <row r="66" spans="1:13" s="46" customFormat="1" ht="12.75" customHeight="1" x14ac:dyDescent="0.2">
      <c r="A66"/>
      <c r="B66" s="18" t="s">
        <v>82</v>
      </c>
      <c r="C66" s="18"/>
      <c r="D66" s="18"/>
      <c r="E66" s="19"/>
      <c r="F66" s="124">
        <f>+F36+F38+F40+F42+F44+F46+F48+F50+F52+F54+F56+F58+F60+F62+F64</f>
        <v>7180.8556249999983</v>
      </c>
      <c r="G66" s="20">
        <f>+G36+G38+G40+G42+G44+G46+G48+G50+G52+G54+G56+G58+G60+G62+G64</f>
        <v>0.41550000000000004</v>
      </c>
      <c r="H66" s="20">
        <f>SUM(H37:H65)</f>
        <v>-0.41820000000000007</v>
      </c>
      <c r="I66" s="21"/>
      <c r="J66" s="56"/>
      <c r="L66" s="48"/>
    </row>
    <row r="67" spans="1:13" ht="12.75" customHeight="1" x14ac:dyDescent="0.2">
      <c r="F67" s="28"/>
      <c r="G67" s="28"/>
      <c r="H67" s="28"/>
      <c r="I67" s="15"/>
      <c r="J67" s="56"/>
    </row>
    <row r="68" spans="1:13" s="46" customFormat="1" ht="12.75" customHeight="1" x14ac:dyDescent="0.2">
      <c r="A68"/>
      <c r="B68" s="16" t="s">
        <v>88</v>
      </c>
      <c r="C68" s="16"/>
      <c r="D68"/>
      <c r="E68" s="28"/>
      <c r="F68" s="28"/>
      <c r="G68" s="28"/>
      <c r="H68" s="28"/>
      <c r="I68" s="15"/>
      <c r="J68" s="56"/>
      <c r="L68" s="48"/>
    </row>
    <row r="69" spans="1:13" s="46" customFormat="1" ht="12.75" customHeight="1" x14ac:dyDescent="0.2">
      <c r="A69"/>
      <c r="B69" s="16" t="s">
        <v>267</v>
      </c>
      <c r="C69" s="16"/>
      <c r="D69"/>
      <c r="E69" s="28"/>
      <c r="F69" s="13"/>
      <c r="G69" s="14"/>
      <c r="H69" s="14"/>
      <c r="I69" s="15"/>
      <c r="J69" s="56"/>
      <c r="K69"/>
      <c r="L69" s="36"/>
    </row>
    <row r="70" spans="1:13" s="46" customFormat="1" ht="12.75" customHeight="1" x14ac:dyDescent="0.2">
      <c r="A70" s="77">
        <f>+MAX($A$8:A69)+1</f>
        <v>55</v>
      </c>
      <c r="B70" t="s">
        <v>456</v>
      </c>
      <c r="C70" t="s">
        <v>714</v>
      </c>
      <c r="D70" t="s">
        <v>688</v>
      </c>
      <c r="E70" s="28">
        <v>100</v>
      </c>
      <c r="F70" s="13">
        <v>499.72050000000002</v>
      </c>
      <c r="G70" s="76">
        <f>+ROUND(F70/VLOOKUP("Grand Total",$B$4:$F$283,5,0),4)</f>
        <v>2.8899999999999999E-2</v>
      </c>
      <c r="H70" s="76"/>
      <c r="I70" s="15">
        <v>43347</v>
      </c>
      <c r="J70" s="56"/>
      <c r="K70"/>
      <c r="L70" s="36"/>
    </row>
    <row r="71" spans="1:13" s="46" customFormat="1" ht="12.75" customHeight="1" x14ac:dyDescent="0.2">
      <c r="A71" s="77">
        <f>+MAX($A$8:A70)+1</f>
        <v>56</v>
      </c>
      <c r="B71" t="s">
        <v>456</v>
      </c>
      <c r="C71" t="s">
        <v>730</v>
      </c>
      <c r="D71" t="s">
        <v>688</v>
      </c>
      <c r="E71" s="28">
        <v>100</v>
      </c>
      <c r="F71" s="13">
        <v>498.25599999999997</v>
      </c>
      <c r="G71" s="76">
        <f>+ROUND(F71/VLOOKUP("Grand Total",$B$4:$F$283,5,0),4)</f>
        <v>2.8799999999999999E-2</v>
      </c>
      <c r="H71" s="76"/>
      <c r="I71" s="15">
        <v>43362</v>
      </c>
      <c r="J71" s="56"/>
      <c r="K71"/>
      <c r="L71" s="36"/>
    </row>
    <row r="72" spans="1:13" s="46" customFormat="1" ht="12.75" customHeight="1" x14ac:dyDescent="0.2">
      <c r="A72" s="77">
        <f>+MAX($A$8:A71)+1</f>
        <v>57</v>
      </c>
      <c r="B72" t="s">
        <v>256</v>
      </c>
      <c r="C72" t="s">
        <v>461</v>
      </c>
      <c r="D72" t="s">
        <v>449</v>
      </c>
      <c r="E72" s="28">
        <v>20</v>
      </c>
      <c r="F72" s="13">
        <v>98.080799999999996</v>
      </c>
      <c r="G72" s="76">
        <f>+ROUND(F72/VLOOKUP("Grand Total",$B$4:$F$283,5,0),4)</f>
        <v>5.7000000000000002E-3</v>
      </c>
      <c r="H72" s="76"/>
      <c r="I72" s="15">
        <v>43430</v>
      </c>
      <c r="J72" s="56"/>
      <c r="K72"/>
      <c r="L72" s="36"/>
    </row>
    <row r="73" spans="1:13" ht="12.75" customHeight="1" x14ac:dyDescent="0.2">
      <c r="B73" s="18" t="s">
        <v>82</v>
      </c>
      <c r="C73" s="18"/>
      <c r="D73" s="18"/>
      <c r="E73" s="29"/>
      <c r="F73" s="19">
        <f>SUM(F70:F72)</f>
        <v>1096.0572999999999</v>
      </c>
      <c r="G73" s="20">
        <f>SUM(G70:G72)</f>
        <v>6.3399999999999998E-2</v>
      </c>
      <c r="H73" s="20"/>
      <c r="I73" s="21"/>
      <c r="J73" s="56"/>
    </row>
    <row r="74" spans="1:13" ht="12.75" customHeight="1" x14ac:dyDescent="0.2">
      <c r="F74" s="44"/>
      <c r="G74" s="14"/>
      <c r="H74" s="14"/>
      <c r="I74" s="15"/>
      <c r="J74" s="56"/>
    </row>
    <row r="75" spans="1:13" ht="12.75" customHeight="1" x14ac:dyDescent="0.2">
      <c r="B75" s="16" t="s">
        <v>153</v>
      </c>
      <c r="F75" s="13"/>
      <c r="G75" s="14"/>
      <c r="H75" s="14"/>
      <c r="I75" s="15"/>
      <c r="J75" s="56"/>
    </row>
    <row r="76" spans="1:13" ht="12.75" customHeight="1" x14ac:dyDescent="0.2">
      <c r="A76" s="77">
        <f>+MAX($A$8:A75)+1</f>
        <v>58</v>
      </c>
      <c r="B76" t="s">
        <v>450</v>
      </c>
      <c r="C76" t="s">
        <v>672</v>
      </c>
      <c r="D76" t="s">
        <v>345</v>
      </c>
      <c r="E76" s="28">
        <v>60000</v>
      </c>
      <c r="F76" s="13">
        <v>59.179200000000002</v>
      </c>
      <c r="G76" s="76">
        <f>+ROUND(F76/VLOOKUP("Grand Total",$B$4:$F$283,5,0),4)</f>
        <v>3.3999999999999998E-3</v>
      </c>
      <c r="H76" s="76"/>
      <c r="I76" s="15">
        <v>43419</v>
      </c>
      <c r="J76" s="55"/>
    </row>
    <row r="77" spans="1:13" s="46" customFormat="1" ht="12.75" customHeight="1" x14ac:dyDescent="0.2">
      <c r="A77"/>
      <c r="B77" s="18" t="s">
        <v>82</v>
      </c>
      <c r="C77" s="18"/>
      <c r="D77" s="18"/>
      <c r="E77" s="29"/>
      <c r="F77" s="19">
        <f>SUM(F76)</f>
        <v>59.179200000000002</v>
      </c>
      <c r="G77" s="20">
        <f>SUM(G76)</f>
        <v>3.3999999999999998E-3</v>
      </c>
      <c r="H77" s="20"/>
      <c r="I77" s="21"/>
      <c r="J77" s="55"/>
      <c r="K77" s="36"/>
      <c r="L77"/>
      <c r="M77"/>
    </row>
    <row r="78" spans="1:13" s="46" customFormat="1" ht="12.75" customHeight="1" x14ac:dyDescent="0.2">
      <c r="B78" s="67"/>
      <c r="C78" s="67"/>
      <c r="D78" s="67"/>
      <c r="E78" s="68"/>
      <c r="F78" s="69"/>
      <c r="G78" s="70"/>
      <c r="H78" s="70"/>
      <c r="I78" s="71"/>
      <c r="J78" s="55"/>
      <c r="K78" s="48"/>
    </row>
    <row r="79" spans="1:13" ht="12.75" customHeight="1" x14ac:dyDescent="0.2">
      <c r="B79" s="16" t="s">
        <v>154</v>
      </c>
      <c r="F79" s="13"/>
      <c r="G79" s="14"/>
      <c r="H79" s="14"/>
      <c r="I79" s="15"/>
      <c r="J79" s="56"/>
    </row>
    <row r="80" spans="1:13" ht="12.75" customHeight="1" x14ac:dyDescent="0.2">
      <c r="A80" s="77">
        <f>+MAX($A$8:A79)+1</f>
        <v>59</v>
      </c>
      <c r="B80" t="s">
        <v>621</v>
      </c>
      <c r="C80" t="s">
        <v>622</v>
      </c>
      <c r="D80" t="s">
        <v>345</v>
      </c>
      <c r="E80" s="28">
        <v>100000</v>
      </c>
      <c r="F80" s="13">
        <v>96.576700000000002</v>
      </c>
      <c r="G80" s="76">
        <f>+ROUND(F80/VLOOKUP("Grand Total",$B$4:$F$283,5,0),4)</f>
        <v>5.5999999999999999E-3</v>
      </c>
      <c r="H80" s="76"/>
      <c r="I80" s="15">
        <v>45066</v>
      </c>
      <c r="J80" s="55"/>
    </row>
    <row r="81" spans="1:13" s="46" customFormat="1" ht="12.75" customHeight="1" x14ac:dyDescent="0.2">
      <c r="A81"/>
      <c r="B81" s="18" t="s">
        <v>82</v>
      </c>
      <c r="C81" s="18"/>
      <c r="D81" s="18"/>
      <c r="E81" s="29"/>
      <c r="F81" s="19">
        <f>SUM(F80)</f>
        <v>96.576700000000002</v>
      </c>
      <c r="G81" s="20">
        <f>SUM(G80)</f>
        <v>5.5999999999999999E-3</v>
      </c>
      <c r="H81" s="20"/>
      <c r="I81" s="21"/>
      <c r="J81" s="55"/>
      <c r="K81" s="36"/>
      <c r="L81"/>
      <c r="M81"/>
    </row>
    <row r="82" spans="1:13" s="46" customFormat="1" ht="12.75" customHeight="1" x14ac:dyDescent="0.2">
      <c r="B82" s="67"/>
      <c r="C82" s="67"/>
      <c r="D82" s="67"/>
      <c r="E82" s="68"/>
      <c r="F82" s="69"/>
      <c r="G82" s="70"/>
      <c r="H82" s="70"/>
      <c r="I82" s="71"/>
      <c r="J82" s="55"/>
      <c r="K82" s="48"/>
    </row>
    <row r="83" spans="1:13" ht="12.75" customHeight="1" x14ac:dyDescent="0.2">
      <c r="B83" s="16" t="s">
        <v>120</v>
      </c>
      <c r="F83" s="44"/>
      <c r="G83" s="14"/>
      <c r="H83" s="14"/>
      <c r="I83" s="15"/>
      <c r="J83" s="56"/>
      <c r="K83" s="36"/>
      <c r="L83"/>
    </row>
    <row r="84" spans="1:13" s="46" customFormat="1" ht="12.75" customHeight="1" x14ac:dyDescent="0.2">
      <c r="B84" s="31" t="s">
        <v>266</v>
      </c>
      <c r="C84" s="16"/>
      <c r="D84"/>
      <c r="E84" s="28"/>
      <c r="F84" s="13"/>
      <c r="G84" s="14"/>
      <c r="H84" s="14"/>
      <c r="I84" s="71"/>
      <c r="J84" s="55"/>
      <c r="K84" s="48"/>
    </row>
    <row r="85" spans="1:13" s="46" customFormat="1" ht="12.75" customHeight="1" x14ac:dyDescent="0.2">
      <c r="A85" s="77">
        <f>+MAX($A$8:A84)+1</f>
        <v>60</v>
      </c>
      <c r="B85" s="65" t="s">
        <v>643</v>
      </c>
      <c r="C85" s="92" t="s">
        <v>644</v>
      </c>
      <c r="D85" t="s">
        <v>306</v>
      </c>
      <c r="E85" s="28">
        <v>60000</v>
      </c>
      <c r="F85" s="13">
        <v>589.57560000000001</v>
      </c>
      <c r="G85" s="76">
        <f t="shared" ref="G85:G90" si="3">+ROUND(F85/VLOOKUP("Grand Total",$B$4:$F$283,5,0),4)</f>
        <v>3.4099999999999998E-2</v>
      </c>
      <c r="H85" s="76"/>
      <c r="I85" s="64">
        <v>44351</v>
      </c>
      <c r="J85" s="55"/>
      <c r="K85" s="48"/>
    </row>
    <row r="86" spans="1:13" s="46" customFormat="1" ht="12.75" customHeight="1" x14ac:dyDescent="0.2">
      <c r="A86" s="77">
        <f>+MAX($A$8:A85)+1</f>
        <v>61</v>
      </c>
      <c r="B86" s="65" t="s">
        <v>645</v>
      </c>
      <c r="C86" s="92" t="s">
        <v>646</v>
      </c>
      <c r="D86" t="s">
        <v>369</v>
      </c>
      <c r="E86" s="28">
        <v>50</v>
      </c>
      <c r="F86" s="13">
        <v>496.12099999999998</v>
      </c>
      <c r="G86" s="76">
        <f t="shared" si="3"/>
        <v>2.87E-2</v>
      </c>
      <c r="H86" s="76"/>
      <c r="I86" s="64">
        <v>43616</v>
      </c>
      <c r="J86" s="55"/>
      <c r="K86" s="48"/>
    </row>
    <row r="87" spans="1:13" s="46" customFormat="1" ht="12.75" customHeight="1" x14ac:dyDescent="0.2">
      <c r="A87" s="77">
        <f>+MAX($A$8:A86)+1</f>
        <v>62</v>
      </c>
      <c r="B87" s="65" t="s">
        <v>427</v>
      </c>
      <c r="C87" s="92" t="s">
        <v>411</v>
      </c>
      <c r="D87" t="s">
        <v>369</v>
      </c>
      <c r="E87" s="28">
        <v>40</v>
      </c>
      <c r="F87" s="13">
        <v>397.35520000000002</v>
      </c>
      <c r="G87" s="76">
        <f t="shared" si="3"/>
        <v>2.3E-2</v>
      </c>
      <c r="H87" s="76"/>
      <c r="I87" s="64">
        <v>43671</v>
      </c>
      <c r="J87" s="55"/>
      <c r="K87" s="48"/>
    </row>
    <row r="88" spans="1:13" s="46" customFormat="1" ht="12.75" customHeight="1" x14ac:dyDescent="0.2">
      <c r="A88" s="77">
        <f>+MAX($A$8:A87)+1</f>
        <v>63</v>
      </c>
      <c r="B88" s="65" t="s">
        <v>393</v>
      </c>
      <c r="C88" s="92" t="s">
        <v>394</v>
      </c>
      <c r="D88" t="s">
        <v>257</v>
      </c>
      <c r="E88" s="28">
        <v>30</v>
      </c>
      <c r="F88" s="13">
        <v>298.43400000000003</v>
      </c>
      <c r="G88" s="76">
        <f t="shared" si="3"/>
        <v>1.7299999999999999E-2</v>
      </c>
      <c r="H88" s="76"/>
      <c r="I88" s="64">
        <v>43630</v>
      </c>
      <c r="J88" s="55"/>
      <c r="K88" s="48"/>
    </row>
    <row r="89" spans="1:13" s="46" customFormat="1" ht="12.75" customHeight="1" x14ac:dyDescent="0.2">
      <c r="A89" s="77">
        <f>+MAX($A$8:A88)+1</f>
        <v>64</v>
      </c>
      <c r="B89" s="65" t="s">
        <v>651</v>
      </c>
      <c r="C89" s="92" t="s">
        <v>473</v>
      </c>
      <c r="D89" t="s">
        <v>104</v>
      </c>
      <c r="E89" s="28">
        <v>22</v>
      </c>
      <c r="F89" s="13">
        <v>219.40137999999999</v>
      </c>
      <c r="G89" s="76">
        <f t="shared" si="3"/>
        <v>1.2699999999999999E-2</v>
      </c>
      <c r="H89" s="76"/>
      <c r="I89" s="64">
        <v>43584</v>
      </c>
      <c r="J89" s="55"/>
      <c r="K89" s="48"/>
    </row>
    <row r="90" spans="1:13" s="46" customFormat="1" ht="12.75" customHeight="1" x14ac:dyDescent="0.2">
      <c r="A90" s="77">
        <f>+MAX($A$8:A89)+1</f>
        <v>65</v>
      </c>
      <c r="B90" s="65" t="s">
        <v>305</v>
      </c>
      <c r="C90" s="92" t="s">
        <v>428</v>
      </c>
      <c r="D90" t="s">
        <v>306</v>
      </c>
      <c r="E90" s="28">
        <v>20000</v>
      </c>
      <c r="F90" s="13">
        <v>199.49379999999999</v>
      </c>
      <c r="G90" s="76">
        <f t="shared" si="3"/>
        <v>1.15E-2</v>
      </c>
      <c r="H90" s="76"/>
      <c r="I90" s="64">
        <v>43717</v>
      </c>
      <c r="J90" s="55"/>
      <c r="K90" s="48"/>
    </row>
    <row r="91" spans="1:13" ht="12.75" customHeight="1" x14ac:dyDescent="0.2">
      <c r="A91" s="46"/>
      <c r="B91" s="18" t="s">
        <v>82</v>
      </c>
      <c r="C91" s="18"/>
      <c r="D91" s="18"/>
      <c r="E91" s="29"/>
      <c r="F91" s="19">
        <f>SUM(F85:F90)</f>
        <v>2200.3809799999999</v>
      </c>
      <c r="G91" s="20">
        <f>SUM(G85:G90)</f>
        <v>0.1273</v>
      </c>
      <c r="H91" s="20"/>
      <c r="I91" s="63"/>
      <c r="J91" s="56"/>
      <c r="K91" s="48"/>
      <c r="L91" s="46"/>
      <c r="M91" s="46"/>
    </row>
    <row r="92" spans="1:13" ht="12.75" customHeight="1" x14ac:dyDescent="0.2">
      <c r="F92" s="44"/>
      <c r="G92" s="14"/>
      <c r="H92" s="14"/>
      <c r="I92" s="15"/>
      <c r="J92" s="56"/>
      <c r="K92" s="36"/>
      <c r="L92"/>
    </row>
    <row r="93" spans="1:13" ht="12.75" customHeight="1" x14ac:dyDescent="0.2">
      <c r="B93" s="16" t="s">
        <v>89</v>
      </c>
      <c r="C93" s="16"/>
      <c r="F93" s="13"/>
      <c r="G93" s="14"/>
      <c r="H93" s="14"/>
      <c r="I93" s="73"/>
      <c r="J93"/>
      <c r="K93" s="36"/>
      <c r="L93"/>
    </row>
    <row r="94" spans="1:13" ht="12.75" customHeight="1" x14ac:dyDescent="0.2">
      <c r="A94" s="77">
        <f>+MAX($A$8:A93)+1</f>
        <v>66</v>
      </c>
      <c r="B94" t="s">
        <v>368</v>
      </c>
      <c r="C94" t="s">
        <v>299</v>
      </c>
      <c r="D94" t="s">
        <v>279</v>
      </c>
      <c r="E94" s="28">
        <v>20340.004499999999</v>
      </c>
      <c r="F94" s="13">
        <v>353.46099100000004</v>
      </c>
      <c r="G94" s="76">
        <f>+ROUND(F94/VLOOKUP("Grand Total",$B$4:$F$283,5,0),4)</f>
        <v>2.0500000000000001E-2</v>
      </c>
      <c r="H94" s="76"/>
      <c r="I94" s="73" t="s">
        <v>313</v>
      </c>
      <c r="J94"/>
      <c r="K94" s="36"/>
      <c r="L94"/>
    </row>
    <row r="95" spans="1:13" ht="12.75" customHeight="1" x14ac:dyDescent="0.2">
      <c r="B95" s="18" t="s">
        <v>82</v>
      </c>
      <c r="C95" s="18"/>
      <c r="D95" s="18"/>
      <c r="E95" s="29"/>
      <c r="F95" s="19">
        <f>SUM(F94:F94)</f>
        <v>353.46099100000004</v>
      </c>
      <c r="G95" s="20">
        <f>SUM(G94)</f>
        <v>2.0500000000000001E-2</v>
      </c>
      <c r="H95" s="20"/>
      <c r="I95" s="21"/>
      <c r="J95"/>
      <c r="K95" s="36"/>
      <c r="L95"/>
    </row>
    <row r="96" spans="1:13" s="46" customFormat="1" ht="12.75" customHeight="1" x14ac:dyDescent="0.2">
      <c r="B96" s="67"/>
      <c r="C96" s="67"/>
      <c r="D96" s="67"/>
      <c r="E96" s="68"/>
      <c r="F96" s="69"/>
      <c r="G96" s="70"/>
      <c r="H96" s="70"/>
      <c r="K96" s="48"/>
    </row>
    <row r="97" spans="1:12" ht="12.75" customHeight="1" x14ac:dyDescent="0.2">
      <c r="B97" s="16" t="s">
        <v>91</v>
      </c>
      <c r="C97" s="16"/>
      <c r="F97" s="13"/>
      <c r="G97" s="14"/>
      <c r="H97" s="14"/>
      <c r="I97" s="15"/>
      <c r="J97" s="56"/>
    </row>
    <row r="98" spans="1:12" ht="12.75" customHeight="1" x14ac:dyDescent="0.2">
      <c r="A98" s="94" t="s">
        <v>312</v>
      </c>
      <c r="B98" s="16" t="s">
        <v>633</v>
      </c>
      <c r="C98" s="16"/>
      <c r="F98" s="13">
        <v>399.64124879999997</v>
      </c>
      <c r="G98" s="76">
        <f>+ROUND(F98/VLOOKUP("Grand Total",$B$4:$F$283,5,0),4)</f>
        <v>2.3099999999999999E-2</v>
      </c>
      <c r="H98" s="76"/>
      <c r="I98" s="15">
        <v>43346</v>
      </c>
      <c r="J98" s="55"/>
    </row>
    <row r="99" spans="1:12" ht="12.75" customHeight="1" x14ac:dyDescent="0.2">
      <c r="B99" s="16" t="s">
        <v>92</v>
      </c>
      <c r="C99" s="16"/>
      <c r="F99" s="44">
        <f>+F101-SUMIF($B$5:B97,"Total",$F$5:F97)-VLOOKUP(B98,$B$7:F99,5,0)</f>
        <v>1581.2594711000024</v>
      </c>
      <c r="G99" s="14">
        <f>+ROUND(F99/VLOOKUP("Grand Total",$B$4:$F$264,5,0),4)+0.02%</f>
        <v>9.1700000000000004E-2</v>
      </c>
      <c r="H99" s="14"/>
      <c r="I99" s="15"/>
      <c r="J99" s="55"/>
    </row>
    <row r="100" spans="1:12" ht="12.75" customHeight="1" x14ac:dyDescent="0.2">
      <c r="B100" s="18" t="s">
        <v>82</v>
      </c>
      <c r="C100" s="18"/>
      <c r="D100" s="18"/>
      <c r="E100" s="29"/>
      <c r="F100" s="19">
        <f>SUM(F98:F99)</f>
        <v>1980.9007199000025</v>
      </c>
      <c r="G100" s="20">
        <f>SUM(G98:G99)</f>
        <v>0.1148</v>
      </c>
      <c r="H100" s="20"/>
      <c r="I100" s="21"/>
      <c r="J100" s="39"/>
    </row>
    <row r="101" spans="1:12" ht="12.75" customHeight="1" x14ac:dyDescent="0.2">
      <c r="B101" s="22" t="s">
        <v>93</v>
      </c>
      <c r="C101" s="22"/>
      <c r="D101" s="22"/>
      <c r="E101" s="30"/>
      <c r="F101" s="23">
        <v>17276.758839900001</v>
      </c>
      <c r="G101" s="24">
        <f>+SUMIF($B$5:B100,"Total",$G$5:G100)</f>
        <v>1</v>
      </c>
      <c r="H101" s="24"/>
      <c r="I101" s="25"/>
      <c r="L101"/>
    </row>
    <row r="102" spans="1:12" ht="12.75" customHeight="1" x14ac:dyDescent="0.2">
      <c r="F102" s="40"/>
      <c r="L102"/>
    </row>
    <row r="103" spans="1:12" ht="12.75" customHeight="1" x14ac:dyDescent="0.2">
      <c r="B103" s="16" t="s">
        <v>483</v>
      </c>
      <c r="C103" s="16"/>
      <c r="F103" s="42"/>
      <c r="L103"/>
    </row>
    <row r="104" spans="1:12" ht="12.75" customHeight="1" x14ac:dyDescent="0.2">
      <c r="B104" s="16" t="s">
        <v>166</v>
      </c>
      <c r="C104" s="16"/>
      <c r="G104" s="14"/>
      <c r="H104" s="14"/>
      <c r="L104"/>
    </row>
    <row r="105" spans="1:12" ht="12.75" customHeight="1" x14ac:dyDescent="0.2">
      <c r="B105" s="16"/>
      <c r="C105" s="16"/>
      <c r="L105"/>
    </row>
    <row r="106" spans="1:12" ht="12.75" customHeight="1" x14ac:dyDescent="0.2">
      <c r="L106"/>
    </row>
    <row r="107" spans="1:12" ht="12.75" customHeight="1" x14ac:dyDescent="0.2">
      <c r="L107"/>
    </row>
    <row r="108" spans="1:12" ht="12.75" customHeight="1" x14ac:dyDescent="0.2">
      <c r="L108"/>
    </row>
    <row r="109" spans="1:12" ht="12.75" customHeight="1" x14ac:dyDescent="0.2">
      <c r="L109"/>
    </row>
    <row r="110" spans="1:12" ht="12.75" customHeight="1" x14ac:dyDescent="0.2">
      <c r="L110"/>
    </row>
    <row r="111" spans="1:12" ht="12.75" customHeight="1" x14ac:dyDescent="0.2">
      <c r="L111"/>
    </row>
    <row r="112" spans="1:12" ht="12.75" customHeight="1" x14ac:dyDescent="0.2">
      <c r="L112"/>
    </row>
    <row r="113" spans="5:12" ht="12.75" customHeight="1" x14ac:dyDescent="0.2">
      <c r="L113"/>
    </row>
    <row r="114" spans="5:12" ht="12.75" customHeight="1" x14ac:dyDescent="0.2">
      <c r="J114"/>
      <c r="L114"/>
    </row>
    <row r="115" spans="5:12" ht="12.75" customHeight="1" x14ac:dyDescent="0.2">
      <c r="E115"/>
      <c r="J115"/>
      <c r="L115"/>
    </row>
    <row r="116" spans="5:12" ht="12.75" customHeight="1" x14ac:dyDescent="0.2">
      <c r="E116"/>
      <c r="J116"/>
      <c r="L116"/>
    </row>
    <row r="117" spans="5:12" ht="12.75" customHeight="1" x14ac:dyDescent="0.2">
      <c r="E117"/>
      <c r="J117"/>
      <c r="L117"/>
    </row>
    <row r="118" spans="5:12" ht="12.75" customHeight="1" x14ac:dyDescent="0.2">
      <c r="E118"/>
      <c r="J118"/>
      <c r="L118"/>
    </row>
    <row r="119" spans="5:12" ht="12.75" customHeight="1" x14ac:dyDescent="0.2">
      <c r="E119"/>
      <c r="J119"/>
      <c r="L119"/>
    </row>
    <row r="120" spans="5:12" ht="12.75" customHeight="1" x14ac:dyDescent="0.2">
      <c r="E120"/>
      <c r="J120"/>
      <c r="L120"/>
    </row>
    <row r="121" spans="5:12" ht="12.75" customHeight="1" x14ac:dyDescent="0.2">
      <c r="E121"/>
      <c r="J121"/>
      <c r="L121"/>
    </row>
    <row r="122" spans="5:12" ht="12.75" customHeight="1" x14ac:dyDescent="0.2">
      <c r="E122"/>
      <c r="J122"/>
      <c r="L122"/>
    </row>
    <row r="123" spans="5:12" ht="12.75" customHeight="1" x14ac:dyDescent="0.2">
      <c r="E123"/>
      <c r="J123"/>
      <c r="L123"/>
    </row>
    <row r="124" spans="5:12" ht="12.75" customHeight="1" x14ac:dyDescent="0.2">
      <c r="E124"/>
      <c r="J124"/>
      <c r="L124"/>
    </row>
    <row r="125" spans="5:12" ht="12.75" customHeight="1" x14ac:dyDescent="0.2">
      <c r="E125"/>
      <c r="J125"/>
      <c r="L125"/>
    </row>
    <row r="126" spans="5:12" ht="12.75" customHeight="1" x14ac:dyDescent="0.2">
      <c r="E126"/>
      <c r="J126"/>
      <c r="L126"/>
    </row>
    <row r="127" spans="5:12" ht="12.75" customHeight="1" x14ac:dyDescent="0.2">
      <c r="E127"/>
      <c r="J127"/>
      <c r="L127"/>
    </row>
    <row r="128" spans="5:12" ht="12.75" customHeight="1" x14ac:dyDescent="0.2">
      <c r="E128"/>
      <c r="J128"/>
      <c r="L128"/>
    </row>
    <row r="129" spans="5:12" ht="12.75" customHeight="1" x14ac:dyDescent="0.2">
      <c r="E129"/>
      <c r="J129"/>
      <c r="L129"/>
    </row>
    <row r="130" spans="5:12" ht="12.75" customHeight="1" x14ac:dyDescent="0.2">
      <c r="E130"/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ht="12.75" customHeight="1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</row>
  </sheetData>
  <sortState ref="K9:L29">
    <sortCondition descending="1" ref="L9:L29"/>
  </sortState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6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7109375" customWidth="1"/>
    <col min="4" max="4" width="21.570312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3" t="s">
        <v>326</v>
      </c>
      <c r="B1" s="128" t="s">
        <v>750</v>
      </c>
      <c r="C1" s="129"/>
      <c r="D1" s="129"/>
      <c r="E1" s="129"/>
      <c r="F1" s="129"/>
      <c r="G1" s="129"/>
      <c r="H1" s="129"/>
      <c r="I1" s="129"/>
    </row>
    <row r="2" spans="1:17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127" t="s">
        <v>792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347</v>
      </c>
      <c r="C8" s="16"/>
      <c r="F8" s="13"/>
      <c r="G8" s="14"/>
      <c r="H8" s="14"/>
      <c r="I8" s="60"/>
      <c r="K8" s="17" t="s">
        <v>493</v>
      </c>
      <c r="L8" s="37" t="s">
        <v>11</v>
      </c>
    </row>
    <row r="9" spans="1:17" s="65" customFormat="1" ht="12.75" customHeight="1" x14ac:dyDescent="0.2">
      <c r="A9" s="65">
        <f>+MAX($A$7:A8)+1</f>
        <v>1</v>
      </c>
      <c r="B9" s="77" t="s">
        <v>203</v>
      </c>
      <c r="C9" s="77" t="s">
        <v>69</v>
      </c>
      <c r="D9" s="77" t="s">
        <v>26</v>
      </c>
      <c r="E9" s="74">
        <v>10200</v>
      </c>
      <c r="F9" s="75">
        <v>139.69409999999999</v>
      </c>
      <c r="G9" s="76">
        <f t="shared" ref="G9:G32" si="0">+ROUND(F9/VLOOKUP("Grand Total",$B$4:$F$298,5,0),4)</f>
        <v>1.9099999999999999E-2</v>
      </c>
      <c r="H9" s="76"/>
      <c r="I9" s="90" t="s">
        <v>313</v>
      </c>
      <c r="J9" s="100"/>
      <c r="K9" s="89" t="s">
        <v>22</v>
      </c>
      <c r="L9" s="102">
        <f t="shared" ref="L9:L36" si="1">SUMIFS($G$5:$G$367,$D$5:$D$367,K9)</f>
        <v>0.13969999999999999</v>
      </c>
      <c r="M9" s="83"/>
      <c r="N9" s="89"/>
      <c r="O9" s="89"/>
      <c r="Q9" s="89"/>
    </row>
    <row r="10" spans="1:17" s="65" customFormat="1" ht="12.75" customHeight="1" x14ac:dyDescent="0.2">
      <c r="A10" s="65">
        <f>+MAX($A$7:A9)+1</f>
        <v>2</v>
      </c>
      <c r="B10" s="77" t="s">
        <v>170</v>
      </c>
      <c r="C10" s="77" t="s">
        <v>12</v>
      </c>
      <c r="D10" s="77" t="s">
        <v>9</v>
      </c>
      <c r="E10" s="74">
        <v>6550</v>
      </c>
      <c r="F10" s="75">
        <v>135.0086</v>
      </c>
      <c r="G10" s="76">
        <f t="shared" si="0"/>
        <v>1.84E-2</v>
      </c>
      <c r="H10" s="76"/>
      <c r="I10" s="90" t="s">
        <v>313</v>
      </c>
      <c r="J10" s="100"/>
      <c r="K10" s="89" t="s">
        <v>19</v>
      </c>
      <c r="L10" s="102">
        <f t="shared" si="1"/>
        <v>8.5199999999999984E-2</v>
      </c>
      <c r="M10" s="83"/>
      <c r="N10" s="89"/>
      <c r="O10" s="89"/>
      <c r="Q10" s="89"/>
    </row>
    <row r="11" spans="1:17" ht="12.75" customHeight="1" x14ac:dyDescent="0.2">
      <c r="A11" s="65">
        <f>+MAX($A$7:A10)+1</f>
        <v>3</v>
      </c>
      <c r="B11" s="77" t="s">
        <v>336</v>
      </c>
      <c r="C11" s="77" t="s">
        <v>335</v>
      </c>
      <c r="D11" s="77" t="s">
        <v>24</v>
      </c>
      <c r="E11" s="74">
        <v>27011</v>
      </c>
      <c r="F11" s="75">
        <v>129.31516250000001</v>
      </c>
      <c r="G11" s="76">
        <f t="shared" si="0"/>
        <v>1.7600000000000001E-2</v>
      </c>
      <c r="H11" s="76"/>
      <c r="I11" s="42" t="s">
        <v>313</v>
      </c>
      <c r="J11" s="41"/>
      <c r="K11" s="89" t="s">
        <v>24</v>
      </c>
      <c r="L11" s="102">
        <f t="shared" si="1"/>
        <v>7.6200000000000004E-2</v>
      </c>
      <c r="M11" s="36"/>
      <c r="N11" s="14"/>
      <c r="O11" s="14"/>
      <c r="Q11" s="14"/>
    </row>
    <row r="12" spans="1:17" s="65" customFormat="1" ht="12.75" customHeight="1" x14ac:dyDescent="0.2">
      <c r="A12" s="65">
        <f>+MAX($A$7:A11)+1</f>
        <v>4</v>
      </c>
      <c r="B12" s="77" t="s">
        <v>179</v>
      </c>
      <c r="C12" s="77" t="s">
        <v>44</v>
      </c>
      <c r="D12" s="77" t="s">
        <v>24</v>
      </c>
      <c r="E12" s="74">
        <v>37834</v>
      </c>
      <c r="F12" s="75">
        <v>121.012049</v>
      </c>
      <c r="G12" s="76">
        <f t="shared" si="0"/>
        <v>1.6500000000000001E-2</v>
      </c>
      <c r="H12" s="76"/>
      <c r="I12" s="90" t="s">
        <v>313</v>
      </c>
      <c r="J12" s="100"/>
      <c r="K12" s="89" t="s">
        <v>34</v>
      </c>
      <c r="L12" s="102">
        <f t="shared" si="1"/>
        <v>7.6200000000000004E-2</v>
      </c>
      <c r="M12" s="83"/>
      <c r="N12" s="89"/>
      <c r="O12" s="89"/>
      <c r="Q12" s="89"/>
    </row>
    <row r="13" spans="1:17" ht="12.75" customHeight="1" x14ac:dyDescent="0.2">
      <c r="A13" s="65">
        <f>+MAX($A$7:A12)+1</f>
        <v>5</v>
      </c>
      <c r="B13" s="77" t="s">
        <v>454</v>
      </c>
      <c r="C13" s="77" t="s">
        <v>455</v>
      </c>
      <c r="D13" s="77" t="s">
        <v>24</v>
      </c>
      <c r="E13" s="74">
        <v>1449</v>
      </c>
      <c r="F13" s="75">
        <v>111.6519705</v>
      </c>
      <c r="G13" s="76">
        <f t="shared" si="0"/>
        <v>1.52E-2</v>
      </c>
      <c r="H13" s="76"/>
      <c r="I13" s="42" t="s">
        <v>313</v>
      </c>
      <c r="J13" s="41"/>
      <c r="K13" s="89" t="s">
        <v>9</v>
      </c>
      <c r="L13" s="102">
        <f t="shared" si="1"/>
        <v>7.1199999999999999E-2</v>
      </c>
      <c r="M13" s="36"/>
      <c r="N13" s="14"/>
      <c r="O13" s="14"/>
      <c r="Q13" s="14"/>
    </row>
    <row r="14" spans="1:17" s="65" customFormat="1" ht="12.75" customHeight="1" x14ac:dyDescent="0.2">
      <c r="A14" s="65">
        <f>+MAX($A$7:A13)+1</f>
        <v>6</v>
      </c>
      <c r="B14" s="77" t="s">
        <v>206</v>
      </c>
      <c r="C14" s="77" t="s">
        <v>76</v>
      </c>
      <c r="D14" s="77" t="s">
        <v>49</v>
      </c>
      <c r="E14" s="74">
        <v>38030</v>
      </c>
      <c r="F14" s="75">
        <v>108.746785</v>
      </c>
      <c r="G14" s="76">
        <f t="shared" si="0"/>
        <v>1.4800000000000001E-2</v>
      </c>
      <c r="H14" s="76"/>
      <c r="I14" s="90" t="s">
        <v>313</v>
      </c>
      <c r="J14" s="100"/>
      <c r="K14" s="89" t="s">
        <v>21</v>
      </c>
      <c r="L14" s="102">
        <f t="shared" si="1"/>
        <v>3.2200000000000006E-2</v>
      </c>
      <c r="M14" s="83"/>
      <c r="N14" s="89"/>
      <c r="O14" s="89"/>
      <c r="Q14" s="89"/>
    </row>
    <row r="15" spans="1:17" ht="12.75" customHeight="1" x14ac:dyDescent="0.2">
      <c r="A15" s="65">
        <f>+MAX($A$7:A14)+1</f>
        <v>7</v>
      </c>
      <c r="B15" s="77" t="s">
        <v>176</v>
      </c>
      <c r="C15" s="77" t="s">
        <v>25</v>
      </c>
      <c r="D15" s="77" t="s">
        <v>22</v>
      </c>
      <c r="E15" s="74">
        <v>5600</v>
      </c>
      <c r="F15" s="75">
        <v>108.4132</v>
      </c>
      <c r="G15" s="76">
        <f t="shared" si="0"/>
        <v>1.4800000000000001E-2</v>
      </c>
      <c r="H15" s="76"/>
      <c r="I15" s="42" t="s">
        <v>313</v>
      </c>
      <c r="J15" s="41"/>
      <c r="K15" s="89" t="s">
        <v>32</v>
      </c>
      <c r="L15" s="102">
        <f t="shared" si="1"/>
        <v>2.9399999999999999E-2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194</v>
      </c>
      <c r="C16" s="77" t="s">
        <v>18</v>
      </c>
      <c r="D16" s="77" t="s">
        <v>13</v>
      </c>
      <c r="E16" s="74">
        <v>4700</v>
      </c>
      <c r="F16" s="75">
        <v>97.684799999999996</v>
      </c>
      <c r="G16" s="76">
        <f t="shared" si="0"/>
        <v>1.3299999999999999E-2</v>
      </c>
      <c r="H16" s="76"/>
      <c r="I16" s="42" t="s">
        <v>313</v>
      </c>
      <c r="J16" s="41"/>
      <c r="K16" s="89" t="s">
        <v>17</v>
      </c>
      <c r="L16" s="102">
        <f t="shared" si="1"/>
        <v>2.9399999999999999E-2</v>
      </c>
      <c r="M16" s="36"/>
      <c r="N16" s="14"/>
      <c r="O16" s="14"/>
      <c r="Q16" s="14"/>
    </row>
    <row r="17" spans="1:17" s="65" customFormat="1" ht="12.75" customHeight="1" x14ac:dyDescent="0.2">
      <c r="A17" s="65">
        <f>+MAX($A$7:A16)+1</f>
        <v>9</v>
      </c>
      <c r="B17" s="77" t="s">
        <v>211</v>
      </c>
      <c r="C17" s="77" t="s">
        <v>96</v>
      </c>
      <c r="D17" s="77" t="s">
        <v>19</v>
      </c>
      <c r="E17" s="74">
        <v>9656</v>
      </c>
      <c r="F17" s="75">
        <v>93.209368000000012</v>
      </c>
      <c r="G17" s="76">
        <f t="shared" si="0"/>
        <v>1.2699999999999999E-2</v>
      </c>
      <c r="H17" s="76"/>
      <c r="I17" s="90" t="s">
        <v>313</v>
      </c>
      <c r="J17" s="100"/>
      <c r="K17" s="14" t="s">
        <v>510</v>
      </c>
      <c r="L17" s="102">
        <f t="shared" si="1"/>
        <v>2.7400000000000001E-2</v>
      </c>
      <c r="M17" s="83"/>
      <c r="N17" s="89"/>
      <c r="O17" s="89"/>
      <c r="Q17" s="89"/>
    </row>
    <row r="18" spans="1:17" ht="12.75" customHeight="1" x14ac:dyDescent="0.2">
      <c r="A18" s="65">
        <f>+MAX($A$7:A17)+1</f>
        <v>10</v>
      </c>
      <c r="B18" s="77" t="s">
        <v>172</v>
      </c>
      <c r="C18" s="77" t="s">
        <v>29</v>
      </c>
      <c r="D18" s="77" t="s">
        <v>28</v>
      </c>
      <c r="E18" s="74">
        <v>7300</v>
      </c>
      <c r="F18" s="75">
        <v>90.640450000000001</v>
      </c>
      <c r="G18" s="76">
        <f t="shared" si="0"/>
        <v>1.24E-2</v>
      </c>
      <c r="H18" s="76"/>
      <c r="I18" s="42" t="s">
        <v>313</v>
      </c>
      <c r="J18" s="41"/>
      <c r="K18" s="14" t="s">
        <v>449</v>
      </c>
      <c r="L18" s="102">
        <f t="shared" si="1"/>
        <v>2.6800000000000001E-2</v>
      </c>
      <c r="M18" s="36"/>
      <c r="N18" s="14"/>
      <c r="O18" s="14"/>
      <c r="Q18" s="14"/>
    </row>
    <row r="19" spans="1:17" s="65" customFormat="1" ht="12.75" customHeight="1" x14ac:dyDescent="0.2">
      <c r="A19" s="65">
        <f>+MAX($A$7:A18)+1</f>
        <v>11</v>
      </c>
      <c r="B19" s="77" t="s">
        <v>522</v>
      </c>
      <c r="C19" s="77" t="s">
        <v>523</v>
      </c>
      <c r="D19" s="77" t="s">
        <v>22</v>
      </c>
      <c r="E19" s="74">
        <v>23150</v>
      </c>
      <c r="F19" s="75">
        <v>86.893524999999997</v>
      </c>
      <c r="G19" s="76">
        <f t="shared" si="0"/>
        <v>1.1900000000000001E-2</v>
      </c>
      <c r="H19" s="76"/>
      <c r="I19" s="90" t="s">
        <v>313</v>
      </c>
      <c r="J19" s="100"/>
      <c r="K19" s="89" t="s">
        <v>13</v>
      </c>
      <c r="L19" s="102">
        <f t="shared" si="1"/>
        <v>2.4899999999999999E-2</v>
      </c>
      <c r="M19" s="83"/>
      <c r="N19" s="89"/>
      <c r="O19" s="89"/>
      <c r="Q19" s="89"/>
    </row>
    <row r="20" spans="1:17" ht="12.75" customHeight="1" x14ac:dyDescent="0.2">
      <c r="A20" s="65">
        <f>+MAX($A$7:A19)+1</f>
        <v>12</v>
      </c>
      <c r="B20" s="77" t="s">
        <v>171</v>
      </c>
      <c r="C20" s="77" t="s">
        <v>14</v>
      </c>
      <c r="D20" s="77" t="s">
        <v>13</v>
      </c>
      <c r="E20" s="74">
        <v>5900</v>
      </c>
      <c r="F20" s="75">
        <v>85.024900000000002</v>
      </c>
      <c r="G20" s="76">
        <f t="shared" si="0"/>
        <v>1.1599999999999999E-2</v>
      </c>
      <c r="H20" s="76"/>
      <c r="I20" s="42" t="s">
        <v>313</v>
      </c>
      <c r="J20" s="41"/>
      <c r="K20" s="89" t="s">
        <v>279</v>
      </c>
      <c r="L20" s="102">
        <f t="shared" si="1"/>
        <v>2.3300000000000001E-2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15</v>
      </c>
      <c r="C21" s="77" t="s">
        <v>16</v>
      </c>
      <c r="D21" s="77" t="s">
        <v>9</v>
      </c>
      <c r="E21" s="74">
        <v>26638</v>
      </c>
      <c r="F21" s="75">
        <v>82.471248000000003</v>
      </c>
      <c r="G21" s="76">
        <f t="shared" si="0"/>
        <v>1.1299999999999999E-2</v>
      </c>
      <c r="H21" s="76"/>
      <c r="I21" s="42" t="s">
        <v>313</v>
      </c>
      <c r="J21" s="41"/>
      <c r="K21" s="89" t="s">
        <v>257</v>
      </c>
      <c r="L21" s="102">
        <f t="shared" si="1"/>
        <v>2.3099999999999999E-2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586</v>
      </c>
      <c r="C22" s="77" t="s">
        <v>587</v>
      </c>
      <c r="D22" s="77" t="s">
        <v>24</v>
      </c>
      <c r="E22" s="74">
        <v>20000</v>
      </c>
      <c r="F22" s="75">
        <v>73.89</v>
      </c>
      <c r="G22" s="76">
        <f t="shared" si="0"/>
        <v>1.01E-2</v>
      </c>
      <c r="H22" s="76"/>
      <c r="I22" s="42" t="s">
        <v>313</v>
      </c>
      <c r="J22" s="41"/>
      <c r="K22" s="14" t="s">
        <v>104</v>
      </c>
      <c r="L22" s="102">
        <f t="shared" si="1"/>
        <v>2.0299999999999999E-2</v>
      </c>
      <c r="M22" s="36"/>
      <c r="N22" s="14"/>
      <c r="O22" s="14"/>
      <c r="Q22" s="14"/>
    </row>
    <row r="23" spans="1:17" ht="12.75" customHeight="1" x14ac:dyDescent="0.2">
      <c r="A23" s="65">
        <f>+MAX($A$7:A22)+1</f>
        <v>15</v>
      </c>
      <c r="B23" s="77" t="s">
        <v>221</v>
      </c>
      <c r="C23" s="77" t="s">
        <v>111</v>
      </c>
      <c r="D23" s="77" t="s">
        <v>34</v>
      </c>
      <c r="E23" s="74">
        <v>40514</v>
      </c>
      <c r="F23" s="75">
        <v>69.48151</v>
      </c>
      <c r="G23" s="76">
        <f t="shared" si="0"/>
        <v>9.4999999999999998E-3</v>
      </c>
      <c r="H23" s="76"/>
      <c r="I23" s="42" t="s">
        <v>313</v>
      </c>
      <c r="J23" s="41"/>
      <c r="K23" s="89" t="s">
        <v>369</v>
      </c>
      <c r="L23" s="102">
        <f t="shared" si="1"/>
        <v>0.02</v>
      </c>
      <c r="M23" s="36"/>
      <c r="N23" s="14"/>
      <c r="O23" s="14"/>
      <c r="Q23" s="14"/>
    </row>
    <row r="24" spans="1:17" ht="12.75" customHeight="1" x14ac:dyDescent="0.2">
      <c r="A24" s="65">
        <f>+MAX($A$7:A23)+1</f>
        <v>16</v>
      </c>
      <c r="B24" s="77" t="s">
        <v>181</v>
      </c>
      <c r="C24" s="77" t="s">
        <v>46</v>
      </c>
      <c r="D24" s="77" t="s">
        <v>24</v>
      </c>
      <c r="E24" s="74">
        <v>1027</v>
      </c>
      <c r="F24" s="75">
        <v>69.186422500000006</v>
      </c>
      <c r="G24" s="76">
        <f t="shared" si="0"/>
        <v>9.4000000000000004E-3</v>
      </c>
      <c r="H24" s="76"/>
      <c r="I24" s="42" t="s">
        <v>313</v>
      </c>
      <c r="J24" s="41"/>
      <c r="K24" s="89" t="s">
        <v>98</v>
      </c>
      <c r="L24" s="102">
        <f t="shared" si="1"/>
        <v>1.9599999999999999E-2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452</v>
      </c>
      <c r="C25" s="77" t="s">
        <v>453</v>
      </c>
      <c r="D25" s="77" t="s">
        <v>34</v>
      </c>
      <c r="E25" s="74">
        <v>90000</v>
      </c>
      <c r="F25" s="75">
        <v>69.03</v>
      </c>
      <c r="G25" s="76">
        <f t="shared" si="0"/>
        <v>9.4000000000000004E-3</v>
      </c>
      <c r="H25" s="76"/>
      <c r="I25" s="42" t="s">
        <v>313</v>
      </c>
      <c r="J25" s="41"/>
      <c r="K25" s="89" t="s">
        <v>26</v>
      </c>
      <c r="L25" s="102">
        <f t="shared" si="1"/>
        <v>1.9099999999999999E-2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456</v>
      </c>
      <c r="C26" s="77" t="s">
        <v>457</v>
      </c>
      <c r="D26" s="77" t="s">
        <v>102</v>
      </c>
      <c r="E26" s="74">
        <v>86000</v>
      </c>
      <c r="F26" s="75">
        <v>68.671000000000006</v>
      </c>
      <c r="G26" s="76">
        <f t="shared" si="0"/>
        <v>9.4000000000000004E-3</v>
      </c>
      <c r="H26" s="76"/>
      <c r="I26" s="42" t="s">
        <v>313</v>
      </c>
      <c r="J26" s="41"/>
      <c r="K26" s="14" t="s">
        <v>149</v>
      </c>
      <c r="L26" s="102">
        <f t="shared" si="1"/>
        <v>1.4999999999999999E-2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408</v>
      </c>
      <c r="C27" s="77" t="s">
        <v>409</v>
      </c>
      <c r="D27" s="77" t="s">
        <v>22</v>
      </c>
      <c r="E27" s="74">
        <v>13400</v>
      </c>
      <c r="F27" s="75">
        <v>65.546099999999996</v>
      </c>
      <c r="G27" s="76">
        <f t="shared" si="0"/>
        <v>8.8999999999999999E-3</v>
      </c>
      <c r="H27" s="76"/>
      <c r="I27" s="42" t="s">
        <v>313</v>
      </c>
      <c r="J27" s="41"/>
      <c r="K27" s="89" t="s">
        <v>49</v>
      </c>
      <c r="L27" s="102">
        <f t="shared" si="1"/>
        <v>1.4800000000000001E-2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218</v>
      </c>
      <c r="C28" s="77" t="s">
        <v>110</v>
      </c>
      <c r="D28" s="77" t="s">
        <v>34</v>
      </c>
      <c r="E28" s="74">
        <v>30000</v>
      </c>
      <c r="F28" s="75">
        <v>60.45</v>
      </c>
      <c r="G28" s="76">
        <f t="shared" si="0"/>
        <v>8.2000000000000007E-3</v>
      </c>
      <c r="H28" s="76"/>
      <c r="I28" s="42" t="s">
        <v>313</v>
      </c>
      <c r="J28" s="41"/>
      <c r="K28" s="14" t="s">
        <v>43</v>
      </c>
      <c r="L28" s="102">
        <f t="shared" si="1"/>
        <v>1.3599999999999999E-2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224</v>
      </c>
      <c r="C29" s="77" t="s">
        <v>114</v>
      </c>
      <c r="D29" s="77" t="s">
        <v>98</v>
      </c>
      <c r="E29" s="74">
        <v>10400</v>
      </c>
      <c r="F29" s="75">
        <v>51.994799999999998</v>
      </c>
      <c r="G29" s="76">
        <f t="shared" si="0"/>
        <v>7.1000000000000004E-3</v>
      </c>
      <c r="H29" s="76"/>
      <c r="I29" s="42" t="s">
        <v>313</v>
      </c>
      <c r="J29" s="41"/>
      <c r="K29" s="14" t="s">
        <v>28</v>
      </c>
      <c r="L29" s="102">
        <f t="shared" si="1"/>
        <v>1.24E-2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195</v>
      </c>
      <c r="C30" s="77" t="s">
        <v>27</v>
      </c>
      <c r="D30" s="77" t="s">
        <v>9</v>
      </c>
      <c r="E30" s="74">
        <v>6645</v>
      </c>
      <c r="F30" s="75">
        <v>43.1426625</v>
      </c>
      <c r="G30" s="76">
        <f t="shared" si="0"/>
        <v>5.8999999999999999E-3</v>
      </c>
      <c r="H30" s="76"/>
      <c r="I30" s="42" t="s">
        <v>313</v>
      </c>
      <c r="J30" s="41"/>
      <c r="K30" s="14" t="s">
        <v>36</v>
      </c>
      <c r="L30" s="102">
        <f t="shared" si="1"/>
        <v>1.24E-2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193</v>
      </c>
      <c r="C31" s="77" t="s">
        <v>59</v>
      </c>
      <c r="D31" s="77" t="s">
        <v>21</v>
      </c>
      <c r="E31" s="74">
        <v>5766</v>
      </c>
      <c r="F31" s="75">
        <v>41.097164999999997</v>
      </c>
      <c r="G31" s="76">
        <f t="shared" si="0"/>
        <v>5.5999999999999999E-3</v>
      </c>
      <c r="H31" s="76"/>
      <c r="I31" s="42" t="s">
        <v>313</v>
      </c>
      <c r="J31" s="41"/>
      <c r="K31" s="14" t="s">
        <v>30</v>
      </c>
      <c r="L31" s="102">
        <f t="shared" si="1"/>
        <v>1.2E-2</v>
      </c>
      <c r="M31" s="36"/>
      <c r="N31" s="14"/>
      <c r="O31" s="14"/>
      <c r="Q31" s="14"/>
    </row>
    <row r="32" spans="1:17" ht="12.75" customHeight="1" x14ac:dyDescent="0.2">
      <c r="A32" s="65">
        <f>+MAX($A$7:A31)+1</f>
        <v>24</v>
      </c>
      <c r="B32" s="77" t="s">
        <v>187</v>
      </c>
      <c r="C32" s="77" t="s">
        <v>47</v>
      </c>
      <c r="D32" s="77" t="s">
        <v>19</v>
      </c>
      <c r="E32" s="74">
        <v>433</v>
      </c>
      <c r="F32" s="75">
        <v>39.387411999999998</v>
      </c>
      <c r="G32" s="76">
        <f t="shared" si="0"/>
        <v>5.4000000000000003E-3</v>
      </c>
      <c r="H32" s="76"/>
      <c r="I32" s="42" t="s">
        <v>313</v>
      </c>
      <c r="J32" s="41"/>
      <c r="K32" s="14" t="s">
        <v>39</v>
      </c>
      <c r="L32" s="102">
        <f t="shared" si="1"/>
        <v>1.15E-2</v>
      </c>
      <c r="M32" s="36"/>
      <c r="N32" s="14"/>
      <c r="O32" s="14"/>
      <c r="Q32" s="14"/>
    </row>
    <row r="33" spans="1:17" ht="12.75" customHeight="1" x14ac:dyDescent="0.2">
      <c r="B33" s="18" t="s">
        <v>82</v>
      </c>
      <c r="C33" s="18"/>
      <c r="D33" s="18"/>
      <c r="E33" s="19"/>
      <c r="F33" s="19">
        <f>SUM(F9:F32)</f>
        <v>2041.6432300000001</v>
      </c>
      <c r="G33" s="20">
        <f>SUM(G9:G32)</f>
        <v>0.27849999999999997</v>
      </c>
      <c r="H33" s="20"/>
      <c r="I33" s="21"/>
      <c r="J33" s="49"/>
      <c r="K33" s="89" t="s">
        <v>102</v>
      </c>
      <c r="L33" s="102">
        <f t="shared" si="1"/>
        <v>9.4000000000000004E-3</v>
      </c>
    </row>
    <row r="34" spans="1:17" ht="12.75" customHeight="1" x14ac:dyDescent="0.2">
      <c r="F34" s="44"/>
      <c r="G34" s="14"/>
      <c r="H34" s="14"/>
      <c r="I34" s="15"/>
      <c r="K34" s="89" t="s">
        <v>481</v>
      </c>
      <c r="L34" s="102">
        <f t="shared" si="1"/>
        <v>9.1000000000000004E-3</v>
      </c>
    </row>
    <row r="35" spans="1:17" ht="12.75" customHeight="1" x14ac:dyDescent="0.2">
      <c r="A35" s="46"/>
      <c r="B35" s="16" t="s">
        <v>499</v>
      </c>
      <c r="C35" s="16"/>
      <c r="E35" s="38"/>
      <c r="F35" s="44"/>
      <c r="G35" s="45"/>
      <c r="H35" s="45"/>
      <c r="I35" s="103"/>
      <c r="K35" s="14" t="s">
        <v>135</v>
      </c>
      <c r="L35" s="102">
        <f t="shared" si="1"/>
        <v>6.4999999999999997E-3</v>
      </c>
      <c r="O35" s="14"/>
    </row>
    <row r="36" spans="1:17" s="65" customFormat="1" ht="12.75" customHeight="1" x14ac:dyDescent="0.2">
      <c r="A36" s="77">
        <f>+MAX($A$7:A35)+1</f>
        <v>25</v>
      </c>
      <c r="B36" s="77" t="s">
        <v>180</v>
      </c>
      <c r="C36" s="77" t="s">
        <v>42</v>
      </c>
      <c r="D36" s="77" t="s">
        <v>22</v>
      </c>
      <c r="E36" s="74">
        <v>102000</v>
      </c>
      <c r="F36" s="75">
        <v>681.00300000000004</v>
      </c>
      <c r="G36" s="76">
        <f>+ROUND(F36/VLOOKUP("Grand Total",$B$4:$F$298,5,0),4)</f>
        <v>9.2899999999999996E-2</v>
      </c>
      <c r="H36" s="76"/>
      <c r="I36" s="90" t="s">
        <v>313</v>
      </c>
      <c r="J36" s="100"/>
      <c r="K36" s="14" t="s">
        <v>345</v>
      </c>
      <c r="L36" s="102">
        <f t="shared" si="1"/>
        <v>3.2000000000000002E-3</v>
      </c>
      <c r="M36" s="83"/>
      <c r="N36" s="89"/>
      <c r="O36" s="89"/>
      <c r="Q36" s="89"/>
    </row>
    <row r="37" spans="1:17" s="65" customFormat="1" ht="12.75" customHeight="1" x14ac:dyDescent="0.2">
      <c r="A37" s="77">
        <f>+MAX($A$7:A36)+1</f>
        <v>26</v>
      </c>
      <c r="B37" s="77" t="s">
        <v>180</v>
      </c>
      <c r="C37" s="131" t="s">
        <v>787</v>
      </c>
      <c r="D37" s="77" t="s">
        <v>282</v>
      </c>
      <c r="E37" s="74">
        <v>-102000</v>
      </c>
      <c r="F37" s="75">
        <v>-683.24699999999996</v>
      </c>
      <c r="G37" s="76"/>
      <c r="H37" s="76">
        <f>+ROUND(F37/VLOOKUP("Grand Total",$B$4:$F$298,5,0),4)</f>
        <v>-9.3200000000000005E-2</v>
      </c>
      <c r="I37" s="103">
        <v>43370</v>
      </c>
      <c r="J37" s="100"/>
      <c r="K37" s="14" t="s">
        <v>62</v>
      </c>
      <c r="L37" s="48">
        <f>+SUMIFS($G$5:$G$1002,$B$5:$B$1002,"CBLO / Reverse Repo")+SUMIFS($G$5:$G$1002,$B$5:$B$1002,"Net Receivable/Payable")</f>
        <v>0.1361</v>
      </c>
      <c r="M37" s="83"/>
      <c r="N37" s="89"/>
      <c r="O37" s="89"/>
      <c r="Q37" s="89"/>
    </row>
    <row r="38" spans="1:17" s="65" customFormat="1" ht="12.75" customHeight="1" x14ac:dyDescent="0.2">
      <c r="A38" s="77">
        <f>+MAX($A$7:A37)+1</f>
        <v>27</v>
      </c>
      <c r="B38" s="77" t="s">
        <v>489</v>
      </c>
      <c r="C38" s="77" t="s">
        <v>490</v>
      </c>
      <c r="D38" s="77" t="s">
        <v>34</v>
      </c>
      <c r="E38" s="74">
        <v>28050</v>
      </c>
      <c r="F38" s="75">
        <v>279.34994999999998</v>
      </c>
      <c r="G38" s="76">
        <f>+ROUND(F38/VLOOKUP("Grand Total",$B$4:$F$298,5,0),4)</f>
        <v>3.8100000000000002E-2</v>
      </c>
      <c r="H38" s="76"/>
      <c r="I38" s="90" t="s">
        <v>313</v>
      </c>
      <c r="J38" s="100"/>
      <c r="K38" s="89"/>
      <c r="L38" s="102"/>
      <c r="M38" s="83"/>
      <c r="N38" s="89"/>
      <c r="O38" s="89"/>
      <c r="Q38" s="89"/>
    </row>
    <row r="39" spans="1:17" s="65" customFormat="1" ht="12.75" customHeight="1" x14ac:dyDescent="0.2">
      <c r="A39" s="77">
        <f>+MAX($A$7:A38)+1</f>
        <v>28</v>
      </c>
      <c r="B39" s="77" t="s">
        <v>489</v>
      </c>
      <c r="C39" s="131" t="s">
        <v>787</v>
      </c>
      <c r="D39" s="77" t="s">
        <v>282</v>
      </c>
      <c r="E39" s="74">
        <v>-28050</v>
      </c>
      <c r="F39" s="75">
        <v>-281.50979999999998</v>
      </c>
      <c r="G39" s="76"/>
      <c r="H39" s="76">
        <f>+ROUND(F39/VLOOKUP("Grand Total",$B$4:$F$298,5,0),4)</f>
        <v>-3.8399999999999997E-2</v>
      </c>
      <c r="I39" s="103">
        <v>43370</v>
      </c>
      <c r="J39" s="100"/>
      <c r="K39" s="89"/>
      <c r="L39" s="102"/>
      <c r="M39" s="83"/>
      <c r="N39" s="89"/>
      <c r="O39" s="89"/>
      <c r="Q39" s="89"/>
    </row>
    <row r="40" spans="1:17" s="65" customFormat="1" ht="12.75" customHeight="1" x14ac:dyDescent="0.2">
      <c r="A40" s="77">
        <f>+MAX($A$7:A39)+1</f>
        <v>29</v>
      </c>
      <c r="B40" s="77" t="s">
        <v>192</v>
      </c>
      <c r="C40" s="77" t="s">
        <v>63</v>
      </c>
      <c r="D40" s="77" t="s">
        <v>32</v>
      </c>
      <c r="E40" s="74">
        <v>56100</v>
      </c>
      <c r="F40" s="75">
        <v>215.33985000000001</v>
      </c>
      <c r="G40" s="76">
        <f>+ROUND(F40/VLOOKUP("Grand Total",$B$4:$F$298,5,0),4)</f>
        <v>2.9399999999999999E-2</v>
      </c>
      <c r="H40" s="76"/>
      <c r="I40" s="90" t="s">
        <v>313</v>
      </c>
      <c r="J40" s="100"/>
      <c r="K40" s="89"/>
      <c r="L40" s="102"/>
      <c r="M40" s="83"/>
      <c r="N40" s="89"/>
      <c r="O40" s="89"/>
      <c r="Q40" s="89"/>
    </row>
    <row r="41" spans="1:17" s="65" customFormat="1" ht="12.75" customHeight="1" x14ac:dyDescent="0.2">
      <c r="A41" s="77">
        <f>+MAX($A$7:A40)+1</f>
        <v>30</v>
      </c>
      <c r="B41" s="77" t="s">
        <v>192</v>
      </c>
      <c r="C41" s="131" t="s">
        <v>787</v>
      </c>
      <c r="D41" s="77" t="s">
        <v>282</v>
      </c>
      <c r="E41" s="74">
        <v>-56100</v>
      </c>
      <c r="F41" s="75">
        <v>-216.2655</v>
      </c>
      <c r="G41" s="76"/>
      <c r="H41" s="76">
        <f>+ROUND(F41/VLOOKUP("Grand Total",$B$4:$F$298,5,0),4)</f>
        <v>-2.9499999999999998E-2</v>
      </c>
      <c r="I41" s="103">
        <v>43370</v>
      </c>
      <c r="J41" s="100"/>
      <c r="K41" s="89"/>
      <c r="L41" s="102"/>
      <c r="M41" s="83"/>
      <c r="N41" s="89"/>
      <c r="O41" s="89"/>
      <c r="Q41" s="89"/>
    </row>
    <row r="42" spans="1:17" s="65" customFormat="1" ht="12.75" customHeight="1" x14ac:dyDescent="0.2">
      <c r="A42" s="77">
        <f>+MAX($A$7:A41)+1</f>
        <v>31</v>
      </c>
      <c r="B42" s="77" t="s">
        <v>178</v>
      </c>
      <c r="C42" s="77" t="s">
        <v>33</v>
      </c>
      <c r="D42" s="77" t="s">
        <v>17</v>
      </c>
      <c r="E42" s="74">
        <v>22000</v>
      </c>
      <c r="F42" s="75">
        <v>215.19300000000001</v>
      </c>
      <c r="G42" s="76">
        <f>+ROUND(F42/VLOOKUP("Grand Total",$B$4:$F$298,5,0),4)</f>
        <v>2.9399999999999999E-2</v>
      </c>
      <c r="H42" s="76"/>
      <c r="I42" s="90" t="s">
        <v>313</v>
      </c>
      <c r="J42" s="100"/>
      <c r="K42" s="89"/>
      <c r="L42" s="102"/>
      <c r="M42" s="83"/>
      <c r="N42" s="89"/>
      <c r="O42" s="89"/>
      <c r="Q42" s="89"/>
    </row>
    <row r="43" spans="1:17" s="65" customFormat="1" ht="12.75" customHeight="1" x14ac:dyDescent="0.2">
      <c r="A43" s="77">
        <f>+MAX($A$7:A42)+1</f>
        <v>32</v>
      </c>
      <c r="B43" s="77" t="s">
        <v>178</v>
      </c>
      <c r="C43" s="131" t="s">
        <v>787</v>
      </c>
      <c r="D43" s="77" t="s">
        <v>282</v>
      </c>
      <c r="E43" s="74">
        <v>-22000</v>
      </c>
      <c r="F43" s="75">
        <v>-216.94200000000001</v>
      </c>
      <c r="G43" s="76"/>
      <c r="H43" s="76">
        <f>+ROUND(F43/VLOOKUP("Grand Total",$B$4:$F$298,5,0),4)</f>
        <v>-2.9600000000000001E-2</v>
      </c>
      <c r="I43" s="103">
        <v>43370</v>
      </c>
      <c r="J43" s="100"/>
      <c r="K43" s="89"/>
      <c r="L43" s="102"/>
      <c r="M43" s="83"/>
      <c r="N43" s="89"/>
      <c r="O43" s="89"/>
      <c r="Q43" s="89"/>
    </row>
    <row r="44" spans="1:17" s="65" customFormat="1" ht="12.75" customHeight="1" x14ac:dyDescent="0.2">
      <c r="A44" s="77">
        <f>+MAX($A$7:A43)+1</f>
        <v>33</v>
      </c>
      <c r="B44" s="77" t="s">
        <v>187</v>
      </c>
      <c r="C44" s="77" t="s">
        <v>47</v>
      </c>
      <c r="D44" s="77" t="s">
        <v>19</v>
      </c>
      <c r="E44" s="74">
        <v>1875</v>
      </c>
      <c r="F44" s="75">
        <v>170.5575</v>
      </c>
      <c r="G44" s="76">
        <f>+ROUND(F44/VLOOKUP("Grand Total",$B$4:$F$298,5,0),4)</f>
        <v>2.3300000000000001E-2</v>
      </c>
      <c r="H44" s="76"/>
      <c r="I44" s="90" t="s">
        <v>313</v>
      </c>
      <c r="J44" s="100"/>
      <c r="K44" s="89"/>
      <c r="L44" s="102"/>
      <c r="M44" s="83"/>
      <c r="N44" s="89"/>
      <c r="O44" s="89"/>
      <c r="Q44" s="89"/>
    </row>
    <row r="45" spans="1:17" s="65" customFormat="1" ht="12.75" customHeight="1" x14ac:dyDescent="0.2">
      <c r="A45" s="77">
        <f>+MAX($A$7:A44)+1</f>
        <v>34</v>
      </c>
      <c r="B45" s="77" t="s">
        <v>187</v>
      </c>
      <c r="C45" s="131" t="s">
        <v>787</v>
      </c>
      <c r="D45" s="77" t="s">
        <v>282</v>
      </c>
      <c r="E45" s="74">
        <v>-1875</v>
      </c>
      <c r="F45" s="75">
        <v>-171.90843749999999</v>
      </c>
      <c r="G45" s="76"/>
      <c r="H45" s="76">
        <f>+ROUND(F45/VLOOKUP("Grand Total",$B$4:$F$298,5,0),4)</f>
        <v>-2.35E-2</v>
      </c>
      <c r="I45" s="103">
        <v>43370</v>
      </c>
      <c r="J45" s="100"/>
      <c r="K45" s="89"/>
      <c r="L45" s="102"/>
      <c r="M45" s="83"/>
      <c r="N45" s="89"/>
      <c r="O45" s="89"/>
      <c r="Q45" s="89"/>
    </row>
    <row r="46" spans="1:17" s="65" customFormat="1" ht="12.75" customHeight="1" x14ac:dyDescent="0.2">
      <c r="A46" s="77">
        <f>+MAX($A$7:A45)+1</f>
        <v>35</v>
      </c>
      <c r="B46" s="77" t="s">
        <v>292</v>
      </c>
      <c r="C46" s="77" t="s">
        <v>293</v>
      </c>
      <c r="D46" s="77" t="s">
        <v>19</v>
      </c>
      <c r="E46" s="74">
        <v>132000</v>
      </c>
      <c r="F46" s="75">
        <v>170.346</v>
      </c>
      <c r="G46" s="76">
        <f>+ROUND(F46/VLOOKUP("Grand Total",$B$4:$F$298,5,0),4)</f>
        <v>2.3199999999999998E-2</v>
      </c>
      <c r="H46" s="76"/>
      <c r="I46" s="90" t="s">
        <v>313</v>
      </c>
      <c r="J46" s="100"/>
      <c r="K46" s="89"/>
      <c r="L46" s="102"/>
      <c r="M46" s="83"/>
      <c r="N46" s="89"/>
      <c r="O46" s="89"/>
      <c r="Q46" s="89"/>
    </row>
    <row r="47" spans="1:17" s="65" customFormat="1" ht="12.75" customHeight="1" x14ac:dyDescent="0.2">
      <c r="A47" s="77">
        <f>+MAX($A$7:A46)+1</f>
        <v>36</v>
      </c>
      <c r="B47" s="77" t="s">
        <v>292</v>
      </c>
      <c r="C47" s="131" t="s">
        <v>787</v>
      </c>
      <c r="D47" s="77" t="s">
        <v>282</v>
      </c>
      <c r="E47" s="74">
        <v>-132000</v>
      </c>
      <c r="F47" s="75">
        <v>-171.93</v>
      </c>
      <c r="G47" s="76"/>
      <c r="H47" s="76">
        <f>+ROUND(F47/VLOOKUP("Grand Total",$B$4:$F$298,5,0),4)</f>
        <v>-2.35E-2</v>
      </c>
      <c r="I47" s="103">
        <v>43370</v>
      </c>
      <c r="J47" s="100"/>
      <c r="K47" s="89"/>
      <c r="L47" s="102"/>
      <c r="M47" s="83"/>
      <c r="N47" s="89"/>
      <c r="O47" s="89"/>
      <c r="Q47" s="89"/>
    </row>
    <row r="48" spans="1:17" s="65" customFormat="1" ht="12.75" customHeight="1" x14ac:dyDescent="0.2">
      <c r="A48" s="77">
        <f>+MAX($A$7:A47)+1</f>
        <v>37</v>
      </c>
      <c r="B48" s="77" t="s">
        <v>338</v>
      </c>
      <c r="C48" s="77" t="s">
        <v>123</v>
      </c>
      <c r="D48" s="77" t="s">
        <v>19</v>
      </c>
      <c r="E48" s="74">
        <v>81200</v>
      </c>
      <c r="F48" s="75">
        <v>115.3446</v>
      </c>
      <c r="G48" s="76">
        <f>+ROUND(F48/VLOOKUP("Grand Total",$B$4:$F$298,5,0),4)</f>
        <v>1.5699999999999999E-2</v>
      </c>
      <c r="H48" s="76"/>
      <c r="I48" s="90" t="s">
        <v>313</v>
      </c>
      <c r="J48" s="100"/>
      <c r="K48" s="89"/>
      <c r="L48" s="102"/>
      <c r="M48" s="83"/>
      <c r="N48" s="89"/>
      <c r="O48" s="89"/>
      <c r="Q48" s="89"/>
    </row>
    <row r="49" spans="1:17" s="65" customFormat="1" ht="12.75" customHeight="1" x14ac:dyDescent="0.2">
      <c r="A49" s="77">
        <f>+MAX($A$7:A48)+1</f>
        <v>38</v>
      </c>
      <c r="B49" s="77" t="s">
        <v>338</v>
      </c>
      <c r="C49" s="131" t="s">
        <v>787</v>
      </c>
      <c r="D49" s="77" t="s">
        <v>282</v>
      </c>
      <c r="E49" s="74">
        <v>-81200</v>
      </c>
      <c r="F49" s="75">
        <v>-116.2784</v>
      </c>
      <c r="G49" s="76"/>
      <c r="H49" s="76">
        <f>+ROUND(F49/VLOOKUP("Grand Total",$B$4:$F$298,5,0),4)</f>
        <v>-1.5900000000000001E-2</v>
      </c>
      <c r="I49" s="103">
        <v>43370</v>
      </c>
      <c r="J49" s="100"/>
      <c r="K49" s="89"/>
      <c r="L49" s="102"/>
      <c r="M49" s="83"/>
      <c r="N49" s="89"/>
      <c r="O49" s="89"/>
      <c r="Q49" s="89"/>
    </row>
    <row r="50" spans="1:17" s="65" customFormat="1" ht="12.75" customHeight="1" x14ac:dyDescent="0.2">
      <c r="A50" s="77">
        <f>+MAX($A$7:A49)+1</f>
        <v>39</v>
      </c>
      <c r="B50" s="77" t="s">
        <v>230</v>
      </c>
      <c r="C50" s="77" t="s">
        <v>119</v>
      </c>
      <c r="D50" s="77" t="s">
        <v>43</v>
      </c>
      <c r="E50" s="74">
        <v>42000</v>
      </c>
      <c r="F50" s="75">
        <v>99.938999999999993</v>
      </c>
      <c r="G50" s="76">
        <f>+ROUND(F50/VLOOKUP("Grand Total",$B$4:$F$298,5,0),4)</f>
        <v>1.3599999999999999E-2</v>
      </c>
      <c r="H50" s="76"/>
      <c r="I50" s="90" t="s">
        <v>313</v>
      </c>
      <c r="J50" s="100"/>
      <c r="K50" s="89"/>
      <c r="L50" s="102"/>
      <c r="M50" s="83"/>
      <c r="N50" s="89"/>
      <c r="O50" s="89"/>
      <c r="Q50" s="89"/>
    </row>
    <row r="51" spans="1:17" s="65" customFormat="1" ht="12.75" customHeight="1" x14ac:dyDescent="0.2">
      <c r="A51" s="77">
        <f>+MAX($A$7:A50)+1</f>
        <v>40</v>
      </c>
      <c r="B51" s="77" t="s">
        <v>230</v>
      </c>
      <c r="C51" s="131" t="s">
        <v>787</v>
      </c>
      <c r="D51" s="77" t="s">
        <v>282</v>
      </c>
      <c r="E51" s="74">
        <v>-42000</v>
      </c>
      <c r="F51" s="75">
        <v>-99.938999999999993</v>
      </c>
      <c r="G51" s="76"/>
      <c r="H51" s="76">
        <f>+ROUND(F51/VLOOKUP("Grand Total",$B$4:$F$298,5,0),4)</f>
        <v>-1.3599999999999999E-2</v>
      </c>
      <c r="I51" s="103">
        <v>43370</v>
      </c>
      <c r="J51" s="100"/>
      <c r="K51" s="89"/>
      <c r="L51" s="102"/>
      <c r="M51" s="83"/>
      <c r="N51" s="89"/>
      <c r="O51" s="89"/>
      <c r="Q51" s="89"/>
    </row>
    <row r="52" spans="1:17" s="65" customFormat="1" ht="12.75" customHeight="1" x14ac:dyDescent="0.2">
      <c r="A52" s="77">
        <f>+MAX($A$7:A51)+1</f>
        <v>41</v>
      </c>
      <c r="B52" s="77" t="s">
        <v>15</v>
      </c>
      <c r="C52" s="77" t="s">
        <v>16</v>
      </c>
      <c r="D52" s="77" t="s">
        <v>9</v>
      </c>
      <c r="E52" s="74">
        <v>30000</v>
      </c>
      <c r="F52" s="75">
        <v>92.88</v>
      </c>
      <c r="G52" s="76">
        <f>+ROUND(F52/VLOOKUP("Grand Total",$B$4:$F$298,5,0),4)</f>
        <v>1.2699999999999999E-2</v>
      </c>
      <c r="H52" s="76"/>
      <c r="I52" s="90" t="s">
        <v>313</v>
      </c>
      <c r="J52" s="100"/>
      <c r="K52" s="89"/>
      <c r="L52" s="102"/>
      <c r="M52" s="83"/>
      <c r="N52" s="89"/>
      <c r="O52" s="89"/>
      <c r="Q52" s="89"/>
    </row>
    <row r="53" spans="1:17" s="65" customFormat="1" ht="12.75" customHeight="1" x14ac:dyDescent="0.2">
      <c r="A53" s="77">
        <f>+MAX($A$7:A52)+1</f>
        <v>42</v>
      </c>
      <c r="B53" s="77" t="s">
        <v>15</v>
      </c>
      <c r="C53" s="131" t="s">
        <v>787</v>
      </c>
      <c r="D53" s="77" t="s">
        <v>282</v>
      </c>
      <c r="E53" s="74">
        <v>-30000</v>
      </c>
      <c r="F53" s="75">
        <v>-93.18</v>
      </c>
      <c r="G53" s="76"/>
      <c r="H53" s="76">
        <f>+ROUND(F53/VLOOKUP("Grand Total",$B$4:$F$298,5,0),4)</f>
        <v>-1.2699999999999999E-2</v>
      </c>
      <c r="I53" s="103">
        <v>43370</v>
      </c>
      <c r="J53" s="100"/>
      <c r="K53" s="89"/>
      <c r="L53" s="102"/>
      <c r="M53" s="83"/>
      <c r="N53" s="89"/>
      <c r="O53" s="89"/>
      <c r="Q53" s="89"/>
    </row>
    <row r="54" spans="1:17" s="65" customFormat="1" ht="12.75" customHeight="1" x14ac:dyDescent="0.2">
      <c r="A54" s="77">
        <f>+MAX($A$7:A53)+1</f>
        <v>43</v>
      </c>
      <c r="B54" s="77" t="s">
        <v>260</v>
      </c>
      <c r="C54" s="77" t="s">
        <v>158</v>
      </c>
      <c r="D54" s="77" t="s">
        <v>36</v>
      </c>
      <c r="E54" s="74">
        <v>32000</v>
      </c>
      <c r="F54" s="75">
        <v>91.231999999999999</v>
      </c>
      <c r="G54" s="76">
        <f>+ROUND(F54/VLOOKUP("Grand Total",$B$4:$F$298,5,0),4)</f>
        <v>1.24E-2</v>
      </c>
      <c r="H54" s="76"/>
      <c r="I54" s="90" t="s">
        <v>313</v>
      </c>
      <c r="J54" s="100"/>
      <c r="K54" s="89"/>
      <c r="L54" s="102"/>
      <c r="M54" s="83"/>
      <c r="N54" s="89"/>
      <c r="O54" s="89"/>
      <c r="Q54" s="89"/>
    </row>
    <row r="55" spans="1:17" s="65" customFormat="1" ht="12.75" customHeight="1" x14ac:dyDescent="0.2">
      <c r="A55" s="77">
        <f>+MAX($A$7:A54)+1</f>
        <v>44</v>
      </c>
      <c r="B55" s="77" t="s">
        <v>260</v>
      </c>
      <c r="C55" s="131" t="s">
        <v>787</v>
      </c>
      <c r="D55" s="77" t="s">
        <v>282</v>
      </c>
      <c r="E55" s="74">
        <v>-32000</v>
      </c>
      <c r="F55" s="75">
        <v>-91.823999999999998</v>
      </c>
      <c r="G55" s="76"/>
      <c r="H55" s="76">
        <f>+ROUND(F55/VLOOKUP("Grand Total",$B$4:$F$298,5,0),4)</f>
        <v>-1.2500000000000001E-2</v>
      </c>
      <c r="I55" s="103">
        <v>43370</v>
      </c>
      <c r="J55" s="100"/>
      <c r="K55" s="89"/>
      <c r="L55" s="102"/>
      <c r="M55" s="83"/>
      <c r="N55" s="89"/>
      <c r="O55" s="89"/>
      <c r="Q55" s="89"/>
    </row>
    <row r="56" spans="1:17" s="65" customFormat="1" ht="12.75" customHeight="1" x14ac:dyDescent="0.2">
      <c r="A56" s="77">
        <f>+MAX($A$7:A55)+1</f>
        <v>45</v>
      </c>
      <c r="B56" s="77" t="s">
        <v>215</v>
      </c>
      <c r="C56" s="77" t="s">
        <v>105</v>
      </c>
      <c r="D56" s="77" t="s">
        <v>21</v>
      </c>
      <c r="E56" s="74">
        <v>3500</v>
      </c>
      <c r="F56" s="75">
        <v>87.22</v>
      </c>
      <c r="G56" s="76">
        <f>+ROUND(F56/VLOOKUP("Grand Total",$B$4:$F$298,5,0),4)</f>
        <v>1.1900000000000001E-2</v>
      </c>
      <c r="H56" s="76"/>
      <c r="I56" s="90" t="s">
        <v>313</v>
      </c>
      <c r="J56" s="100"/>
      <c r="K56" s="89"/>
      <c r="L56" s="102"/>
      <c r="M56" s="83"/>
      <c r="N56" s="89"/>
      <c r="O56" s="89"/>
      <c r="Q56" s="89"/>
    </row>
    <row r="57" spans="1:17" s="65" customFormat="1" ht="12.75" customHeight="1" x14ac:dyDescent="0.2">
      <c r="A57" s="77">
        <f>+MAX($A$7:A56)+1</f>
        <v>46</v>
      </c>
      <c r="B57" s="77" t="s">
        <v>215</v>
      </c>
      <c r="C57" s="131" t="s">
        <v>787</v>
      </c>
      <c r="D57" s="77" t="s">
        <v>282</v>
      </c>
      <c r="E57" s="74">
        <v>-3500</v>
      </c>
      <c r="F57" s="75">
        <v>-87.8185</v>
      </c>
      <c r="G57" s="76"/>
      <c r="H57" s="76">
        <f>+ROUND(F57/VLOOKUP("Grand Total",$B$4:$F$298,5,0),4)</f>
        <v>-1.2E-2</v>
      </c>
      <c r="I57" s="103">
        <v>43370</v>
      </c>
      <c r="J57" s="100"/>
      <c r="K57" s="89"/>
      <c r="L57" s="102"/>
      <c r="M57" s="83"/>
      <c r="N57" s="89"/>
      <c r="O57" s="89"/>
      <c r="Q57" s="89"/>
    </row>
    <row r="58" spans="1:17" s="65" customFormat="1" ht="12.75" customHeight="1" x14ac:dyDescent="0.2">
      <c r="A58" s="77">
        <f>+MAX($A$7:A57)+1</f>
        <v>47</v>
      </c>
      <c r="B58" s="77" t="s">
        <v>38</v>
      </c>
      <c r="C58" s="77" t="s">
        <v>40</v>
      </c>
      <c r="D58" s="77" t="s">
        <v>9</v>
      </c>
      <c r="E58" s="74">
        <v>56000</v>
      </c>
      <c r="F58" s="75">
        <v>85.652000000000001</v>
      </c>
      <c r="G58" s="76">
        <f>+ROUND(F58/VLOOKUP("Grand Total",$B$4:$F$298,5,0),4)</f>
        <v>1.17E-2</v>
      </c>
      <c r="H58" s="76"/>
      <c r="I58" s="90" t="s">
        <v>313</v>
      </c>
      <c r="J58" s="100"/>
      <c r="K58" s="89"/>
      <c r="L58" s="102"/>
      <c r="M58" s="83"/>
      <c r="N58" s="89"/>
      <c r="O58" s="89"/>
      <c r="Q58" s="89"/>
    </row>
    <row r="59" spans="1:17" s="65" customFormat="1" ht="12.75" customHeight="1" x14ac:dyDescent="0.2">
      <c r="A59" s="77">
        <f>+MAX($A$7:A58)+1</f>
        <v>48</v>
      </c>
      <c r="B59" s="77" t="s">
        <v>38</v>
      </c>
      <c r="C59" s="131" t="s">
        <v>787</v>
      </c>
      <c r="D59" s="77" t="s">
        <v>282</v>
      </c>
      <c r="E59" s="74">
        <v>-56000</v>
      </c>
      <c r="F59" s="75">
        <v>-86.296000000000006</v>
      </c>
      <c r="G59" s="76"/>
      <c r="H59" s="76">
        <f>+ROUND(F59/VLOOKUP("Grand Total",$B$4:$F$298,5,0),4)</f>
        <v>-1.18E-2</v>
      </c>
      <c r="I59" s="103">
        <v>43370</v>
      </c>
      <c r="J59" s="100"/>
      <c r="K59" s="89"/>
      <c r="L59" s="102"/>
      <c r="M59" s="83"/>
      <c r="N59" s="89"/>
      <c r="O59" s="89"/>
      <c r="Q59" s="89"/>
    </row>
    <row r="60" spans="1:17" s="65" customFormat="1" ht="12.75" customHeight="1" x14ac:dyDescent="0.2">
      <c r="A60" s="77">
        <f>+MAX($A$7:A59)+1</f>
        <v>49</v>
      </c>
      <c r="B60" s="77" t="s">
        <v>184</v>
      </c>
      <c r="C60" s="77" t="s">
        <v>50</v>
      </c>
      <c r="D60" s="77" t="s">
        <v>39</v>
      </c>
      <c r="E60" s="74">
        <v>99000</v>
      </c>
      <c r="F60" s="75">
        <v>84.397499999999994</v>
      </c>
      <c r="G60" s="76">
        <f>+ROUND(F60/VLOOKUP("Grand Total",$B$4:$F$298,5,0),4)</f>
        <v>1.15E-2</v>
      </c>
      <c r="H60" s="76"/>
      <c r="I60" s="90" t="s">
        <v>313</v>
      </c>
      <c r="J60" s="100"/>
      <c r="K60" s="89"/>
      <c r="L60" s="102"/>
      <c r="M60" s="83"/>
      <c r="N60" s="89"/>
      <c r="O60" s="89"/>
      <c r="Q60" s="89"/>
    </row>
    <row r="61" spans="1:17" s="65" customFormat="1" ht="12.75" customHeight="1" x14ac:dyDescent="0.2">
      <c r="A61" s="77">
        <f>+MAX($A$7:A60)+1</f>
        <v>50</v>
      </c>
      <c r="B61" s="77" t="s">
        <v>184</v>
      </c>
      <c r="C61" s="131" t="s">
        <v>787</v>
      </c>
      <c r="D61" s="77" t="s">
        <v>282</v>
      </c>
      <c r="E61" s="74">
        <v>-99000</v>
      </c>
      <c r="F61" s="75">
        <v>-84.15</v>
      </c>
      <c r="G61" s="76"/>
      <c r="H61" s="76">
        <f>+ROUND(F61/VLOOKUP("Grand Total",$B$4:$F$298,5,0),4)</f>
        <v>-1.15E-2</v>
      </c>
      <c r="I61" s="103">
        <v>43370</v>
      </c>
      <c r="J61" s="100"/>
      <c r="K61" s="89"/>
      <c r="L61" s="102"/>
      <c r="M61" s="83"/>
      <c r="N61" s="89"/>
      <c r="O61" s="89"/>
      <c r="Q61" s="89"/>
    </row>
    <row r="62" spans="1:17" s="65" customFormat="1" ht="12.75" customHeight="1" x14ac:dyDescent="0.2">
      <c r="A62" s="77">
        <f>+MAX($A$7:A61)+1</f>
        <v>51</v>
      </c>
      <c r="B62" s="77" t="s">
        <v>606</v>
      </c>
      <c r="C62" s="77" t="s">
        <v>607</v>
      </c>
      <c r="D62" s="77" t="s">
        <v>9</v>
      </c>
      <c r="E62" s="74">
        <v>93500</v>
      </c>
      <c r="F62" s="75">
        <v>82.420249999999996</v>
      </c>
      <c r="G62" s="76">
        <f>+ROUND(F62/VLOOKUP("Grand Total",$B$4:$F$298,5,0),4)</f>
        <v>1.12E-2</v>
      </c>
      <c r="H62" s="76"/>
      <c r="I62" s="90" t="s">
        <v>313</v>
      </c>
      <c r="J62" s="100"/>
      <c r="K62" s="89"/>
      <c r="L62" s="102"/>
      <c r="M62" s="83"/>
      <c r="N62" s="89"/>
      <c r="O62" s="89"/>
      <c r="Q62" s="89"/>
    </row>
    <row r="63" spans="1:17" s="65" customFormat="1" ht="12.75" customHeight="1" x14ac:dyDescent="0.2">
      <c r="A63" s="77">
        <f>+MAX($A$7:A62)+1</f>
        <v>52</v>
      </c>
      <c r="B63" s="77" t="s">
        <v>606</v>
      </c>
      <c r="C63" s="131" t="s">
        <v>787</v>
      </c>
      <c r="D63" s="77" t="s">
        <v>282</v>
      </c>
      <c r="E63" s="74">
        <v>-93500</v>
      </c>
      <c r="F63" s="75">
        <v>-83.121499999999997</v>
      </c>
      <c r="G63" s="76"/>
      <c r="H63" s="76">
        <f>+ROUND(F63/VLOOKUP("Grand Total",$B$4:$F$298,5,0),4)</f>
        <v>-1.1299999999999999E-2</v>
      </c>
      <c r="I63" s="103">
        <v>43370</v>
      </c>
      <c r="J63" s="100"/>
      <c r="K63" s="89"/>
      <c r="L63" s="102"/>
      <c r="M63" s="83"/>
      <c r="N63" s="89"/>
      <c r="O63" s="89"/>
      <c r="Q63" s="89"/>
    </row>
    <row r="64" spans="1:17" s="65" customFormat="1" ht="12.75" customHeight="1" x14ac:dyDescent="0.2">
      <c r="A64" s="77">
        <f>+MAX($A$7:A63)+1</f>
        <v>53</v>
      </c>
      <c r="B64" s="77" t="s">
        <v>297</v>
      </c>
      <c r="C64" s="77" t="s">
        <v>298</v>
      </c>
      <c r="D64" s="77" t="s">
        <v>22</v>
      </c>
      <c r="E64" s="74">
        <v>6500</v>
      </c>
      <c r="F64" s="75">
        <v>81.851249999999993</v>
      </c>
      <c r="G64" s="76">
        <f>+ROUND(F64/VLOOKUP("Grand Total",$B$4:$F$298,5,0),4)</f>
        <v>1.12E-2</v>
      </c>
      <c r="H64" s="76"/>
      <c r="I64" s="90" t="s">
        <v>313</v>
      </c>
      <c r="J64" s="100"/>
      <c r="K64" s="89"/>
      <c r="L64" s="102"/>
      <c r="M64" s="83"/>
      <c r="N64" s="89"/>
      <c r="O64" s="89"/>
      <c r="Q64" s="89"/>
    </row>
    <row r="65" spans="1:17" s="65" customFormat="1" ht="12.75" customHeight="1" x14ac:dyDescent="0.2">
      <c r="A65" s="77">
        <f>+MAX($A$7:A64)+1</f>
        <v>54</v>
      </c>
      <c r="B65" s="77" t="s">
        <v>297</v>
      </c>
      <c r="C65" s="131" t="s">
        <v>787</v>
      </c>
      <c r="D65" s="77" t="s">
        <v>282</v>
      </c>
      <c r="E65" s="74">
        <v>-6500</v>
      </c>
      <c r="F65" s="75">
        <v>-82.426500000000004</v>
      </c>
      <c r="G65" s="76"/>
      <c r="H65" s="76">
        <f>+ROUND(F65/VLOOKUP("Grand Total",$B$4:$F$298,5,0),4)</f>
        <v>-1.12E-2</v>
      </c>
      <c r="I65" s="103">
        <v>43370</v>
      </c>
      <c r="J65" s="100"/>
      <c r="K65" s="89"/>
      <c r="L65" s="102"/>
      <c r="M65" s="83"/>
      <c r="N65" s="89"/>
      <c r="O65" s="89"/>
      <c r="Q65" s="89"/>
    </row>
    <row r="66" spans="1:17" s="65" customFormat="1" ht="12.75" customHeight="1" x14ac:dyDescent="0.2">
      <c r="A66" s="77">
        <f>+MAX($A$7:A65)+1</f>
        <v>55</v>
      </c>
      <c r="B66" s="77" t="s">
        <v>259</v>
      </c>
      <c r="C66" s="77" t="s">
        <v>159</v>
      </c>
      <c r="D66" s="77" t="s">
        <v>34</v>
      </c>
      <c r="E66" s="74">
        <v>16900</v>
      </c>
      <c r="F66" s="75">
        <v>80.77355</v>
      </c>
      <c r="G66" s="76">
        <f>+ROUND(F66/VLOOKUP("Grand Total",$B$4:$F$298,5,0),4)</f>
        <v>1.0999999999999999E-2</v>
      </c>
      <c r="H66" s="76"/>
      <c r="I66" s="90" t="s">
        <v>313</v>
      </c>
      <c r="J66" s="100"/>
      <c r="K66" s="89"/>
      <c r="L66" s="102"/>
      <c r="M66" s="83"/>
      <c r="N66" s="89"/>
      <c r="O66" s="89"/>
      <c r="Q66" s="89"/>
    </row>
    <row r="67" spans="1:17" s="65" customFormat="1" ht="12.75" customHeight="1" x14ac:dyDescent="0.2">
      <c r="A67" s="77">
        <f>+MAX($A$7:A66)+1</f>
        <v>56</v>
      </c>
      <c r="B67" s="77" t="s">
        <v>259</v>
      </c>
      <c r="C67" s="131" t="s">
        <v>787</v>
      </c>
      <c r="D67" s="77" t="s">
        <v>282</v>
      </c>
      <c r="E67" s="74">
        <v>-16900</v>
      </c>
      <c r="F67" s="75">
        <v>-79.658150000000006</v>
      </c>
      <c r="G67" s="76"/>
      <c r="H67" s="76">
        <f>+ROUND(F67/VLOOKUP("Grand Total",$B$4:$F$298,5,0),4)</f>
        <v>-1.09E-2</v>
      </c>
      <c r="I67" s="103">
        <v>43370</v>
      </c>
      <c r="J67" s="100"/>
      <c r="K67" s="89"/>
      <c r="L67" s="102"/>
      <c r="M67" s="83"/>
      <c r="N67" s="89"/>
      <c r="O67" s="89"/>
      <c r="Q67" s="89"/>
    </row>
    <row r="68" spans="1:17" s="65" customFormat="1" ht="12.75" customHeight="1" x14ac:dyDescent="0.2">
      <c r="A68" s="77">
        <f>+MAX($A$7:A67)+1</f>
        <v>57</v>
      </c>
      <c r="B68" s="77" t="s">
        <v>193</v>
      </c>
      <c r="C68" s="77" t="s">
        <v>59</v>
      </c>
      <c r="D68" s="77" t="s">
        <v>21</v>
      </c>
      <c r="E68" s="74">
        <v>8000</v>
      </c>
      <c r="F68" s="75">
        <v>57.02</v>
      </c>
      <c r="G68" s="76">
        <f>+ROUND(F68/VLOOKUP("Grand Total",$B$4:$F$298,5,0),4)</f>
        <v>7.7999999999999996E-3</v>
      </c>
      <c r="H68" s="76"/>
      <c r="I68" s="90" t="s">
        <v>313</v>
      </c>
      <c r="J68" s="100"/>
      <c r="K68" s="89"/>
      <c r="L68" s="102"/>
      <c r="M68" s="83"/>
      <c r="N68" s="89"/>
      <c r="O68" s="89"/>
      <c r="Q68" s="89"/>
    </row>
    <row r="69" spans="1:17" s="65" customFormat="1" ht="12.75" customHeight="1" x14ac:dyDescent="0.2">
      <c r="A69" s="77">
        <f>+MAX($A$7:A68)+1</f>
        <v>58</v>
      </c>
      <c r="B69" s="77" t="s">
        <v>193</v>
      </c>
      <c r="C69" s="131" t="s">
        <v>787</v>
      </c>
      <c r="D69" s="77" t="s">
        <v>282</v>
      </c>
      <c r="E69" s="74">
        <v>-8000</v>
      </c>
      <c r="F69" s="75">
        <v>-57.475999999999999</v>
      </c>
      <c r="G69" s="76"/>
      <c r="H69" s="76">
        <f>+ROUND(F69/VLOOKUP("Grand Total",$B$4:$F$298,5,0),4)</f>
        <v>-7.7999999999999996E-3</v>
      </c>
      <c r="I69" s="103">
        <v>43370</v>
      </c>
      <c r="J69" s="100"/>
      <c r="K69" s="89"/>
      <c r="L69" s="102"/>
      <c r="M69" s="83"/>
      <c r="N69" s="89"/>
      <c r="O69" s="89"/>
      <c r="Q69" s="89"/>
    </row>
    <row r="70" spans="1:17" s="65" customFormat="1" ht="12.75" customHeight="1" x14ac:dyDescent="0.2">
      <c r="A70" s="77">
        <f>+MAX($A$7:A69)+1</f>
        <v>59</v>
      </c>
      <c r="B70" s="77" t="s">
        <v>475</v>
      </c>
      <c r="C70" s="77" t="s">
        <v>476</v>
      </c>
      <c r="D70" s="77" t="s">
        <v>30</v>
      </c>
      <c r="E70" s="74">
        <v>25000</v>
      </c>
      <c r="F70" s="75">
        <v>55.2</v>
      </c>
      <c r="G70" s="76">
        <f>+ROUND(F70/VLOOKUP("Grand Total",$B$4:$F$298,5,0),4)</f>
        <v>7.4999999999999997E-3</v>
      </c>
      <c r="H70" s="76"/>
      <c r="I70" s="90" t="s">
        <v>313</v>
      </c>
      <c r="J70" s="100"/>
      <c r="K70" s="89"/>
      <c r="L70" s="102"/>
      <c r="M70" s="83"/>
      <c r="N70" s="89"/>
      <c r="O70" s="89"/>
      <c r="Q70" s="89"/>
    </row>
    <row r="71" spans="1:17" s="65" customFormat="1" ht="12.75" customHeight="1" x14ac:dyDescent="0.2">
      <c r="A71" s="77">
        <f>+MAX($A$7:A70)+1</f>
        <v>60</v>
      </c>
      <c r="B71" s="77" t="s">
        <v>475</v>
      </c>
      <c r="C71" s="131" t="s">
        <v>787</v>
      </c>
      <c r="D71" s="77" t="s">
        <v>282</v>
      </c>
      <c r="E71" s="74">
        <v>-25000</v>
      </c>
      <c r="F71" s="75">
        <v>-55.3125</v>
      </c>
      <c r="G71" s="76"/>
      <c r="H71" s="76">
        <f>+ROUND(F71/VLOOKUP("Grand Total",$B$4:$F$298,5,0),4)</f>
        <v>-7.4999999999999997E-3</v>
      </c>
      <c r="I71" s="103">
        <v>43370</v>
      </c>
      <c r="J71" s="100"/>
      <c r="K71" s="89"/>
      <c r="L71" s="102"/>
      <c r="M71" s="83"/>
      <c r="N71" s="89"/>
      <c r="O71" s="89"/>
      <c r="Q71" s="89"/>
    </row>
    <row r="72" spans="1:17" s="65" customFormat="1" ht="12.75" customHeight="1" x14ac:dyDescent="0.2">
      <c r="A72" s="77">
        <f>+MAX($A$7:A71)+1</f>
        <v>61</v>
      </c>
      <c r="B72" s="77" t="s">
        <v>181</v>
      </c>
      <c r="C72" s="77" t="s">
        <v>46</v>
      </c>
      <c r="D72" s="77" t="s">
        <v>24</v>
      </c>
      <c r="E72" s="74">
        <v>800</v>
      </c>
      <c r="F72" s="75">
        <v>53.893999999999998</v>
      </c>
      <c r="G72" s="76">
        <f>+ROUND(F72/VLOOKUP("Grand Total",$B$4:$F$298,5,0),4)</f>
        <v>7.4000000000000003E-3</v>
      </c>
      <c r="H72" s="76"/>
      <c r="I72" s="90" t="s">
        <v>313</v>
      </c>
      <c r="J72" s="100"/>
      <c r="K72" s="89"/>
      <c r="L72" s="102"/>
      <c r="M72" s="83"/>
      <c r="N72" s="89"/>
      <c r="O72" s="89"/>
      <c r="Q72" s="89"/>
    </row>
    <row r="73" spans="1:17" s="65" customFormat="1" ht="12.75" customHeight="1" x14ac:dyDescent="0.2">
      <c r="A73" s="77">
        <f>+MAX($A$7:A72)+1</f>
        <v>62</v>
      </c>
      <c r="B73" s="77" t="s">
        <v>181</v>
      </c>
      <c r="C73" s="131" t="s">
        <v>787</v>
      </c>
      <c r="D73" s="77" t="s">
        <v>282</v>
      </c>
      <c r="E73" s="74">
        <v>-800</v>
      </c>
      <c r="F73" s="75">
        <v>-54.208799999999997</v>
      </c>
      <c r="G73" s="76"/>
      <c r="H73" s="76">
        <f>+ROUND(F73/VLOOKUP("Grand Total",$B$4:$F$298,5,0),4)</f>
        <v>-7.4000000000000003E-3</v>
      </c>
      <c r="I73" s="103">
        <v>43370</v>
      </c>
      <c r="J73" s="100"/>
      <c r="K73" s="89"/>
      <c r="L73" s="102"/>
      <c r="M73" s="83"/>
      <c r="N73" s="89"/>
      <c r="O73" s="89"/>
      <c r="Q73" s="89"/>
    </row>
    <row r="74" spans="1:17" s="65" customFormat="1" ht="12.75" customHeight="1" x14ac:dyDescent="0.2">
      <c r="A74" s="77">
        <f>+MAX($A$7:A73)+1</f>
        <v>63</v>
      </c>
      <c r="B74" s="77" t="s">
        <v>354</v>
      </c>
      <c r="C74" s="77" t="s">
        <v>66</v>
      </c>
      <c r="D74" s="77" t="s">
        <v>21</v>
      </c>
      <c r="E74" s="74">
        <v>7700</v>
      </c>
      <c r="F74" s="75">
        <v>50.269449999999999</v>
      </c>
      <c r="G74" s="76">
        <f>+ROUND(F74/VLOOKUP("Grand Total",$B$4:$F$298,5,0),4)</f>
        <v>6.8999999999999999E-3</v>
      </c>
      <c r="H74" s="76"/>
      <c r="I74" s="90" t="s">
        <v>313</v>
      </c>
      <c r="J74" s="100"/>
      <c r="K74" s="89"/>
      <c r="L74" s="102"/>
      <c r="M74" s="83"/>
      <c r="N74" s="89"/>
      <c r="O74" s="89"/>
      <c r="Q74" s="89"/>
    </row>
    <row r="75" spans="1:17" s="65" customFormat="1" ht="12.75" customHeight="1" x14ac:dyDescent="0.2">
      <c r="A75" s="77">
        <f>+MAX($A$7:A74)+1</f>
        <v>64</v>
      </c>
      <c r="B75" s="77" t="s">
        <v>354</v>
      </c>
      <c r="C75" s="131" t="s">
        <v>787</v>
      </c>
      <c r="D75" s="77" t="s">
        <v>282</v>
      </c>
      <c r="E75" s="74">
        <v>-7700</v>
      </c>
      <c r="F75" s="75">
        <v>-50.346449999999997</v>
      </c>
      <c r="G75" s="76"/>
      <c r="H75" s="76">
        <f>+ROUND(F75/VLOOKUP("Grand Total",$B$4:$F$298,5,0),4)</f>
        <v>-6.8999999999999999E-3</v>
      </c>
      <c r="I75" s="103">
        <v>43370</v>
      </c>
      <c r="J75" s="100"/>
      <c r="K75" s="89"/>
      <c r="L75" s="102"/>
      <c r="M75" s="83"/>
      <c r="N75" s="89"/>
      <c r="O75" s="89"/>
      <c r="Q75" s="89"/>
    </row>
    <row r="76" spans="1:17" s="65" customFormat="1" ht="12.75" customHeight="1" x14ac:dyDescent="0.2">
      <c r="A76" s="77">
        <f>+MAX($A$7:A75)+1</f>
        <v>65</v>
      </c>
      <c r="B76" s="77" t="s">
        <v>247</v>
      </c>
      <c r="C76" s="77" t="s">
        <v>144</v>
      </c>
      <c r="D76" s="77" t="s">
        <v>135</v>
      </c>
      <c r="E76" s="74">
        <v>4400</v>
      </c>
      <c r="F76" s="75">
        <v>47.625599999999999</v>
      </c>
      <c r="G76" s="76">
        <f>+ROUND(F76/VLOOKUP("Grand Total",$B$4:$F$298,5,0),4)</f>
        <v>6.4999999999999997E-3</v>
      </c>
      <c r="H76" s="76"/>
      <c r="I76" s="90" t="s">
        <v>313</v>
      </c>
      <c r="J76" s="100"/>
      <c r="K76" s="89"/>
      <c r="L76" s="102"/>
      <c r="M76" s="83"/>
      <c r="N76" s="89"/>
      <c r="O76" s="89"/>
      <c r="Q76" s="89"/>
    </row>
    <row r="77" spans="1:17" s="65" customFormat="1" ht="12.75" customHeight="1" x14ac:dyDescent="0.2">
      <c r="A77" s="77">
        <f>+MAX($A$7:A76)+1</f>
        <v>66</v>
      </c>
      <c r="B77" s="77" t="s">
        <v>247</v>
      </c>
      <c r="C77" s="131" t="s">
        <v>787</v>
      </c>
      <c r="D77" s="77" t="s">
        <v>282</v>
      </c>
      <c r="E77" s="74">
        <v>-4400</v>
      </c>
      <c r="F77" s="75">
        <v>-47.981999999999999</v>
      </c>
      <c r="G77" s="76"/>
      <c r="H77" s="76">
        <f>+ROUND(F77/VLOOKUP("Grand Total",$B$4:$F$298,5,0),4)</f>
        <v>-6.4999999999999997E-3</v>
      </c>
      <c r="I77" s="103">
        <v>43370</v>
      </c>
      <c r="J77" s="100"/>
      <c r="K77" s="89"/>
      <c r="L77" s="102"/>
      <c r="M77" s="83"/>
      <c r="N77" s="89"/>
      <c r="O77" s="89"/>
      <c r="Q77" s="89"/>
    </row>
    <row r="78" spans="1:17" s="65" customFormat="1" ht="12.75" customHeight="1" x14ac:dyDescent="0.2">
      <c r="A78" s="77">
        <f>+MAX($A$7:A77)+1</f>
        <v>67</v>
      </c>
      <c r="B78" s="77" t="s">
        <v>261</v>
      </c>
      <c r="C78" s="77" t="s">
        <v>160</v>
      </c>
      <c r="D78" s="77" t="s">
        <v>98</v>
      </c>
      <c r="E78" s="74">
        <v>6000</v>
      </c>
      <c r="F78" s="75">
        <v>45.972000000000001</v>
      </c>
      <c r="G78" s="76">
        <f>+ROUND(F78/VLOOKUP("Grand Total",$B$4:$F$298,5,0),4)</f>
        <v>6.3E-3</v>
      </c>
      <c r="H78" s="76"/>
      <c r="I78" s="90" t="s">
        <v>313</v>
      </c>
      <c r="J78" s="100"/>
      <c r="K78" s="89"/>
      <c r="L78" s="102"/>
      <c r="M78" s="83"/>
      <c r="N78" s="89"/>
      <c r="O78" s="89"/>
      <c r="Q78" s="89"/>
    </row>
    <row r="79" spans="1:17" s="65" customFormat="1" ht="12.75" customHeight="1" x14ac:dyDescent="0.2">
      <c r="A79" s="77">
        <f>+MAX($A$7:A78)+1</f>
        <v>68</v>
      </c>
      <c r="B79" s="77" t="s">
        <v>261</v>
      </c>
      <c r="C79" s="131" t="s">
        <v>787</v>
      </c>
      <c r="D79" s="77" t="s">
        <v>282</v>
      </c>
      <c r="E79" s="74">
        <v>-6000</v>
      </c>
      <c r="F79" s="75">
        <v>-46.277999999999999</v>
      </c>
      <c r="G79" s="76"/>
      <c r="H79" s="76">
        <f>+ROUND(F79/VLOOKUP("Grand Total",$B$4:$F$298,5,0),4)</f>
        <v>-6.3E-3</v>
      </c>
      <c r="I79" s="103">
        <v>43370</v>
      </c>
      <c r="J79" s="100"/>
      <c r="K79" s="89"/>
      <c r="L79" s="102"/>
      <c r="M79" s="83"/>
      <c r="N79" s="89"/>
      <c r="O79" s="89"/>
      <c r="Q79" s="89"/>
    </row>
    <row r="80" spans="1:17" s="65" customFormat="1" ht="12.75" customHeight="1" x14ac:dyDescent="0.2">
      <c r="A80" s="77">
        <f>+MAX($A$7:A79)+1</f>
        <v>69</v>
      </c>
      <c r="B80" s="77" t="s">
        <v>491</v>
      </c>
      <c r="C80" s="77" t="s">
        <v>492</v>
      </c>
      <c r="D80" s="77" t="s">
        <v>98</v>
      </c>
      <c r="E80" s="74">
        <v>64000</v>
      </c>
      <c r="F80" s="75">
        <v>45.792000000000002</v>
      </c>
      <c r="G80" s="76">
        <f>+ROUND(F80/VLOOKUP("Grand Total",$B$4:$F$298,5,0),4)</f>
        <v>6.1999999999999998E-3</v>
      </c>
      <c r="H80" s="76"/>
      <c r="I80" s="90" t="s">
        <v>313</v>
      </c>
      <c r="J80" s="100"/>
      <c r="K80" s="89"/>
      <c r="L80" s="102"/>
      <c r="M80" s="83"/>
      <c r="N80" s="89"/>
      <c r="O80" s="89"/>
      <c r="Q80" s="89"/>
    </row>
    <row r="81" spans="1:17" s="65" customFormat="1" ht="12.75" customHeight="1" x14ac:dyDescent="0.2">
      <c r="A81" s="77">
        <f>+MAX($A$7:A80)+1</f>
        <v>70</v>
      </c>
      <c r="B81" s="77" t="s">
        <v>491</v>
      </c>
      <c r="C81" s="131" t="s">
        <v>787</v>
      </c>
      <c r="D81" s="77" t="s">
        <v>282</v>
      </c>
      <c r="E81" s="74">
        <v>-64000</v>
      </c>
      <c r="F81" s="75">
        <v>-45.951999999999998</v>
      </c>
      <c r="G81" s="76"/>
      <c r="H81" s="76">
        <f>+ROUND(F81/VLOOKUP("Grand Total",$B$4:$F$298,5,0),4)</f>
        <v>-6.3E-3</v>
      </c>
      <c r="I81" s="103">
        <v>43370</v>
      </c>
      <c r="J81" s="100"/>
      <c r="K81" s="89"/>
      <c r="L81" s="102"/>
      <c r="M81" s="83"/>
      <c r="N81" s="89"/>
      <c r="O81" s="89"/>
      <c r="Q81" s="89"/>
    </row>
    <row r="82" spans="1:17" s="65" customFormat="1" ht="12.75" customHeight="1" x14ac:dyDescent="0.2">
      <c r="A82" s="77">
        <f>+MAX($A$7:A81)+1</f>
        <v>71</v>
      </c>
      <c r="B82" s="77" t="s">
        <v>174</v>
      </c>
      <c r="C82" s="77" t="s">
        <v>20</v>
      </c>
      <c r="D82" s="77" t="s">
        <v>19</v>
      </c>
      <c r="E82" s="74">
        <v>13500</v>
      </c>
      <c r="F82" s="75">
        <v>36.112499999999997</v>
      </c>
      <c r="G82" s="76">
        <f>+ROUND(F82/VLOOKUP("Grand Total",$B$4:$F$298,5,0),4)</f>
        <v>4.8999999999999998E-3</v>
      </c>
      <c r="H82" s="76"/>
      <c r="I82" s="90" t="s">
        <v>313</v>
      </c>
      <c r="J82" s="100"/>
      <c r="K82" s="89"/>
      <c r="L82" s="102"/>
      <c r="M82" s="83"/>
      <c r="N82" s="89"/>
      <c r="O82" s="89"/>
      <c r="Q82" s="89"/>
    </row>
    <row r="83" spans="1:17" s="65" customFormat="1" ht="12.75" customHeight="1" x14ac:dyDescent="0.2">
      <c r="A83" s="77">
        <f>+MAX($A$7:A82)+1</f>
        <v>72</v>
      </c>
      <c r="B83" s="77" t="s">
        <v>174</v>
      </c>
      <c r="C83" s="131" t="s">
        <v>787</v>
      </c>
      <c r="D83" s="77" t="s">
        <v>282</v>
      </c>
      <c r="E83" s="74">
        <v>-13500</v>
      </c>
      <c r="F83" s="75">
        <v>-36.348750000000003</v>
      </c>
      <c r="G83" s="76"/>
      <c r="H83" s="76">
        <f>+ROUND(F83/VLOOKUP("Grand Total",$B$4:$F$298,5,0),4)</f>
        <v>-5.0000000000000001E-3</v>
      </c>
      <c r="I83" s="103">
        <v>43370</v>
      </c>
      <c r="J83" s="100"/>
      <c r="K83" s="89"/>
      <c r="L83" s="102"/>
      <c r="M83" s="83"/>
      <c r="N83" s="89"/>
      <c r="O83" s="89"/>
      <c r="Q83" s="89"/>
    </row>
    <row r="84" spans="1:17" s="65" customFormat="1" ht="12.75" customHeight="1" x14ac:dyDescent="0.2">
      <c r="A84" s="77">
        <f>+MAX($A$7:A83)+1</f>
        <v>73</v>
      </c>
      <c r="B84" s="77" t="s">
        <v>196</v>
      </c>
      <c r="C84" s="77" t="s">
        <v>71</v>
      </c>
      <c r="D84" s="77" t="s">
        <v>30</v>
      </c>
      <c r="E84" s="74">
        <v>17500</v>
      </c>
      <c r="F84" s="75">
        <v>33.302500000000002</v>
      </c>
      <c r="G84" s="76">
        <f>+ROUND(F84/VLOOKUP("Grand Total",$B$4:$F$298,5,0),4)</f>
        <v>4.4999999999999997E-3</v>
      </c>
      <c r="H84" s="76"/>
      <c r="I84" s="90" t="s">
        <v>313</v>
      </c>
      <c r="J84" s="100"/>
      <c r="K84" s="89"/>
      <c r="L84" s="102"/>
      <c r="M84" s="83"/>
      <c r="N84" s="89"/>
      <c r="O84" s="89"/>
      <c r="Q84" s="89"/>
    </row>
    <row r="85" spans="1:17" s="65" customFormat="1" ht="12.75" customHeight="1" x14ac:dyDescent="0.2">
      <c r="A85" s="77">
        <f>+MAX($A$7:A84)+1</f>
        <v>74</v>
      </c>
      <c r="B85" s="77" t="s">
        <v>196</v>
      </c>
      <c r="C85" s="131" t="s">
        <v>787</v>
      </c>
      <c r="D85" s="77" t="s">
        <v>282</v>
      </c>
      <c r="E85" s="74">
        <v>-17500</v>
      </c>
      <c r="F85" s="75">
        <v>-33.564999999999998</v>
      </c>
      <c r="G85" s="76"/>
      <c r="H85" s="76">
        <f>+ROUND(F85/VLOOKUP("Grand Total",$B$4:$F$298,5,0),4)</f>
        <v>-4.5999999999999999E-3</v>
      </c>
      <c r="I85" s="103">
        <v>43370</v>
      </c>
      <c r="J85" s="100"/>
      <c r="K85" s="89"/>
      <c r="L85" s="102"/>
      <c r="M85" s="83"/>
      <c r="N85" s="89"/>
      <c r="O85" s="89"/>
      <c r="Q85" s="89"/>
    </row>
    <row r="86" spans="1:17" s="46" customFormat="1" x14ac:dyDescent="0.2">
      <c r="A86"/>
      <c r="B86" s="18" t="s">
        <v>82</v>
      </c>
      <c r="C86" s="18"/>
      <c r="D86" s="18"/>
      <c r="E86" s="19"/>
      <c r="F86" s="124">
        <f>+F36+F38+F40+F42+F44+F46+F48+F50+F52+F54+F56+F58+F60+F62+F64+F66+F68+F70+F72+F74+F76+F78+F80+F82+F84</f>
        <v>3058.6874999999991</v>
      </c>
      <c r="G86" s="122">
        <f>+G36+G38+G40+G42+G44+G46+G48+G50+G52+G54+G56+G58+G60+G62+G64+G66+G68+G70+G72+G74+G76+G78+G80+G82+G84</f>
        <v>0.41720000000000007</v>
      </c>
      <c r="H86" s="122">
        <f>SUM(H37:H85)</f>
        <v>-0.41939999999999994</v>
      </c>
      <c r="I86" s="21"/>
      <c r="J86" s="55"/>
      <c r="K86"/>
      <c r="L86" s="36"/>
      <c r="M86"/>
    </row>
    <row r="87" spans="1:17" s="46" customFormat="1" x14ac:dyDescent="0.2">
      <c r="A87"/>
      <c r="B87"/>
      <c r="C87"/>
      <c r="D87"/>
      <c r="E87" s="28"/>
      <c r="F87" s="28"/>
      <c r="G87" s="28"/>
      <c r="H87" s="28"/>
      <c r="I87" s="15"/>
      <c r="J87" s="56"/>
      <c r="L87" s="48"/>
    </row>
    <row r="88" spans="1:17" s="46" customFormat="1" x14ac:dyDescent="0.2">
      <c r="A88"/>
      <c r="B88" s="16" t="s">
        <v>88</v>
      </c>
      <c r="C88"/>
      <c r="D88"/>
      <c r="E88" s="28"/>
      <c r="F88" s="28"/>
      <c r="G88" s="28"/>
      <c r="H88" s="28"/>
      <c r="I88" s="15"/>
      <c r="J88" s="56"/>
      <c r="L88" s="48"/>
    </row>
    <row r="89" spans="1:17" ht="12.75" customHeight="1" x14ac:dyDescent="0.2">
      <c r="B89" s="16" t="s">
        <v>267</v>
      </c>
      <c r="F89" s="13"/>
      <c r="G89" s="14"/>
      <c r="H89" s="14"/>
      <c r="I89" s="33"/>
      <c r="J89"/>
      <c r="K89" s="36"/>
      <c r="L89"/>
    </row>
    <row r="90" spans="1:17" ht="12.75" customHeight="1" x14ac:dyDescent="0.2">
      <c r="A90" s="65">
        <f>+MAX($A$7:A89)+1</f>
        <v>75</v>
      </c>
      <c r="B90" t="s">
        <v>256</v>
      </c>
      <c r="C90" t="s">
        <v>462</v>
      </c>
      <c r="D90" t="s">
        <v>449</v>
      </c>
      <c r="E90" s="28">
        <v>40</v>
      </c>
      <c r="F90" s="13">
        <v>196.33680000000001</v>
      </c>
      <c r="G90" s="14">
        <f>+ROUND(F90/VLOOKUP("Grand Total",$B$4:$F$327,5,0),4)</f>
        <v>2.6800000000000001E-2</v>
      </c>
      <c r="H90" s="14"/>
      <c r="I90" s="15">
        <v>43426</v>
      </c>
      <c r="J90"/>
      <c r="K90" s="36"/>
      <c r="L90"/>
    </row>
    <row r="91" spans="1:17" ht="12.75" customHeight="1" x14ac:dyDescent="0.2">
      <c r="A91" s="65">
        <f>+MAX($A$7:A90)+1</f>
        <v>76</v>
      </c>
      <c r="B91" t="s">
        <v>498</v>
      </c>
      <c r="C91" t="s">
        <v>662</v>
      </c>
      <c r="D91" t="s">
        <v>149</v>
      </c>
      <c r="E91" s="28">
        <v>20</v>
      </c>
      <c r="F91" s="13">
        <v>99.420400000000001</v>
      </c>
      <c r="G91" s="14">
        <f>+ROUND(F91/VLOOKUP("Grand Total",$B$4:$F$327,5,0),4)</f>
        <v>1.3599999999999999E-2</v>
      </c>
      <c r="H91" s="14"/>
      <c r="I91" s="15">
        <v>43368</v>
      </c>
      <c r="J91"/>
      <c r="K91" s="36"/>
      <c r="L91"/>
    </row>
    <row r="92" spans="1:17" ht="12.75" customHeight="1" x14ac:dyDescent="0.2">
      <c r="A92" s="65">
        <f>+MAX($A$7:A91)+1</f>
        <v>77</v>
      </c>
      <c r="B92" t="s">
        <v>498</v>
      </c>
      <c r="C92" t="s">
        <v>669</v>
      </c>
      <c r="D92" t="s">
        <v>149</v>
      </c>
      <c r="E92" s="28">
        <v>2</v>
      </c>
      <c r="F92" s="13">
        <v>9.9594500000000004</v>
      </c>
      <c r="G92" s="14">
        <f>+ROUND(F92/VLOOKUP("Grand Total",$B$4:$F$327,5,0),4)</f>
        <v>1.4E-3</v>
      </c>
      <c r="H92" s="14"/>
      <c r="I92" s="15">
        <v>43362</v>
      </c>
      <c r="J92"/>
      <c r="K92" s="36"/>
      <c r="L92"/>
    </row>
    <row r="93" spans="1:17" ht="12.75" customHeight="1" x14ac:dyDescent="0.2">
      <c r="B93" s="18" t="s">
        <v>82</v>
      </c>
      <c r="C93" s="18"/>
      <c r="D93" s="18"/>
      <c r="E93" s="29"/>
      <c r="F93" s="19">
        <f>SUM(F90:F92)</f>
        <v>305.71665000000002</v>
      </c>
      <c r="G93" s="20">
        <f>SUM(G90:G92)</f>
        <v>4.1799999999999997E-2</v>
      </c>
      <c r="H93" s="20"/>
      <c r="I93" s="21"/>
      <c r="J93"/>
      <c r="K93" s="36"/>
      <c r="L93"/>
    </row>
    <row r="94" spans="1:17" x14ac:dyDescent="0.2">
      <c r="F94" s="44"/>
      <c r="G94" s="14"/>
      <c r="H94" s="14"/>
      <c r="I94" s="15"/>
      <c r="J94" s="56"/>
      <c r="K94" s="48"/>
      <c r="L94" s="46"/>
      <c r="M94" s="46"/>
    </row>
    <row r="95" spans="1:17" ht="12.75" customHeight="1" x14ac:dyDescent="0.2">
      <c r="B95" s="16" t="s">
        <v>153</v>
      </c>
      <c r="F95" s="13"/>
      <c r="G95" s="14"/>
      <c r="H95" s="14"/>
      <c r="I95" s="33"/>
      <c r="J95"/>
      <c r="K95" s="36"/>
      <c r="L95"/>
    </row>
    <row r="96" spans="1:17" ht="12.75" customHeight="1" x14ac:dyDescent="0.2">
      <c r="A96" s="65">
        <f>+MAX($A$7:A95)+1</f>
        <v>78</v>
      </c>
      <c r="B96" t="s">
        <v>450</v>
      </c>
      <c r="C96" t="s">
        <v>672</v>
      </c>
      <c r="D96" t="s">
        <v>345</v>
      </c>
      <c r="E96" s="28">
        <v>24000</v>
      </c>
      <c r="F96" s="13">
        <v>23.671679999999999</v>
      </c>
      <c r="G96" s="14">
        <f>+ROUND(F96/VLOOKUP("Grand Total",$B$4:$F$327,5,0),4)</f>
        <v>3.2000000000000002E-3</v>
      </c>
      <c r="H96" s="14"/>
      <c r="I96" s="15">
        <v>43419</v>
      </c>
      <c r="J96"/>
      <c r="K96" s="36"/>
      <c r="L96"/>
    </row>
    <row r="97" spans="1:13" ht="12.75" customHeight="1" x14ac:dyDescent="0.2">
      <c r="B97" s="18" t="s">
        <v>82</v>
      </c>
      <c r="C97" s="18"/>
      <c r="D97" s="18"/>
      <c r="E97" s="29"/>
      <c r="F97" s="19">
        <f>SUM(F96:F96)</f>
        <v>23.671679999999999</v>
      </c>
      <c r="G97" s="20">
        <f>SUM(G96:G96)</f>
        <v>3.2000000000000002E-3</v>
      </c>
      <c r="H97" s="20"/>
      <c r="I97" s="21"/>
      <c r="J97"/>
      <c r="K97" s="36"/>
      <c r="L97"/>
    </row>
    <row r="98" spans="1:13" x14ac:dyDescent="0.2">
      <c r="F98" s="44"/>
      <c r="G98" s="14"/>
      <c r="H98" s="14"/>
      <c r="I98" s="15"/>
      <c r="J98" s="56"/>
      <c r="K98" s="48"/>
      <c r="L98" s="46"/>
      <c r="M98" s="46"/>
    </row>
    <row r="99" spans="1:13" x14ac:dyDescent="0.2">
      <c r="B99" s="16" t="s">
        <v>120</v>
      </c>
      <c r="F99" s="44"/>
      <c r="G99" s="14"/>
      <c r="H99" s="14"/>
      <c r="I99" s="15"/>
      <c r="J99" s="56"/>
      <c r="K99" s="48"/>
      <c r="L99" s="46"/>
      <c r="M99" s="46"/>
    </row>
    <row r="100" spans="1:13" ht="12.75" customHeight="1" x14ac:dyDescent="0.2">
      <c r="B100" s="31" t="s">
        <v>266</v>
      </c>
      <c r="F100" s="13"/>
      <c r="G100" s="14"/>
      <c r="H100" s="14"/>
      <c r="I100" s="33"/>
      <c r="J100"/>
      <c r="K100" s="36"/>
      <c r="L100"/>
    </row>
    <row r="101" spans="1:13" ht="12.75" customHeight="1" x14ac:dyDescent="0.2">
      <c r="A101">
        <f>+MAX($A$7:A100)+1</f>
        <v>79</v>
      </c>
      <c r="B101" s="65" t="s">
        <v>532</v>
      </c>
      <c r="C101" t="s">
        <v>509</v>
      </c>
      <c r="D101" t="s">
        <v>510</v>
      </c>
      <c r="E101" s="28">
        <v>200</v>
      </c>
      <c r="F101" s="13">
        <v>201.1052</v>
      </c>
      <c r="G101" s="14">
        <f t="shared" ref="G101:G106" si="2">+ROUND(F101/VLOOKUP("Grand Total",$B$4:$F$327,5,0),4)</f>
        <v>2.7400000000000001E-2</v>
      </c>
      <c r="H101" s="14"/>
      <c r="I101" s="15">
        <v>43766</v>
      </c>
      <c r="J101"/>
      <c r="K101" s="36"/>
      <c r="L101"/>
    </row>
    <row r="102" spans="1:13" ht="12.75" customHeight="1" x14ac:dyDescent="0.2">
      <c r="A102">
        <f>+MAX($A$7:A101)+1</f>
        <v>80</v>
      </c>
      <c r="B102" s="65" t="s">
        <v>393</v>
      </c>
      <c r="C102" t="s">
        <v>394</v>
      </c>
      <c r="D102" t="s">
        <v>257</v>
      </c>
      <c r="E102" s="28">
        <v>17</v>
      </c>
      <c r="F102" s="13">
        <v>169.11259999999999</v>
      </c>
      <c r="G102" s="14">
        <f t="shared" si="2"/>
        <v>2.3099999999999999E-2</v>
      </c>
      <c r="H102" s="14"/>
      <c r="I102" s="15">
        <v>43630</v>
      </c>
      <c r="J102"/>
      <c r="K102" s="36"/>
      <c r="L102"/>
    </row>
    <row r="103" spans="1:13" ht="12.75" customHeight="1" x14ac:dyDescent="0.2">
      <c r="A103">
        <f>+MAX($A$7:A102)+1</f>
        <v>81</v>
      </c>
      <c r="B103" s="65" t="s">
        <v>530</v>
      </c>
      <c r="C103" t="s">
        <v>531</v>
      </c>
      <c r="D103" t="s">
        <v>369</v>
      </c>
      <c r="E103" s="28">
        <v>15000</v>
      </c>
      <c r="F103" s="13">
        <v>146.24144999999999</v>
      </c>
      <c r="G103" s="14">
        <f t="shared" si="2"/>
        <v>0.02</v>
      </c>
      <c r="H103" s="14"/>
      <c r="I103" s="15">
        <v>44366</v>
      </c>
      <c r="J103"/>
      <c r="K103" s="36"/>
      <c r="L103"/>
    </row>
    <row r="104" spans="1:13" ht="12.75" customHeight="1" x14ac:dyDescent="0.2">
      <c r="A104">
        <f>+MAX($A$7:A103)+1</f>
        <v>82</v>
      </c>
      <c r="B104" s="65" t="s">
        <v>412</v>
      </c>
      <c r="C104" t="s">
        <v>413</v>
      </c>
      <c r="D104" t="s">
        <v>104</v>
      </c>
      <c r="E104" s="28">
        <v>10</v>
      </c>
      <c r="F104" s="13">
        <v>98.063400000000001</v>
      </c>
      <c r="G104" s="14">
        <f t="shared" si="2"/>
        <v>1.34E-2</v>
      </c>
      <c r="H104" s="14"/>
      <c r="I104" s="15">
        <v>44091</v>
      </c>
      <c r="J104"/>
      <c r="K104" s="36"/>
      <c r="L104"/>
    </row>
    <row r="105" spans="1:13" ht="12.75" customHeight="1" x14ac:dyDescent="0.2">
      <c r="A105">
        <f>+MAX($A$7:A104)+1</f>
        <v>83</v>
      </c>
      <c r="B105" s="65" t="s">
        <v>508</v>
      </c>
      <c r="C105" t="s">
        <v>487</v>
      </c>
      <c r="D105" t="s">
        <v>481</v>
      </c>
      <c r="E105" s="28">
        <v>10</v>
      </c>
      <c r="F105" s="13">
        <v>66.638599999999997</v>
      </c>
      <c r="G105" s="14">
        <f t="shared" si="2"/>
        <v>9.1000000000000004E-3</v>
      </c>
      <c r="H105" s="14"/>
      <c r="I105" s="15">
        <v>43826</v>
      </c>
      <c r="J105"/>
      <c r="K105" s="36"/>
      <c r="L105"/>
    </row>
    <row r="106" spans="1:13" ht="12.75" customHeight="1" x14ac:dyDescent="0.2">
      <c r="A106">
        <f>+MAX($A$7:A105)+1</f>
        <v>84</v>
      </c>
      <c r="B106" s="65" t="s">
        <v>539</v>
      </c>
      <c r="C106" t="s">
        <v>464</v>
      </c>
      <c r="D106" t="s">
        <v>104</v>
      </c>
      <c r="E106" s="28">
        <v>4</v>
      </c>
      <c r="F106" s="13">
        <v>50.915999999999997</v>
      </c>
      <c r="G106" s="14">
        <f t="shared" si="2"/>
        <v>6.8999999999999999E-3</v>
      </c>
      <c r="H106" s="14"/>
      <c r="I106" s="15">
        <v>44401</v>
      </c>
      <c r="J106"/>
      <c r="K106" s="36"/>
      <c r="L106"/>
    </row>
    <row r="107" spans="1:13" ht="12.75" customHeight="1" x14ac:dyDescent="0.2">
      <c r="B107" s="18" t="s">
        <v>82</v>
      </c>
      <c r="C107" s="18"/>
      <c r="D107" s="18"/>
      <c r="E107" s="29"/>
      <c r="F107" s="19">
        <f>SUM(F101:F106)</f>
        <v>732.07725000000005</v>
      </c>
      <c r="G107" s="20">
        <f>SUM(G101:G106)</f>
        <v>9.9900000000000003E-2</v>
      </c>
      <c r="H107" s="20"/>
      <c r="I107" s="21"/>
      <c r="J107"/>
      <c r="K107" s="36"/>
      <c r="L107"/>
    </row>
    <row r="108" spans="1:13" x14ac:dyDescent="0.2">
      <c r="F108" s="44"/>
      <c r="G108" s="14"/>
      <c r="H108" s="14"/>
      <c r="I108" s="15"/>
      <c r="J108" s="56"/>
      <c r="K108" s="48"/>
      <c r="L108" s="46"/>
      <c r="M108" s="46"/>
    </row>
    <row r="109" spans="1:13" ht="12.75" customHeight="1" x14ac:dyDescent="0.2">
      <c r="B109" s="16" t="s">
        <v>89</v>
      </c>
      <c r="F109" s="13"/>
      <c r="G109" s="14"/>
      <c r="H109" s="14"/>
      <c r="I109" s="33"/>
      <c r="J109"/>
      <c r="K109" s="36"/>
      <c r="L109"/>
    </row>
    <row r="110" spans="1:13" ht="12.75" customHeight="1" x14ac:dyDescent="0.2">
      <c r="A110">
        <f>+MAX($A$7:A109)+1</f>
        <v>85</v>
      </c>
      <c r="B110" t="s">
        <v>368</v>
      </c>
      <c r="C110" t="s">
        <v>299</v>
      </c>
      <c r="D110" t="s">
        <v>279</v>
      </c>
      <c r="E110" s="28">
        <v>9842.8194000000003</v>
      </c>
      <c r="F110" s="13">
        <v>171.04483429999999</v>
      </c>
      <c r="G110" s="14">
        <f>+ROUND(F110/VLOOKUP("Grand Total",$B$4:$F$327,5,0),4)</f>
        <v>2.3300000000000001E-2</v>
      </c>
      <c r="H110" s="14"/>
      <c r="I110" s="33" t="s">
        <v>313</v>
      </c>
      <c r="J110"/>
      <c r="K110" s="36"/>
      <c r="L110"/>
    </row>
    <row r="111" spans="1:13" ht="12.75" customHeight="1" x14ac:dyDescent="0.2">
      <c r="B111" s="18" t="s">
        <v>82</v>
      </c>
      <c r="C111" s="18"/>
      <c r="D111" s="18"/>
      <c r="E111" s="29"/>
      <c r="F111" s="19">
        <f>SUM(F110)</f>
        <v>171.04483429999999</v>
      </c>
      <c r="G111" s="20">
        <f>SUM(G110)</f>
        <v>2.3300000000000001E-2</v>
      </c>
      <c r="H111" s="20"/>
      <c r="I111" s="21"/>
      <c r="J111"/>
      <c r="K111" s="36"/>
      <c r="L111"/>
    </row>
    <row r="112" spans="1:13" x14ac:dyDescent="0.2">
      <c r="F112" s="44"/>
      <c r="G112" s="14"/>
      <c r="H112" s="14"/>
      <c r="I112" s="15"/>
      <c r="J112" s="56"/>
      <c r="K112" s="48"/>
      <c r="L112" s="46"/>
      <c r="M112" s="46"/>
    </row>
    <row r="113" spans="1:12" x14ac:dyDescent="0.2">
      <c r="B113" s="16" t="s">
        <v>91</v>
      </c>
      <c r="C113" s="16"/>
      <c r="F113" s="13"/>
      <c r="G113" s="14"/>
      <c r="H113" s="14"/>
      <c r="I113" s="15"/>
      <c r="J113" s="56"/>
    </row>
    <row r="114" spans="1:12" x14ac:dyDescent="0.2">
      <c r="A114" s="94" t="s">
        <v>312</v>
      </c>
      <c r="B114" s="16" t="s">
        <v>633</v>
      </c>
      <c r="C114" s="16"/>
      <c r="F114" s="13">
        <v>296.75894070000004</v>
      </c>
      <c r="G114" s="14">
        <f>+ROUND(F114/VLOOKUP("Grand Total",$B$4:$F$303,5,0),4)</f>
        <v>4.0500000000000001E-2</v>
      </c>
      <c r="H114" s="14"/>
      <c r="I114" s="15">
        <v>43346</v>
      </c>
      <c r="J114" s="56"/>
      <c r="K114" s="36"/>
      <c r="L114"/>
    </row>
    <row r="115" spans="1:12" x14ac:dyDescent="0.2">
      <c r="B115" s="16" t="s">
        <v>92</v>
      </c>
      <c r="C115" s="16"/>
      <c r="F115" s="44">
        <f>+F117-SUMIF($B$5:B113,"Total",$F$5:F113)-VLOOKUP(B114,$B$7:F115,5,0)</f>
        <v>698.89272599999777</v>
      </c>
      <c r="G115" s="45">
        <f>+ROUND(F115/VLOOKUP("Grand Total",$B$4:$F$303,5,0),4)+0.02%</f>
        <v>9.5600000000000004E-2</v>
      </c>
      <c r="H115" s="45"/>
      <c r="I115" s="15"/>
      <c r="J115" s="56"/>
    </row>
    <row r="116" spans="1:12" x14ac:dyDescent="0.2">
      <c r="B116" s="18" t="s">
        <v>82</v>
      </c>
      <c r="C116" s="18"/>
      <c r="D116" s="18"/>
      <c r="E116" s="29"/>
      <c r="F116" s="19">
        <f>SUM(F114:F115)</f>
        <v>995.6516666999978</v>
      </c>
      <c r="G116" s="20">
        <f>SUM(G114:G115)</f>
        <v>0.1361</v>
      </c>
      <c r="H116" s="20"/>
      <c r="I116" s="21"/>
      <c r="J116" s="55"/>
    </row>
    <row r="117" spans="1:12" x14ac:dyDescent="0.2">
      <c r="B117" s="22" t="s">
        <v>93</v>
      </c>
      <c r="C117" s="22"/>
      <c r="D117" s="22"/>
      <c r="E117" s="30"/>
      <c r="F117" s="23">
        <v>7328.4928109999983</v>
      </c>
      <c r="G117" s="24">
        <f>+SUMIF($B$5:B116,"Total",$G$5:G116)</f>
        <v>0.99999999999999989</v>
      </c>
      <c r="H117" s="24"/>
      <c r="I117" s="25"/>
      <c r="J117" s="39"/>
    </row>
    <row r="118" spans="1:12" x14ac:dyDescent="0.2">
      <c r="F118" s="40"/>
      <c r="L118"/>
    </row>
    <row r="119" spans="1:12" x14ac:dyDescent="0.2">
      <c r="B119" s="16" t="s">
        <v>483</v>
      </c>
      <c r="C119" s="16"/>
      <c r="L119"/>
    </row>
    <row r="120" spans="1:12" x14ac:dyDescent="0.2">
      <c r="B120" s="16" t="s">
        <v>166</v>
      </c>
      <c r="C120" s="16"/>
      <c r="L120"/>
    </row>
    <row r="121" spans="1:12" x14ac:dyDescent="0.2">
      <c r="B121" s="53"/>
      <c r="L121"/>
    </row>
    <row r="122" spans="1:12" x14ac:dyDescent="0.2">
      <c r="L122"/>
    </row>
    <row r="123" spans="1:12" x14ac:dyDescent="0.2">
      <c r="L123"/>
    </row>
    <row r="124" spans="1:12" x14ac:dyDescent="0.2">
      <c r="L124"/>
    </row>
    <row r="125" spans="1:12" x14ac:dyDescent="0.2">
      <c r="L125"/>
    </row>
    <row r="126" spans="1:12" x14ac:dyDescent="0.2">
      <c r="L126"/>
    </row>
    <row r="127" spans="1:12" x14ac:dyDescent="0.2">
      <c r="L127"/>
    </row>
    <row r="128" spans="1:12" x14ac:dyDescent="0.2">
      <c r="L128"/>
    </row>
    <row r="129" spans="5:12" x14ac:dyDescent="0.2"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</sheetData>
  <sortState ref="K9:L37">
    <sortCondition descending="1" ref="L9:L37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6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3" t="s">
        <v>314</v>
      </c>
      <c r="B1" s="128" t="s">
        <v>734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t="s">
        <v>566</v>
      </c>
      <c r="C9" t="s">
        <v>567</v>
      </c>
      <c r="D9" s="65" t="s">
        <v>135</v>
      </c>
      <c r="E9" s="28">
        <v>3249</v>
      </c>
      <c r="F9" s="13">
        <v>23.5633725</v>
      </c>
      <c r="G9" s="14">
        <f t="shared" ref="G9:G40" si="0">+ROUND(F9/VLOOKUP("Grand Total",$B$4:$F$337,5,0),4)</f>
        <v>1.26E-2</v>
      </c>
      <c r="H9" s="15"/>
      <c r="J9" s="14" t="s">
        <v>22</v>
      </c>
      <c r="K9" s="48">
        <f t="shared" ref="K9:K36" si="1">SUMIFS($G$5:$G$374,$D$5:$D$374,J9)</f>
        <v>0.12639999999999998</v>
      </c>
    </row>
    <row r="10" spans="1:16" ht="12.75" customHeight="1" x14ac:dyDescent="0.2">
      <c r="A10">
        <f>+MAX($A$8:A9)+1</f>
        <v>2</v>
      </c>
      <c r="B10" t="s">
        <v>229</v>
      </c>
      <c r="C10" t="s">
        <v>118</v>
      </c>
      <c r="D10" t="s">
        <v>17</v>
      </c>
      <c r="E10" s="28">
        <v>1362</v>
      </c>
      <c r="F10" s="13">
        <v>22.319775</v>
      </c>
      <c r="G10" s="14">
        <f t="shared" si="0"/>
        <v>1.1900000000000001E-2</v>
      </c>
      <c r="H10" s="15"/>
      <c r="J10" s="14" t="s">
        <v>24</v>
      </c>
      <c r="K10" s="48">
        <f t="shared" si="1"/>
        <v>0.11409999999999999</v>
      </c>
    </row>
    <row r="11" spans="1:16" ht="12.75" customHeight="1" x14ac:dyDescent="0.2">
      <c r="A11">
        <f>+MAX($A$8:A10)+1</f>
        <v>3</v>
      </c>
      <c r="B11" t="s">
        <v>38</v>
      </c>
      <c r="C11" t="s">
        <v>40</v>
      </c>
      <c r="D11" t="s">
        <v>9</v>
      </c>
      <c r="E11" s="28">
        <v>14510</v>
      </c>
      <c r="F11" s="13">
        <v>22.193045000000001</v>
      </c>
      <c r="G11" s="14">
        <f t="shared" si="0"/>
        <v>1.18E-2</v>
      </c>
      <c r="H11" s="15"/>
      <c r="J11" s="14" t="s">
        <v>9</v>
      </c>
      <c r="K11" s="48">
        <f t="shared" si="1"/>
        <v>9.2200000000000004E-2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572</v>
      </c>
      <c r="C12" t="s">
        <v>573</v>
      </c>
      <c r="D12" t="s">
        <v>24</v>
      </c>
      <c r="E12" s="28">
        <v>1512</v>
      </c>
      <c r="F12" s="13">
        <v>21.956507999999999</v>
      </c>
      <c r="G12" s="14">
        <f t="shared" si="0"/>
        <v>1.17E-2</v>
      </c>
      <c r="H12" s="15"/>
      <c r="J12" s="14" t="s">
        <v>21</v>
      </c>
      <c r="K12" s="48">
        <f t="shared" si="1"/>
        <v>7.22E-2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336</v>
      </c>
      <c r="C13" t="s">
        <v>335</v>
      </c>
      <c r="D13" t="s">
        <v>24</v>
      </c>
      <c r="E13" s="28">
        <v>4577</v>
      </c>
      <c r="F13" s="13">
        <v>21.912387500000001</v>
      </c>
      <c r="G13" s="14">
        <f t="shared" si="0"/>
        <v>1.17E-2</v>
      </c>
      <c r="H13" s="15"/>
      <c r="J13" s="14" t="s">
        <v>13</v>
      </c>
      <c r="K13" s="48">
        <f t="shared" si="1"/>
        <v>6.3600000000000004E-2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195</v>
      </c>
      <c r="C14" t="s">
        <v>27</v>
      </c>
      <c r="D14" t="s">
        <v>9</v>
      </c>
      <c r="E14" s="28">
        <v>3354</v>
      </c>
      <c r="F14" s="13">
        <v>21.775845</v>
      </c>
      <c r="G14" s="14">
        <f t="shared" si="0"/>
        <v>1.1599999999999999E-2</v>
      </c>
      <c r="H14" s="15"/>
      <c r="J14" s="14" t="s">
        <v>19</v>
      </c>
      <c r="K14" s="48">
        <f t="shared" si="1"/>
        <v>6.2999999999999987E-2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518</v>
      </c>
      <c r="C15" t="s">
        <v>594</v>
      </c>
      <c r="D15" t="s">
        <v>21</v>
      </c>
      <c r="E15" s="28">
        <v>678</v>
      </c>
      <c r="F15" s="13">
        <v>21.694305</v>
      </c>
      <c r="G15" s="14">
        <f t="shared" si="0"/>
        <v>1.1599999999999999E-2</v>
      </c>
      <c r="H15" s="15"/>
      <c r="J15" s="14" t="s">
        <v>17</v>
      </c>
      <c r="K15" s="48">
        <f t="shared" si="1"/>
        <v>5.5799999999999995E-2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182</v>
      </c>
      <c r="C16" t="s">
        <v>51</v>
      </c>
      <c r="D16" t="s">
        <v>17</v>
      </c>
      <c r="E16" s="28">
        <v>484</v>
      </c>
      <c r="F16" s="13">
        <v>21.66142</v>
      </c>
      <c r="G16" s="14">
        <f t="shared" si="0"/>
        <v>1.15E-2</v>
      </c>
      <c r="H16" s="15"/>
      <c r="J16" s="14" t="s">
        <v>101</v>
      </c>
      <c r="K16" s="48">
        <f t="shared" si="1"/>
        <v>3.95E-2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172</v>
      </c>
      <c r="C17" t="s">
        <v>29</v>
      </c>
      <c r="D17" t="s">
        <v>28</v>
      </c>
      <c r="E17" s="28">
        <v>1741</v>
      </c>
      <c r="F17" s="13">
        <v>21.617126499999998</v>
      </c>
      <c r="G17" s="14">
        <f t="shared" si="0"/>
        <v>1.15E-2</v>
      </c>
      <c r="H17" s="15"/>
      <c r="J17" s="14" t="s">
        <v>28</v>
      </c>
      <c r="K17" s="48">
        <f t="shared" si="1"/>
        <v>3.5799999999999998E-2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241</v>
      </c>
      <c r="C18" t="s">
        <v>307</v>
      </c>
      <c r="D18" t="s">
        <v>22</v>
      </c>
      <c r="E18" s="28">
        <v>755</v>
      </c>
      <c r="F18" s="13">
        <v>21.567329999999998</v>
      </c>
      <c r="G18" s="14">
        <f t="shared" si="0"/>
        <v>1.15E-2</v>
      </c>
      <c r="H18" s="15"/>
      <c r="J18" s="14" t="s">
        <v>102</v>
      </c>
      <c r="K18" s="48">
        <f t="shared" si="1"/>
        <v>0.03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570</v>
      </c>
      <c r="C19" t="s">
        <v>571</v>
      </c>
      <c r="D19" t="s">
        <v>36</v>
      </c>
      <c r="E19" s="28">
        <v>98</v>
      </c>
      <c r="F19" s="13">
        <v>21.550542999999998</v>
      </c>
      <c r="G19" s="14">
        <f t="shared" si="0"/>
        <v>1.15E-2</v>
      </c>
      <c r="H19" s="15"/>
      <c r="J19" s="14" t="s">
        <v>36</v>
      </c>
      <c r="K19" s="48">
        <f t="shared" si="1"/>
        <v>3.0000000000000002E-2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484</v>
      </c>
      <c r="C20" t="s">
        <v>121</v>
      </c>
      <c r="D20" t="s">
        <v>17</v>
      </c>
      <c r="E20" s="28">
        <v>113</v>
      </c>
      <c r="F20" s="13">
        <v>21.386153999999998</v>
      </c>
      <c r="G20" s="14">
        <f t="shared" si="0"/>
        <v>1.14E-2</v>
      </c>
      <c r="H20" s="15"/>
      <c r="J20" s="14" t="s">
        <v>34</v>
      </c>
      <c r="K20" s="48">
        <f t="shared" si="1"/>
        <v>2.93E-2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179</v>
      </c>
      <c r="C21" t="s">
        <v>44</v>
      </c>
      <c r="D21" t="s">
        <v>24</v>
      </c>
      <c r="E21" s="28">
        <v>6649</v>
      </c>
      <c r="F21" s="13">
        <v>21.266826500000001</v>
      </c>
      <c r="G21" s="14">
        <f t="shared" si="0"/>
        <v>1.1299999999999999E-2</v>
      </c>
      <c r="H21" s="15"/>
      <c r="J21" s="14" t="s">
        <v>43</v>
      </c>
      <c r="K21" s="48">
        <f t="shared" si="1"/>
        <v>2.9199999999999997E-2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251</v>
      </c>
      <c r="C22" t="s">
        <v>157</v>
      </c>
      <c r="D22" t="s">
        <v>45</v>
      </c>
      <c r="E22" s="28">
        <v>8399</v>
      </c>
      <c r="F22" s="13">
        <v>20.833719500000001</v>
      </c>
      <c r="G22" s="14">
        <f t="shared" si="0"/>
        <v>1.11E-2</v>
      </c>
      <c r="H22" s="15"/>
      <c r="J22" s="14" t="s">
        <v>35</v>
      </c>
      <c r="K22" s="48">
        <f t="shared" si="1"/>
        <v>2.7E-2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228</v>
      </c>
      <c r="C23" t="s">
        <v>116</v>
      </c>
      <c r="D23" t="s">
        <v>17</v>
      </c>
      <c r="E23" s="28">
        <v>8602</v>
      </c>
      <c r="F23" s="13">
        <v>20.760926999999999</v>
      </c>
      <c r="G23" s="14">
        <f t="shared" si="0"/>
        <v>1.11E-2</v>
      </c>
      <c r="H23" s="15"/>
      <c r="J23" s="14" t="s">
        <v>135</v>
      </c>
      <c r="K23" s="48">
        <f t="shared" si="1"/>
        <v>2.2100000000000002E-2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358</v>
      </c>
      <c r="C24" t="s">
        <v>359</v>
      </c>
      <c r="D24" t="s">
        <v>102</v>
      </c>
      <c r="E24" s="28">
        <v>5232</v>
      </c>
      <c r="F24" s="13">
        <v>20.737031999999999</v>
      </c>
      <c r="G24" s="14">
        <f t="shared" si="0"/>
        <v>1.11E-2</v>
      </c>
      <c r="H24" s="15"/>
      <c r="J24" s="14" t="s">
        <v>45</v>
      </c>
      <c r="K24" s="48">
        <f t="shared" si="1"/>
        <v>2.1400000000000002E-2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217</v>
      </c>
      <c r="C25" t="s">
        <v>107</v>
      </c>
      <c r="D25" t="s">
        <v>13</v>
      </c>
      <c r="E25" s="28">
        <v>6827</v>
      </c>
      <c r="F25" s="13">
        <v>20.566337499999999</v>
      </c>
      <c r="G25" s="14">
        <f t="shared" si="0"/>
        <v>1.0999999999999999E-2</v>
      </c>
      <c r="H25" s="15"/>
      <c r="J25" s="14" t="s">
        <v>95</v>
      </c>
      <c r="K25" s="48">
        <f t="shared" si="1"/>
        <v>2.01E-2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193</v>
      </c>
      <c r="C26" t="s">
        <v>59</v>
      </c>
      <c r="D26" t="s">
        <v>21</v>
      </c>
      <c r="E26" s="28">
        <v>2885</v>
      </c>
      <c r="F26" s="13">
        <v>20.562837500000001</v>
      </c>
      <c r="G26" s="14">
        <f t="shared" si="0"/>
        <v>1.0999999999999999E-2</v>
      </c>
      <c r="H26" s="15"/>
      <c r="J26" s="14" t="s">
        <v>49</v>
      </c>
      <c r="K26" s="48">
        <f t="shared" si="1"/>
        <v>1.9699999999999999E-2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175</v>
      </c>
      <c r="C27" t="s">
        <v>23</v>
      </c>
      <c r="D27" t="s">
        <v>13</v>
      </c>
      <c r="E27" s="28">
        <v>1949</v>
      </c>
      <c r="F27" s="13">
        <v>20.395310500000001</v>
      </c>
      <c r="G27" s="14">
        <f t="shared" si="0"/>
        <v>1.09E-2</v>
      </c>
      <c r="H27" s="15"/>
      <c r="J27" t="s">
        <v>32</v>
      </c>
      <c r="K27" s="48">
        <f t="shared" si="1"/>
        <v>1.7299999999999999E-2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171</v>
      </c>
      <c r="C28" t="s">
        <v>14</v>
      </c>
      <c r="D28" t="s">
        <v>13</v>
      </c>
      <c r="E28" s="28">
        <v>1413</v>
      </c>
      <c r="F28" s="13">
        <v>20.362743000000002</v>
      </c>
      <c r="G28" s="14">
        <f t="shared" si="0"/>
        <v>1.09E-2</v>
      </c>
      <c r="H28" s="15"/>
      <c r="J28" s="14" t="s">
        <v>98</v>
      </c>
      <c r="K28" s="48">
        <f t="shared" si="1"/>
        <v>1.6899999999999998E-2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194</v>
      </c>
      <c r="C29" t="s">
        <v>18</v>
      </c>
      <c r="D29" t="s">
        <v>13</v>
      </c>
      <c r="E29" s="28">
        <v>974</v>
      </c>
      <c r="F29" s="13">
        <v>20.243615999999999</v>
      </c>
      <c r="G29" s="14">
        <f t="shared" si="0"/>
        <v>1.0800000000000001E-2</v>
      </c>
      <c r="H29" s="15"/>
      <c r="J29" s="14" t="s">
        <v>39</v>
      </c>
      <c r="K29" s="48">
        <f t="shared" si="1"/>
        <v>1.0800000000000001E-2</v>
      </c>
      <c r="N29" s="14"/>
      <c r="P29" s="14"/>
    </row>
    <row r="30" spans="1:16" ht="12.75" customHeight="1" x14ac:dyDescent="0.2">
      <c r="A30">
        <f>+MAX($A$8:A29)+1</f>
        <v>22</v>
      </c>
      <c r="B30" t="s">
        <v>595</v>
      </c>
      <c r="C30" t="s">
        <v>596</v>
      </c>
      <c r="D30" t="s">
        <v>39</v>
      </c>
      <c r="E30" s="28">
        <v>2635</v>
      </c>
      <c r="F30" s="13">
        <v>20.240752499999999</v>
      </c>
      <c r="G30" s="14">
        <f t="shared" si="0"/>
        <v>1.0800000000000001E-2</v>
      </c>
      <c r="H30" s="15"/>
      <c r="J30" s="14" t="s">
        <v>125</v>
      </c>
      <c r="K30" s="48">
        <f t="shared" si="1"/>
        <v>1.0500000000000001E-2</v>
      </c>
      <c r="N30" s="14"/>
      <c r="P30" s="14"/>
    </row>
    <row r="31" spans="1:16" ht="12.75" customHeight="1" x14ac:dyDescent="0.2">
      <c r="A31">
        <f>+MAX($A$8:A30)+1</f>
        <v>23</v>
      </c>
      <c r="B31" t="s">
        <v>173</v>
      </c>
      <c r="C31" t="s">
        <v>10</v>
      </c>
      <c r="D31" t="s">
        <v>9</v>
      </c>
      <c r="E31" s="28">
        <v>5864</v>
      </c>
      <c r="F31" s="13">
        <v>20.090063999999998</v>
      </c>
      <c r="G31" s="14">
        <f t="shared" si="0"/>
        <v>1.0699999999999999E-2</v>
      </c>
      <c r="H31" s="15"/>
      <c r="J31" t="s">
        <v>126</v>
      </c>
      <c r="K31" s="48">
        <f t="shared" si="1"/>
        <v>1.04E-2</v>
      </c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15</v>
      </c>
      <c r="C32" t="s">
        <v>16</v>
      </c>
      <c r="D32" t="s">
        <v>9</v>
      </c>
      <c r="E32" s="28">
        <v>6457</v>
      </c>
      <c r="F32" s="13">
        <v>19.990872</v>
      </c>
      <c r="G32" s="14">
        <f t="shared" si="0"/>
        <v>1.0699999999999999E-2</v>
      </c>
      <c r="H32" s="15"/>
      <c r="J32" s="14" t="s">
        <v>30</v>
      </c>
      <c r="K32" s="48">
        <f t="shared" si="1"/>
        <v>1.03E-2</v>
      </c>
      <c r="L32" s="54">
        <f>+SUM($K$9:K32)</f>
        <v>0.9675999999999999</v>
      </c>
    </row>
    <row r="33" spans="1:13" ht="12.75" customHeight="1" x14ac:dyDescent="0.2">
      <c r="A33">
        <f>+MAX($A$8:A32)+1</f>
        <v>25</v>
      </c>
      <c r="B33" t="s">
        <v>181</v>
      </c>
      <c r="C33" t="s">
        <v>46</v>
      </c>
      <c r="D33" t="s">
        <v>24</v>
      </c>
      <c r="E33" s="28">
        <v>296</v>
      </c>
      <c r="F33" s="13">
        <v>19.94078</v>
      </c>
      <c r="G33" s="14">
        <f t="shared" si="0"/>
        <v>1.06E-2</v>
      </c>
      <c r="H33" s="15"/>
      <c r="J33" t="s">
        <v>565</v>
      </c>
      <c r="K33" s="48">
        <f t="shared" si="1"/>
        <v>1.01E-2</v>
      </c>
    </row>
    <row r="34" spans="1:13" ht="12.75" customHeight="1" x14ac:dyDescent="0.2">
      <c r="A34">
        <f>+MAX($A$8:A33)+1</f>
        <v>26</v>
      </c>
      <c r="B34" t="s">
        <v>354</v>
      </c>
      <c r="C34" t="s">
        <v>66</v>
      </c>
      <c r="D34" t="s">
        <v>21</v>
      </c>
      <c r="E34" s="28">
        <v>3054</v>
      </c>
      <c r="F34" s="13">
        <v>19.938039</v>
      </c>
      <c r="G34" s="14">
        <f t="shared" si="0"/>
        <v>1.06E-2</v>
      </c>
      <c r="H34" s="15"/>
      <c r="J34" t="s">
        <v>26</v>
      </c>
      <c r="K34" s="48">
        <f t="shared" si="1"/>
        <v>9.9000000000000008E-3</v>
      </c>
      <c r="M34" s="14"/>
    </row>
    <row r="35" spans="1:13" ht="12.75" customHeight="1" x14ac:dyDescent="0.2">
      <c r="A35">
        <f>+MAX($A$8:A34)+1</f>
        <v>27</v>
      </c>
      <c r="B35" t="s">
        <v>214</v>
      </c>
      <c r="C35" t="s">
        <v>103</v>
      </c>
      <c r="D35" t="s">
        <v>95</v>
      </c>
      <c r="E35" s="28">
        <v>11050</v>
      </c>
      <c r="F35" s="13">
        <v>19.895524999999999</v>
      </c>
      <c r="G35" s="14">
        <f t="shared" si="0"/>
        <v>1.06E-2</v>
      </c>
      <c r="H35" s="15"/>
      <c r="J35" t="s">
        <v>294</v>
      </c>
      <c r="K35" s="48">
        <f t="shared" si="1"/>
        <v>9.4000000000000004E-3</v>
      </c>
    </row>
    <row r="36" spans="1:13" ht="12.75" customHeight="1" x14ac:dyDescent="0.2">
      <c r="A36">
        <f>+MAX($A$8:A35)+1</f>
        <v>28</v>
      </c>
      <c r="B36" t="s">
        <v>568</v>
      </c>
      <c r="C36" t="s">
        <v>569</v>
      </c>
      <c r="D36" t="s">
        <v>22</v>
      </c>
      <c r="E36" s="28">
        <v>10903</v>
      </c>
      <c r="F36" s="13">
        <v>19.778041999999999</v>
      </c>
      <c r="G36" s="14">
        <f t="shared" si="0"/>
        <v>1.0500000000000001E-2</v>
      </c>
      <c r="H36" s="15"/>
      <c r="J36" s="14" t="s">
        <v>345</v>
      </c>
      <c r="K36" s="48">
        <f t="shared" si="1"/>
        <v>5.0000000000000001E-4</v>
      </c>
    </row>
    <row r="37" spans="1:13" ht="12.75" customHeight="1" x14ac:dyDescent="0.2">
      <c r="A37">
        <f>+MAX($A$8:A36)+1</f>
        <v>29</v>
      </c>
      <c r="B37" t="s">
        <v>250</v>
      </c>
      <c r="C37" t="s">
        <v>147</v>
      </c>
      <c r="D37" t="s">
        <v>125</v>
      </c>
      <c r="E37" s="28">
        <v>2754</v>
      </c>
      <c r="F37" s="13">
        <v>19.699362000000001</v>
      </c>
      <c r="G37" s="14">
        <f t="shared" si="0"/>
        <v>1.0500000000000001E-2</v>
      </c>
      <c r="H37" s="15"/>
      <c r="J37" s="14" t="s">
        <v>62</v>
      </c>
      <c r="K37" s="48">
        <f>+SUMIFS($G$5:$G$1002,$B$5:$B$1002,"CBLO / Reverse Repo")+SUMIFS($G$5:$G$1002,$B$5:$B$1002,"Net Receivable/Payable")</f>
        <v>2.5000000000000001E-3</v>
      </c>
    </row>
    <row r="38" spans="1:13" ht="12.75" customHeight="1" x14ac:dyDescent="0.2">
      <c r="A38">
        <f>+MAX($A$8:A37)+1</f>
        <v>30</v>
      </c>
      <c r="B38" t="s">
        <v>561</v>
      </c>
      <c r="C38" t="s">
        <v>562</v>
      </c>
      <c r="D38" t="s">
        <v>126</v>
      </c>
      <c r="E38" s="28">
        <v>1678</v>
      </c>
      <c r="F38" s="13">
        <v>19.609946999999998</v>
      </c>
      <c r="G38" s="14">
        <f t="shared" si="0"/>
        <v>1.04E-2</v>
      </c>
      <c r="H38" s="15"/>
    </row>
    <row r="39" spans="1:13" ht="12.75" customHeight="1" x14ac:dyDescent="0.2">
      <c r="A39">
        <f>+MAX($A$8:A38)+1</f>
        <v>31</v>
      </c>
      <c r="B39" t="s">
        <v>220</v>
      </c>
      <c r="C39" t="s">
        <v>109</v>
      </c>
      <c r="D39" t="s">
        <v>13</v>
      </c>
      <c r="E39" s="28">
        <v>2551</v>
      </c>
      <c r="F39" s="13">
        <v>19.535558000000002</v>
      </c>
      <c r="G39" s="14">
        <f t="shared" si="0"/>
        <v>1.04E-2</v>
      </c>
      <c r="H39" s="15"/>
    </row>
    <row r="40" spans="1:13" ht="12.75" customHeight="1" x14ac:dyDescent="0.2">
      <c r="A40">
        <f>+MAX($A$8:A39)+1</f>
        <v>32</v>
      </c>
      <c r="B40" t="s">
        <v>586</v>
      </c>
      <c r="C40" t="s">
        <v>587</v>
      </c>
      <c r="D40" t="s">
        <v>24</v>
      </c>
      <c r="E40" s="28">
        <v>5286</v>
      </c>
      <c r="F40" s="13">
        <v>19.529126999999999</v>
      </c>
      <c r="G40" s="14">
        <f t="shared" si="0"/>
        <v>1.04E-2</v>
      </c>
      <c r="H40" s="15"/>
    </row>
    <row r="41" spans="1:13" ht="12.75" customHeight="1" x14ac:dyDescent="0.2">
      <c r="A41">
        <f>+MAX($A$8:A40)+1</f>
        <v>33</v>
      </c>
      <c r="B41" t="s">
        <v>210</v>
      </c>
      <c r="C41" t="s">
        <v>97</v>
      </c>
      <c r="D41" t="s">
        <v>24</v>
      </c>
      <c r="E41" s="28">
        <v>1096</v>
      </c>
      <c r="F41" s="13">
        <v>19.509896000000001</v>
      </c>
      <c r="G41" s="14">
        <f t="shared" ref="G41:G72" si="2">+ROUND(F41/VLOOKUP("Grand Total",$B$4:$F$337,5,0),4)</f>
        <v>1.04E-2</v>
      </c>
      <c r="H41" s="15"/>
    </row>
    <row r="42" spans="1:13" ht="12.75" customHeight="1" x14ac:dyDescent="0.2">
      <c r="A42">
        <f>+MAX($A$8:A41)+1</f>
        <v>34</v>
      </c>
      <c r="B42" t="s">
        <v>475</v>
      </c>
      <c r="C42" t="s">
        <v>476</v>
      </c>
      <c r="D42" t="s">
        <v>30</v>
      </c>
      <c r="E42" s="28">
        <v>8784</v>
      </c>
      <c r="F42" s="13">
        <v>19.395071999999999</v>
      </c>
      <c r="G42" s="14">
        <f t="shared" si="2"/>
        <v>1.03E-2</v>
      </c>
      <c r="H42" s="15"/>
    </row>
    <row r="43" spans="1:13" ht="12.75" customHeight="1" x14ac:dyDescent="0.2">
      <c r="A43">
        <f>+MAX($A$8:A42)+1</f>
        <v>35</v>
      </c>
      <c r="B43" t="s">
        <v>226</v>
      </c>
      <c r="C43" t="s">
        <v>115</v>
      </c>
      <c r="D43" t="s">
        <v>45</v>
      </c>
      <c r="E43" s="28">
        <v>5185</v>
      </c>
      <c r="F43" s="13">
        <v>19.298570000000002</v>
      </c>
      <c r="G43" s="14">
        <f t="shared" si="2"/>
        <v>1.03E-2</v>
      </c>
      <c r="H43" s="15"/>
    </row>
    <row r="44" spans="1:13" ht="12.75" customHeight="1" x14ac:dyDescent="0.2">
      <c r="A44">
        <f>+MAX($A$8:A43)+1</f>
        <v>36</v>
      </c>
      <c r="B44" t="s">
        <v>416</v>
      </c>
      <c r="C44" t="s">
        <v>417</v>
      </c>
      <c r="D44" t="s">
        <v>22</v>
      </c>
      <c r="E44" s="28">
        <v>285</v>
      </c>
      <c r="F44" s="13">
        <v>19.23123</v>
      </c>
      <c r="G44" s="14">
        <f t="shared" si="2"/>
        <v>1.0200000000000001E-2</v>
      </c>
      <c r="H44" s="15"/>
    </row>
    <row r="45" spans="1:13" ht="12.75" customHeight="1" x14ac:dyDescent="0.2">
      <c r="A45">
        <f>+MAX($A$8:A44)+1</f>
        <v>37</v>
      </c>
      <c r="B45" t="s">
        <v>221</v>
      </c>
      <c r="C45" t="s">
        <v>111</v>
      </c>
      <c r="D45" t="s">
        <v>34</v>
      </c>
      <c r="E45" s="28">
        <v>11208</v>
      </c>
      <c r="F45" s="13">
        <v>19.221720000000001</v>
      </c>
      <c r="G45" s="14">
        <f t="shared" si="2"/>
        <v>1.0200000000000001E-2</v>
      </c>
      <c r="H45" s="15"/>
    </row>
    <row r="46" spans="1:13" ht="12.75" customHeight="1" x14ac:dyDescent="0.2">
      <c r="A46">
        <f>+MAX($A$8:A45)+1</f>
        <v>38</v>
      </c>
      <c r="B46" t="s">
        <v>216</v>
      </c>
      <c r="C46" t="s">
        <v>106</v>
      </c>
      <c r="D46" t="s">
        <v>24</v>
      </c>
      <c r="E46" s="28">
        <v>1391</v>
      </c>
      <c r="F46" s="13">
        <v>19.0907795</v>
      </c>
      <c r="G46" s="14">
        <f t="shared" si="2"/>
        <v>1.0200000000000001E-2</v>
      </c>
      <c r="H46" s="15"/>
    </row>
    <row r="47" spans="1:13" ht="12.75" customHeight="1" x14ac:dyDescent="0.2">
      <c r="A47">
        <f>+MAX($A$8:A46)+1</f>
        <v>39</v>
      </c>
      <c r="B47" t="s">
        <v>504</v>
      </c>
      <c r="C47" t="s">
        <v>601</v>
      </c>
      <c r="D47" t="s">
        <v>22</v>
      </c>
      <c r="E47" s="28">
        <v>15905</v>
      </c>
      <c r="F47" s="13">
        <v>19.054189999999998</v>
      </c>
      <c r="G47" s="14">
        <f t="shared" si="2"/>
        <v>1.0200000000000001E-2</v>
      </c>
      <c r="H47" s="15"/>
    </row>
    <row r="48" spans="1:13" ht="12.75" customHeight="1" x14ac:dyDescent="0.2">
      <c r="A48">
        <f>+MAX($A$8:A47)+1</f>
        <v>40</v>
      </c>
      <c r="B48" t="s">
        <v>206</v>
      </c>
      <c r="C48" t="s">
        <v>76</v>
      </c>
      <c r="D48" t="s">
        <v>49</v>
      </c>
      <c r="E48" s="28">
        <v>6657</v>
      </c>
      <c r="F48" s="13">
        <v>19.035691499999999</v>
      </c>
      <c r="G48" s="14">
        <f t="shared" si="2"/>
        <v>1.01E-2</v>
      </c>
      <c r="H48" s="15"/>
    </row>
    <row r="49" spans="1:8" ht="12.75" customHeight="1" x14ac:dyDescent="0.2">
      <c r="A49">
        <f>+MAX($A$8:A48)+1</f>
        <v>41</v>
      </c>
      <c r="B49" t="s">
        <v>597</v>
      </c>
      <c r="C49" t="s">
        <v>598</v>
      </c>
      <c r="D49" t="s">
        <v>101</v>
      </c>
      <c r="E49" s="28">
        <v>1454</v>
      </c>
      <c r="F49" s="13">
        <v>19.024136000000002</v>
      </c>
      <c r="G49" s="14">
        <f t="shared" si="2"/>
        <v>1.01E-2</v>
      </c>
      <c r="H49" s="15"/>
    </row>
    <row r="50" spans="1:8" ht="12.75" customHeight="1" x14ac:dyDescent="0.2">
      <c r="A50">
        <f>+MAX($A$8:A49)+1</f>
        <v>42</v>
      </c>
      <c r="B50" t="s">
        <v>606</v>
      </c>
      <c r="C50" t="s">
        <v>607</v>
      </c>
      <c r="D50" t="s">
        <v>9</v>
      </c>
      <c r="E50" s="28">
        <v>21527</v>
      </c>
      <c r="F50" s="13">
        <v>18.976050499999999</v>
      </c>
      <c r="G50" s="14">
        <f t="shared" si="2"/>
        <v>1.01E-2</v>
      </c>
      <c r="H50" s="15"/>
    </row>
    <row r="51" spans="1:8" ht="12.75" customHeight="1" x14ac:dyDescent="0.2">
      <c r="A51">
        <f>+MAX($A$8:A50)+1</f>
        <v>43</v>
      </c>
      <c r="B51" t="s">
        <v>590</v>
      </c>
      <c r="C51" t="s">
        <v>591</v>
      </c>
      <c r="D51" t="s">
        <v>24</v>
      </c>
      <c r="E51" s="28">
        <v>3359</v>
      </c>
      <c r="F51" s="13">
        <v>18.966593500000002</v>
      </c>
      <c r="G51" s="14">
        <f t="shared" si="2"/>
        <v>1.01E-2</v>
      </c>
      <c r="H51" s="15"/>
    </row>
    <row r="52" spans="1:8" ht="12.75" customHeight="1" x14ac:dyDescent="0.2">
      <c r="A52">
        <f>+MAX($A$8:A51)+1</f>
        <v>44</v>
      </c>
      <c r="B52" t="s">
        <v>186</v>
      </c>
      <c r="C52" t="s">
        <v>67</v>
      </c>
      <c r="D52" t="s">
        <v>21</v>
      </c>
      <c r="E52" s="28">
        <v>2863</v>
      </c>
      <c r="F52" s="13">
        <v>18.957354500000001</v>
      </c>
      <c r="G52" s="14">
        <f t="shared" si="2"/>
        <v>1.01E-2</v>
      </c>
      <c r="H52" s="15"/>
    </row>
    <row r="53" spans="1:8" ht="12.75" customHeight="1" x14ac:dyDescent="0.2">
      <c r="A53">
        <f>+MAX($A$8:A52)+1</f>
        <v>45</v>
      </c>
      <c r="B53" t="s">
        <v>580</v>
      </c>
      <c r="C53" t="s">
        <v>581</v>
      </c>
      <c r="D53" t="s">
        <v>101</v>
      </c>
      <c r="E53" s="28">
        <v>23507</v>
      </c>
      <c r="F53" s="13">
        <v>18.946642000000001</v>
      </c>
      <c r="G53" s="14">
        <f t="shared" si="2"/>
        <v>1.01E-2</v>
      </c>
      <c r="H53" s="15"/>
    </row>
    <row r="54" spans="1:8" ht="12.75" customHeight="1" x14ac:dyDescent="0.2">
      <c r="A54">
        <f>+MAX($A$8:A53)+1</f>
        <v>46</v>
      </c>
      <c r="B54" t="s">
        <v>563</v>
      </c>
      <c r="C54" t="s">
        <v>564</v>
      </c>
      <c r="D54" t="s">
        <v>565</v>
      </c>
      <c r="E54" s="28">
        <v>1180</v>
      </c>
      <c r="F54" s="13">
        <v>18.9331</v>
      </c>
      <c r="G54" s="14">
        <f t="shared" si="2"/>
        <v>1.01E-2</v>
      </c>
      <c r="H54" s="15"/>
    </row>
    <row r="55" spans="1:8" ht="12.75" customHeight="1" x14ac:dyDescent="0.2">
      <c r="A55">
        <f>+MAX($A$8:A54)+1</f>
        <v>47</v>
      </c>
      <c r="B55" t="s">
        <v>230</v>
      </c>
      <c r="C55" t="s">
        <v>119</v>
      </c>
      <c r="D55" t="s">
        <v>43</v>
      </c>
      <c r="E55" s="28">
        <v>7942</v>
      </c>
      <c r="F55" s="13">
        <v>18.897988999999999</v>
      </c>
      <c r="G55" s="14">
        <f t="shared" si="2"/>
        <v>1.01E-2</v>
      </c>
      <c r="H55" s="15"/>
    </row>
    <row r="56" spans="1:8" ht="12.75" customHeight="1" x14ac:dyDescent="0.2">
      <c r="A56">
        <f>+MAX($A$8:A55)+1</f>
        <v>48</v>
      </c>
      <c r="B56" t="s">
        <v>227</v>
      </c>
      <c r="C56" t="s">
        <v>117</v>
      </c>
      <c r="D56" t="s">
        <v>102</v>
      </c>
      <c r="E56" s="28">
        <v>3138</v>
      </c>
      <c r="F56" s="13">
        <v>18.843689999999999</v>
      </c>
      <c r="G56" s="14">
        <f t="shared" si="2"/>
        <v>0.01</v>
      </c>
      <c r="H56" s="15"/>
    </row>
    <row r="57" spans="1:8" ht="12.75" customHeight="1" x14ac:dyDescent="0.2">
      <c r="A57">
        <f>+MAX($A$8:A56)+1</f>
        <v>49</v>
      </c>
      <c r="B57" t="s">
        <v>215</v>
      </c>
      <c r="C57" t="s">
        <v>105</v>
      </c>
      <c r="D57" t="s">
        <v>21</v>
      </c>
      <c r="E57" s="28">
        <v>755</v>
      </c>
      <c r="F57" s="13">
        <v>18.814599999999999</v>
      </c>
      <c r="G57" s="14">
        <f t="shared" si="2"/>
        <v>0.01</v>
      </c>
      <c r="H57" s="15"/>
    </row>
    <row r="58" spans="1:8" ht="12.75" customHeight="1" x14ac:dyDescent="0.2">
      <c r="A58">
        <f>+MAX($A$8:A57)+1</f>
        <v>50</v>
      </c>
      <c r="B58" t="s">
        <v>211</v>
      </c>
      <c r="C58" t="s">
        <v>96</v>
      </c>
      <c r="D58" t="s">
        <v>19</v>
      </c>
      <c r="E58" s="28">
        <v>1941</v>
      </c>
      <c r="F58" s="13">
        <v>18.736473</v>
      </c>
      <c r="G58" s="14">
        <f t="shared" si="2"/>
        <v>0.01</v>
      </c>
      <c r="H58" s="15"/>
    </row>
    <row r="59" spans="1:8" ht="12.75" customHeight="1" x14ac:dyDescent="0.2">
      <c r="A59">
        <f>+MAX($A$8:A58)+1</f>
        <v>51</v>
      </c>
      <c r="B59" t="s">
        <v>402</v>
      </c>
      <c r="C59" t="s">
        <v>403</v>
      </c>
      <c r="D59" t="s">
        <v>17</v>
      </c>
      <c r="E59" s="28">
        <v>1745</v>
      </c>
      <c r="F59" s="13">
        <v>18.627875</v>
      </c>
      <c r="G59" s="14">
        <f t="shared" si="2"/>
        <v>9.9000000000000008E-3</v>
      </c>
      <c r="H59" s="15"/>
    </row>
    <row r="60" spans="1:8" ht="12.75" customHeight="1" x14ac:dyDescent="0.2">
      <c r="A60">
        <f>+MAX($A$8:A59)+1</f>
        <v>52</v>
      </c>
      <c r="B60" t="s">
        <v>203</v>
      </c>
      <c r="C60" t="s">
        <v>69</v>
      </c>
      <c r="D60" t="s">
        <v>26</v>
      </c>
      <c r="E60" s="28">
        <v>1356</v>
      </c>
      <c r="F60" s="13">
        <v>18.571097999999999</v>
      </c>
      <c r="G60" s="14">
        <f t="shared" si="2"/>
        <v>9.9000000000000008E-3</v>
      </c>
      <c r="H60" s="15"/>
    </row>
    <row r="61" spans="1:8" ht="12.75" customHeight="1" x14ac:dyDescent="0.2">
      <c r="A61">
        <f>+MAX($A$8:A60)+1</f>
        <v>53</v>
      </c>
      <c r="B61" t="s">
        <v>297</v>
      </c>
      <c r="C61" t="s">
        <v>298</v>
      </c>
      <c r="D61" t="s">
        <v>22</v>
      </c>
      <c r="E61" s="28">
        <v>1470</v>
      </c>
      <c r="F61" s="13">
        <v>18.510974999999998</v>
      </c>
      <c r="G61" s="14">
        <f t="shared" si="2"/>
        <v>9.9000000000000008E-3</v>
      </c>
      <c r="H61" s="15"/>
    </row>
    <row r="62" spans="1:8" ht="12.75" customHeight="1" x14ac:dyDescent="0.2">
      <c r="A62">
        <f>+MAX($A$8:A61)+1</f>
        <v>54</v>
      </c>
      <c r="B62" t="s">
        <v>225</v>
      </c>
      <c r="C62" t="s">
        <v>112</v>
      </c>
      <c r="D62" t="s">
        <v>35</v>
      </c>
      <c r="E62" s="28">
        <v>4820</v>
      </c>
      <c r="F62" s="13">
        <v>18.467829999999999</v>
      </c>
      <c r="G62" s="14">
        <f t="shared" si="2"/>
        <v>9.7999999999999997E-3</v>
      </c>
      <c r="H62" s="15"/>
    </row>
    <row r="63" spans="1:8" ht="12.75" customHeight="1" x14ac:dyDescent="0.2">
      <c r="A63">
        <f>+MAX($A$8:A62)+1</f>
        <v>55</v>
      </c>
      <c r="B63" t="s">
        <v>604</v>
      </c>
      <c r="C63" t="s">
        <v>605</v>
      </c>
      <c r="D63" t="s">
        <v>22</v>
      </c>
      <c r="E63" s="28">
        <v>3544</v>
      </c>
      <c r="F63" s="13">
        <v>18.460696000000002</v>
      </c>
      <c r="G63" s="14">
        <f t="shared" si="2"/>
        <v>9.7999999999999997E-3</v>
      </c>
      <c r="H63" s="15"/>
    </row>
    <row r="64" spans="1:8" ht="12.75" customHeight="1" x14ac:dyDescent="0.2">
      <c r="A64">
        <f>+MAX($A$8:A63)+1</f>
        <v>56</v>
      </c>
      <c r="B64" t="s">
        <v>426</v>
      </c>
      <c r="C64" t="s">
        <v>635</v>
      </c>
      <c r="D64" t="s">
        <v>35</v>
      </c>
      <c r="E64" s="28">
        <v>2828</v>
      </c>
      <c r="F64" s="13">
        <v>18.434318000000001</v>
      </c>
      <c r="G64" s="14">
        <f t="shared" si="2"/>
        <v>9.7999999999999997E-3</v>
      </c>
      <c r="H64" s="15"/>
    </row>
    <row r="65" spans="1:8" ht="12.75" customHeight="1" x14ac:dyDescent="0.2">
      <c r="A65">
        <f>+MAX($A$8:A64)+1</f>
        <v>57</v>
      </c>
      <c r="B65" t="s">
        <v>208</v>
      </c>
      <c r="C65" t="s">
        <v>78</v>
      </c>
      <c r="D65" t="s">
        <v>43</v>
      </c>
      <c r="E65" s="28">
        <v>6099</v>
      </c>
      <c r="F65" s="13">
        <v>18.269554499999998</v>
      </c>
      <c r="G65" s="14">
        <f t="shared" si="2"/>
        <v>9.7000000000000003E-3</v>
      </c>
      <c r="H65" s="15"/>
    </row>
    <row r="66" spans="1:8" ht="12.75" customHeight="1" x14ac:dyDescent="0.2">
      <c r="A66">
        <f>+MAX($A$8:A65)+1</f>
        <v>58</v>
      </c>
      <c r="B66" t="s">
        <v>232</v>
      </c>
      <c r="C66" t="s">
        <v>365</v>
      </c>
      <c r="D66" t="s">
        <v>101</v>
      </c>
      <c r="E66" s="28">
        <v>16071</v>
      </c>
      <c r="F66" s="13">
        <v>18.240584999999999</v>
      </c>
      <c r="G66" s="14">
        <f t="shared" si="2"/>
        <v>9.7000000000000003E-3</v>
      </c>
      <c r="H66" s="15"/>
    </row>
    <row r="67" spans="1:8" ht="12.75" customHeight="1" x14ac:dyDescent="0.2">
      <c r="A67">
        <f>+MAX($A$8:A66)+1</f>
        <v>59</v>
      </c>
      <c r="B67" t="s">
        <v>213</v>
      </c>
      <c r="C67" t="s">
        <v>100</v>
      </c>
      <c r="D67" t="s">
        <v>21</v>
      </c>
      <c r="E67" s="28">
        <v>1953</v>
      </c>
      <c r="F67" s="13">
        <v>18.191218500000002</v>
      </c>
      <c r="G67" s="14">
        <f t="shared" si="2"/>
        <v>9.7000000000000003E-3</v>
      </c>
      <c r="H67" s="15"/>
    </row>
    <row r="68" spans="1:8" ht="12.75" customHeight="1" x14ac:dyDescent="0.2">
      <c r="A68">
        <f>+MAX($A$8:A67)+1</f>
        <v>60</v>
      </c>
      <c r="B68" t="s">
        <v>588</v>
      </c>
      <c r="C68" t="s">
        <v>589</v>
      </c>
      <c r="D68" t="s">
        <v>22</v>
      </c>
      <c r="E68" s="28">
        <v>12873</v>
      </c>
      <c r="F68" s="13">
        <v>18.1831125</v>
      </c>
      <c r="G68" s="14">
        <f t="shared" si="2"/>
        <v>9.7000000000000003E-3</v>
      </c>
      <c r="H68" s="15"/>
    </row>
    <row r="69" spans="1:8" ht="12.75" customHeight="1" x14ac:dyDescent="0.2">
      <c r="A69">
        <f>+MAX($A$8:A68)+1</f>
        <v>61</v>
      </c>
      <c r="B69" t="s">
        <v>584</v>
      </c>
      <c r="C69" t="s">
        <v>585</v>
      </c>
      <c r="D69" t="s">
        <v>24</v>
      </c>
      <c r="E69" s="28">
        <v>177</v>
      </c>
      <c r="F69" s="13">
        <v>18.1809975</v>
      </c>
      <c r="G69" s="14">
        <f t="shared" si="2"/>
        <v>9.7000000000000003E-3</v>
      </c>
      <c r="H69" s="15"/>
    </row>
    <row r="70" spans="1:8" ht="12.75" customHeight="1" x14ac:dyDescent="0.2">
      <c r="A70">
        <f>+MAX($A$8:A69)+1</f>
        <v>62</v>
      </c>
      <c r="B70" t="s">
        <v>602</v>
      </c>
      <c r="C70" t="s">
        <v>603</v>
      </c>
      <c r="D70" t="s">
        <v>22</v>
      </c>
      <c r="E70" s="28">
        <v>21474</v>
      </c>
      <c r="F70" s="13">
        <v>18.124056</v>
      </c>
      <c r="G70" s="14">
        <f t="shared" si="2"/>
        <v>9.7000000000000003E-3</v>
      </c>
      <c r="H70" s="15"/>
    </row>
    <row r="71" spans="1:8" ht="12.75" customHeight="1" x14ac:dyDescent="0.2">
      <c r="A71">
        <f>+MAX($A$8:A70)+1</f>
        <v>63</v>
      </c>
      <c r="B71" t="s">
        <v>187</v>
      </c>
      <c r="C71" t="s">
        <v>47</v>
      </c>
      <c r="D71" t="s">
        <v>19</v>
      </c>
      <c r="E71" s="28">
        <v>199</v>
      </c>
      <c r="F71" s="13">
        <v>18.101836000000002</v>
      </c>
      <c r="G71" s="14">
        <f t="shared" si="2"/>
        <v>9.5999999999999992E-3</v>
      </c>
      <c r="H71" s="15"/>
    </row>
    <row r="72" spans="1:8" ht="12.75" customHeight="1" x14ac:dyDescent="0.2">
      <c r="A72">
        <f>+MAX($A$8:A71)+1</f>
        <v>64</v>
      </c>
      <c r="B72" t="s">
        <v>599</v>
      </c>
      <c r="C72" t="s">
        <v>600</v>
      </c>
      <c r="D72" t="s">
        <v>101</v>
      </c>
      <c r="E72" s="28">
        <v>1774</v>
      </c>
      <c r="F72" s="13">
        <v>18.090364999999998</v>
      </c>
      <c r="G72" s="14">
        <f t="shared" si="2"/>
        <v>9.5999999999999992E-3</v>
      </c>
      <c r="H72" s="15"/>
    </row>
    <row r="73" spans="1:8" ht="12.75" customHeight="1" x14ac:dyDescent="0.2">
      <c r="A73">
        <f>+MAX($A$8:A72)+1</f>
        <v>65</v>
      </c>
      <c r="B73" t="s">
        <v>222</v>
      </c>
      <c r="C73" t="s">
        <v>431</v>
      </c>
      <c r="D73" t="s">
        <v>9</v>
      </c>
      <c r="E73" s="28">
        <v>5261</v>
      </c>
      <c r="F73" s="13">
        <v>18.071535000000001</v>
      </c>
      <c r="G73" s="14">
        <f t="shared" ref="G73:G104" si="3">+ROUND(F73/VLOOKUP("Grand Total",$B$4:$F$337,5,0),4)</f>
        <v>9.5999999999999992E-3</v>
      </c>
      <c r="H73" s="15"/>
    </row>
    <row r="74" spans="1:8" ht="12.75" customHeight="1" x14ac:dyDescent="0.2">
      <c r="A74">
        <f>+MAX($A$8:A73)+1</f>
        <v>66</v>
      </c>
      <c r="B74" t="s">
        <v>192</v>
      </c>
      <c r="C74" t="s">
        <v>63</v>
      </c>
      <c r="D74" t="s">
        <v>32</v>
      </c>
      <c r="E74" s="28">
        <v>4707</v>
      </c>
      <c r="F74" s="13">
        <v>18.067819499999999</v>
      </c>
      <c r="G74" s="14">
        <f t="shared" si="3"/>
        <v>9.5999999999999992E-3</v>
      </c>
      <c r="H74" s="15"/>
    </row>
    <row r="75" spans="1:8" ht="12.75" customHeight="1" x14ac:dyDescent="0.2">
      <c r="A75">
        <f>+MAX($A$8:A74)+1</f>
        <v>67</v>
      </c>
      <c r="B75" t="s">
        <v>576</v>
      </c>
      <c r="C75" t="s">
        <v>577</v>
      </c>
      <c r="D75" t="s">
        <v>13</v>
      </c>
      <c r="E75" s="28">
        <v>432</v>
      </c>
      <c r="F75" s="13">
        <v>17.972064</v>
      </c>
      <c r="G75" s="14">
        <f t="shared" si="3"/>
        <v>9.5999999999999992E-3</v>
      </c>
      <c r="H75" s="15"/>
    </row>
    <row r="76" spans="1:8" ht="12.75" customHeight="1" x14ac:dyDescent="0.2">
      <c r="A76">
        <f>+MAX($A$8:A75)+1</f>
        <v>68</v>
      </c>
      <c r="B76" t="s">
        <v>218</v>
      </c>
      <c r="C76" t="s">
        <v>110</v>
      </c>
      <c r="D76" t="s">
        <v>34</v>
      </c>
      <c r="E76" s="28">
        <v>8918</v>
      </c>
      <c r="F76" s="13">
        <v>17.96977</v>
      </c>
      <c r="G76" s="14">
        <f t="shared" si="3"/>
        <v>9.5999999999999992E-3</v>
      </c>
      <c r="H76" s="15"/>
    </row>
    <row r="77" spans="1:8" ht="12.75" customHeight="1" x14ac:dyDescent="0.2">
      <c r="A77">
        <f>+MAX($A$8:A76)+1</f>
        <v>69</v>
      </c>
      <c r="B77" t="s">
        <v>592</v>
      </c>
      <c r="C77" t="s">
        <v>593</v>
      </c>
      <c r="D77" t="s">
        <v>49</v>
      </c>
      <c r="E77" s="28">
        <v>16086</v>
      </c>
      <c r="F77" s="13">
        <v>17.935890000000001</v>
      </c>
      <c r="G77" s="14">
        <f t="shared" si="3"/>
        <v>9.5999999999999992E-3</v>
      </c>
      <c r="H77" s="15"/>
    </row>
    <row r="78" spans="1:8" ht="12.75" customHeight="1" x14ac:dyDescent="0.2">
      <c r="A78">
        <f>+MAX($A$8:A77)+1</f>
        <v>70</v>
      </c>
      <c r="B78" t="s">
        <v>524</v>
      </c>
      <c r="C78" t="s">
        <v>525</v>
      </c>
      <c r="D78" t="s">
        <v>135</v>
      </c>
      <c r="E78" s="28">
        <v>2009</v>
      </c>
      <c r="F78" s="13">
        <v>17.918271000000001</v>
      </c>
      <c r="G78" s="14">
        <f t="shared" si="3"/>
        <v>9.4999999999999998E-3</v>
      </c>
      <c r="H78" s="15"/>
    </row>
    <row r="79" spans="1:8" ht="12.75" customHeight="1" x14ac:dyDescent="0.2">
      <c r="A79">
        <f>+MAX($A$8:A78)+1</f>
        <v>71</v>
      </c>
      <c r="B79" t="s">
        <v>418</v>
      </c>
      <c r="C79" t="s">
        <v>419</v>
      </c>
      <c r="D79" t="s">
        <v>95</v>
      </c>
      <c r="E79" s="28">
        <v>8387</v>
      </c>
      <c r="F79" s="13">
        <v>17.914632000000001</v>
      </c>
      <c r="G79" s="14">
        <f t="shared" si="3"/>
        <v>9.4999999999999998E-3</v>
      </c>
      <c r="H79" s="15"/>
    </row>
    <row r="80" spans="1:8" ht="12.75" customHeight="1" x14ac:dyDescent="0.2">
      <c r="A80">
        <f>+MAX($A$8:A79)+1</f>
        <v>72</v>
      </c>
      <c r="B80" t="s">
        <v>582</v>
      </c>
      <c r="C80" t="s">
        <v>583</v>
      </c>
      <c r="D80" t="s">
        <v>34</v>
      </c>
      <c r="E80" s="28">
        <v>70662</v>
      </c>
      <c r="F80" s="13">
        <v>17.912817</v>
      </c>
      <c r="G80" s="14">
        <f t="shared" si="3"/>
        <v>9.4999999999999998E-3</v>
      </c>
      <c r="H80" s="15"/>
    </row>
    <row r="81" spans="1:8" ht="12.75" customHeight="1" x14ac:dyDescent="0.2">
      <c r="A81">
        <f>+MAX($A$8:A80)+1</f>
        <v>73</v>
      </c>
      <c r="B81" t="s">
        <v>176</v>
      </c>
      <c r="C81" t="s">
        <v>25</v>
      </c>
      <c r="D81" t="s">
        <v>22</v>
      </c>
      <c r="E81" s="28">
        <v>925</v>
      </c>
      <c r="F81" s="13">
        <v>17.9075375</v>
      </c>
      <c r="G81" s="14">
        <f t="shared" si="3"/>
        <v>9.4999999999999998E-3</v>
      </c>
      <c r="H81" s="15"/>
    </row>
    <row r="82" spans="1:8" ht="12.75" customHeight="1" x14ac:dyDescent="0.2">
      <c r="A82">
        <f>+MAX($A$8:A81)+1</f>
        <v>74</v>
      </c>
      <c r="B82" t="s">
        <v>283</v>
      </c>
      <c r="C82" t="s">
        <v>284</v>
      </c>
      <c r="D82" t="s">
        <v>294</v>
      </c>
      <c r="E82" s="28">
        <v>6164</v>
      </c>
      <c r="F82" s="13">
        <v>17.684516000000002</v>
      </c>
      <c r="G82" s="14">
        <f t="shared" si="3"/>
        <v>9.4000000000000004E-3</v>
      </c>
      <c r="H82" s="15"/>
    </row>
    <row r="83" spans="1:8" ht="12.75" customHeight="1" x14ac:dyDescent="0.2">
      <c r="A83">
        <f>+MAX($A$8:A82)+1</f>
        <v>75</v>
      </c>
      <c r="B83" t="s">
        <v>204</v>
      </c>
      <c r="C83" t="s">
        <v>75</v>
      </c>
      <c r="D83" t="s">
        <v>36</v>
      </c>
      <c r="E83" s="28">
        <v>5804</v>
      </c>
      <c r="F83" s="13">
        <v>17.649964000000001</v>
      </c>
      <c r="G83" s="14">
        <f t="shared" si="3"/>
        <v>9.4000000000000004E-3</v>
      </c>
      <c r="H83" s="15"/>
    </row>
    <row r="84" spans="1:8" ht="12.75" customHeight="1" x14ac:dyDescent="0.2">
      <c r="A84">
        <f>+MAX($A$8:A83)+1</f>
        <v>76</v>
      </c>
      <c r="B84" t="s">
        <v>363</v>
      </c>
      <c r="C84" t="s">
        <v>364</v>
      </c>
      <c r="D84" t="s">
        <v>43</v>
      </c>
      <c r="E84" s="28">
        <v>7714</v>
      </c>
      <c r="F84" s="13">
        <v>17.564778</v>
      </c>
      <c r="G84" s="14">
        <f t="shared" si="3"/>
        <v>9.4000000000000004E-3</v>
      </c>
      <c r="H84" s="15"/>
    </row>
    <row r="85" spans="1:8" ht="12.75" customHeight="1" x14ac:dyDescent="0.2">
      <c r="A85">
        <f>+MAX($A$8:A84)+1</f>
        <v>77</v>
      </c>
      <c r="B85" t="s">
        <v>231</v>
      </c>
      <c r="C85" t="s">
        <v>122</v>
      </c>
      <c r="D85" t="s">
        <v>24</v>
      </c>
      <c r="E85" s="28">
        <v>1494</v>
      </c>
      <c r="F85" s="13">
        <v>17.464860000000002</v>
      </c>
      <c r="G85" s="14">
        <f t="shared" si="3"/>
        <v>9.2999999999999992E-3</v>
      </c>
      <c r="H85" s="15"/>
    </row>
    <row r="86" spans="1:8" ht="12.75" customHeight="1" x14ac:dyDescent="0.2">
      <c r="A86">
        <f>+MAX($A$8:A85)+1</f>
        <v>78</v>
      </c>
      <c r="B86" t="s">
        <v>170</v>
      </c>
      <c r="C86" t="s">
        <v>12</v>
      </c>
      <c r="D86" t="s">
        <v>9</v>
      </c>
      <c r="E86" s="28">
        <v>846</v>
      </c>
      <c r="F86" s="13">
        <v>17.437752</v>
      </c>
      <c r="G86" s="14">
        <f t="shared" si="3"/>
        <v>9.2999999999999992E-3</v>
      </c>
      <c r="H86" s="15"/>
    </row>
    <row r="87" spans="1:8" ht="12.75" customHeight="1" x14ac:dyDescent="0.2">
      <c r="A87">
        <f>+MAX($A$8:A86)+1</f>
        <v>79</v>
      </c>
      <c r="B87" t="s">
        <v>526</v>
      </c>
      <c r="C87" t="s">
        <v>527</v>
      </c>
      <c r="D87" t="s">
        <v>21</v>
      </c>
      <c r="E87" s="28">
        <v>4308</v>
      </c>
      <c r="F87" s="13">
        <v>17.350470000000001</v>
      </c>
      <c r="G87" s="14">
        <f t="shared" si="3"/>
        <v>9.1999999999999998E-3</v>
      </c>
      <c r="H87" s="15"/>
    </row>
    <row r="88" spans="1:8" ht="12.75" customHeight="1" x14ac:dyDescent="0.2">
      <c r="A88">
        <f>+MAX($A$8:A87)+1</f>
        <v>80</v>
      </c>
      <c r="B88" t="s">
        <v>574</v>
      </c>
      <c r="C88" t="s">
        <v>575</v>
      </c>
      <c r="D88" t="s">
        <v>22</v>
      </c>
      <c r="E88" s="28">
        <v>2573</v>
      </c>
      <c r="F88" s="13">
        <v>17.300851999999999</v>
      </c>
      <c r="G88" s="14">
        <f t="shared" si="3"/>
        <v>9.1999999999999998E-3</v>
      </c>
      <c r="H88" s="15"/>
    </row>
    <row r="89" spans="1:8" ht="12.75" customHeight="1" x14ac:dyDescent="0.2">
      <c r="A89">
        <f>+MAX($A$8:A88)+1</f>
        <v>81</v>
      </c>
      <c r="B89" t="s">
        <v>212</v>
      </c>
      <c r="C89" t="s">
        <v>99</v>
      </c>
      <c r="D89" t="s">
        <v>9</v>
      </c>
      <c r="E89" s="28">
        <v>903</v>
      </c>
      <c r="F89" s="13">
        <v>17.216598000000001</v>
      </c>
      <c r="G89" s="14">
        <f t="shared" si="3"/>
        <v>9.1999999999999998E-3</v>
      </c>
      <c r="H89" s="15"/>
    </row>
    <row r="90" spans="1:8" ht="12.75" customHeight="1" x14ac:dyDescent="0.2">
      <c r="A90">
        <f>+MAX($A$8:A89)+1</f>
        <v>82</v>
      </c>
      <c r="B90" t="s">
        <v>190</v>
      </c>
      <c r="C90" t="s">
        <v>94</v>
      </c>
      <c r="D90" t="s">
        <v>9</v>
      </c>
      <c r="E90" s="28">
        <v>1334</v>
      </c>
      <c r="F90" s="13">
        <v>17.171914999999998</v>
      </c>
      <c r="G90" s="14">
        <f t="shared" si="3"/>
        <v>9.1999999999999998E-3</v>
      </c>
      <c r="H90" s="15"/>
    </row>
    <row r="91" spans="1:8" ht="12.75" customHeight="1" x14ac:dyDescent="0.2">
      <c r="A91">
        <f>+MAX($A$8:A90)+1</f>
        <v>83</v>
      </c>
      <c r="B91" t="s">
        <v>239</v>
      </c>
      <c r="C91" t="s">
        <v>134</v>
      </c>
      <c r="D91" t="s">
        <v>19</v>
      </c>
      <c r="E91" s="28">
        <v>61</v>
      </c>
      <c r="F91" s="13">
        <v>17.1164475</v>
      </c>
      <c r="G91" s="14">
        <f t="shared" si="3"/>
        <v>9.1000000000000004E-3</v>
      </c>
      <c r="H91" s="15"/>
    </row>
    <row r="92" spans="1:8" ht="12.75" customHeight="1" x14ac:dyDescent="0.2">
      <c r="A92">
        <f>+MAX($A$8:A91)+1</f>
        <v>84</v>
      </c>
      <c r="B92" t="s">
        <v>242</v>
      </c>
      <c r="C92" t="s">
        <v>137</v>
      </c>
      <c r="D92" t="s">
        <v>36</v>
      </c>
      <c r="E92" s="28">
        <v>23</v>
      </c>
      <c r="F92" s="13">
        <v>17.026152499999998</v>
      </c>
      <c r="G92" s="14">
        <f t="shared" si="3"/>
        <v>9.1000000000000004E-3</v>
      </c>
      <c r="H92" s="15"/>
    </row>
    <row r="93" spans="1:8" ht="12.75" customHeight="1" x14ac:dyDescent="0.2">
      <c r="A93">
        <f>+MAX($A$8:A92)+1</f>
        <v>85</v>
      </c>
      <c r="B93" t="s">
        <v>522</v>
      </c>
      <c r="C93" t="s">
        <v>523</v>
      </c>
      <c r="D93" t="s">
        <v>22</v>
      </c>
      <c r="E93" s="28">
        <v>4525</v>
      </c>
      <c r="F93" s="13">
        <v>16.9845875</v>
      </c>
      <c r="G93" s="14">
        <f t="shared" si="3"/>
        <v>9.1000000000000004E-3</v>
      </c>
      <c r="H93" s="15"/>
    </row>
    <row r="94" spans="1:8" ht="12.75" customHeight="1" x14ac:dyDescent="0.2">
      <c r="A94">
        <f>+MAX($A$8:A93)+1</f>
        <v>86</v>
      </c>
      <c r="B94" t="s">
        <v>177</v>
      </c>
      <c r="C94" t="s">
        <v>37</v>
      </c>
      <c r="D94" t="s">
        <v>19</v>
      </c>
      <c r="E94" s="28">
        <v>616</v>
      </c>
      <c r="F94" s="13">
        <v>16.908276000000001</v>
      </c>
      <c r="G94" s="14">
        <f t="shared" si="3"/>
        <v>8.9999999999999993E-3</v>
      </c>
      <c r="H94" s="15"/>
    </row>
    <row r="95" spans="1:8" ht="12.75" customHeight="1" x14ac:dyDescent="0.2">
      <c r="A95">
        <f>+MAX($A$8:A94)+1</f>
        <v>87</v>
      </c>
      <c r="B95" t="s">
        <v>456</v>
      </c>
      <c r="C95" t="s">
        <v>457</v>
      </c>
      <c r="D95" t="s">
        <v>102</v>
      </c>
      <c r="E95" s="28">
        <v>21013</v>
      </c>
      <c r="F95" s="13">
        <v>16.7788805</v>
      </c>
      <c r="G95" s="14">
        <f t="shared" si="3"/>
        <v>8.8999999999999999E-3</v>
      </c>
      <c r="H95" s="15"/>
    </row>
    <row r="96" spans="1:8" ht="12.75" customHeight="1" x14ac:dyDescent="0.2">
      <c r="A96">
        <f>+MAX($A$8:A95)+1</f>
        <v>88</v>
      </c>
      <c r="B96" t="s">
        <v>292</v>
      </c>
      <c r="C96" t="s">
        <v>293</v>
      </c>
      <c r="D96" t="s">
        <v>19</v>
      </c>
      <c r="E96" s="28">
        <v>12925</v>
      </c>
      <c r="F96" s="13">
        <v>16.679712500000001</v>
      </c>
      <c r="G96" s="14">
        <f t="shared" si="3"/>
        <v>8.8999999999999999E-3</v>
      </c>
      <c r="H96" s="15"/>
    </row>
    <row r="97" spans="1:9" ht="12.75" customHeight="1" x14ac:dyDescent="0.2">
      <c r="A97">
        <f>+MAX($A$8:A96)+1</f>
        <v>89</v>
      </c>
      <c r="B97" t="s">
        <v>578</v>
      </c>
      <c r="C97" t="s">
        <v>579</v>
      </c>
      <c r="D97" t="s">
        <v>22</v>
      </c>
      <c r="E97" s="28">
        <v>4893</v>
      </c>
      <c r="F97" s="13">
        <v>16.34262</v>
      </c>
      <c r="G97" s="14">
        <f t="shared" si="3"/>
        <v>8.6999999999999994E-3</v>
      </c>
      <c r="H97" s="15"/>
    </row>
    <row r="98" spans="1:9" ht="12.75" customHeight="1" x14ac:dyDescent="0.2">
      <c r="A98">
        <f>+MAX($A$8:A97)+1</f>
        <v>90</v>
      </c>
      <c r="B98" t="s">
        <v>209</v>
      </c>
      <c r="C98" t="s">
        <v>634</v>
      </c>
      <c r="D98" t="s">
        <v>24</v>
      </c>
      <c r="E98" s="28">
        <v>2588</v>
      </c>
      <c r="F98" s="13">
        <v>16.310870000000001</v>
      </c>
      <c r="G98" s="14">
        <f t="shared" si="3"/>
        <v>8.6999999999999994E-3</v>
      </c>
      <c r="H98" s="15"/>
    </row>
    <row r="99" spans="1:9" ht="12.75" customHeight="1" x14ac:dyDescent="0.2">
      <c r="A99">
        <f>+MAX($A$8:A98)+1</f>
        <v>91</v>
      </c>
      <c r="B99" t="s">
        <v>261</v>
      </c>
      <c r="C99" t="s">
        <v>160</v>
      </c>
      <c r="D99" t="s">
        <v>98</v>
      </c>
      <c r="E99" s="28">
        <v>2109</v>
      </c>
      <c r="F99" s="13">
        <v>16.159158000000001</v>
      </c>
      <c r="G99" s="14">
        <f t="shared" si="3"/>
        <v>8.6E-3</v>
      </c>
      <c r="H99" s="15"/>
    </row>
    <row r="100" spans="1:9" ht="12.75" customHeight="1" x14ac:dyDescent="0.2">
      <c r="A100">
        <f>+MAX($A$8:A99)+1</f>
        <v>92</v>
      </c>
      <c r="B100" t="s">
        <v>253</v>
      </c>
      <c r="C100" t="s">
        <v>156</v>
      </c>
      <c r="D100" t="s">
        <v>28</v>
      </c>
      <c r="E100" s="28">
        <v>10371</v>
      </c>
      <c r="F100" s="13">
        <v>16.1320905</v>
      </c>
      <c r="G100" s="14">
        <f t="shared" si="3"/>
        <v>8.6E-3</v>
      </c>
      <c r="H100" s="15"/>
    </row>
    <row r="101" spans="1:9" ht="12.75" customHeight="1" x14ac:dyDescent="0.2">
      <c r="A101">
        <f>+MAX($A$8:A100)+1</f>
        <v>93</v>
      </c>
      <c r="B101" t="s">
        <v>219</v>
      </c>
      <c r="C101" t="s">
        <v>108</v>
      </c>
      <c r="D101" t="s">
        <v>19</v>
      </c>
      <c r="E101" s="28">
        <v>485</v>
      </c>
      <c r="F101" s="13">
        <v>15.78093</v>
      </c>
      <c r="G101" s="14">
        <f t="shared" si="3"/>
        <v>8.3999999999999995E-3</v>
      </c>
      <c r="H101" s="15"/>
    </row>
    <row r="102" spans="1:9" ht="12.75" customHeight="1" x14ac:dyDescent="0.2">
      <c r="A102">
        <f>+MAX($A$8:A101)+1</f>
        <v>94</v>
      </c>
      <c r="B102" t="s">
        <v>398</v>
      </c>
      <c r="C102" t="s">
        <v>399</v>
      </c>
      <c r="D102" t="s">
        <v>22</v>
      </c>
      <c r="E102" s="28">
        <v>1180</v>
      </c>
      <c r="F102" s="13">
        <v>15.76244</v>
      </c>
      <c r="G102" s="14">
        <f t="shared" si="3"/>
        <v>8.3999999999999995E-3</v>
      </c>
      <c r="H102" s="15"/>
    </row>
    <row r="103" spans="1:9" ht="12.75" customHeight="1" x14ac:dyDescent="0.2">
      <c r="A103">
        <f>+MAX($A$8:A102)+1</f>
        <v>95</v>
      </c>
      <c r="B103" t="s">
        <v>224</v>
      </c>
      <c r="C103" t="s">
        <v>114</v>
      </c>
      <c r="D103" t="s">
        <v>98</v>
      </c>
      <c r="E103" s="28">
        <v>3116</v>
      </c>
      <c r="F103" s="13">
        <v>15.578441999999999</v>
      </c>
      <c r="G103" s="14">
        <f t="shared" si="3"/>
        <v>8.3000000000000001E-3</v>
      </c>
      <c r="H103" s="15"/>
    </row>
    <row r="104" spans="1:9" ht="12.75" customHeight="1" x14ac:dyDescent="0.2">
      <c r="A104">
        <f>+MAX($A$8:A103)+1</f>
        <v>96</v>
      </c>
      <c r="B104" t="s">
        <v>223</v>
      </c>
      <c r="C104" t="s">
        <v>113</v>
      </c>
      <c r="D104" t="s">
        <v>28</v>
      </c>
      <c r="E104" s="28">
        <v>4135</v>
      </c>
      <c r="F104" s="13">
        <v>14.972835</v>
      </c>
      <c r="G104" s="14">
        <f t="shared" si="3"/>
        <v>8.0000000000000002E-3</v>
      </c>
      <c r="H104" s="15"/>
    </row>
    <row r="105" spans="1:9" ht="12.75" customHeight="1" x14ac:dyDescent="0.2">
      <c r="A105">
        <f>+MAX($A$8:A104)+1</f>
        <v>97</v>
      </c>
      <c r="B105" t="s">
        <v>207</v>
      </c>
      <c r="C105" t="s">
        <v>77</v>
      </c>
      <c r="D105" t="s">
        <v>28</v>
      </c>
      <c r="E105" s="28">
        <v>5666</v>
      </c>
      <c r="F105" s="13">
        <v>14.380308000000001</v>
      </c>
      <c r="G105" s="14">
        <f t="shared" ref="G105:G109" si="4">+ROUND(F105/VLOOKUP("Grand Total",$B$4:$F$337,5,0),4)</f>
        <v>7.7000000000000002E-3</v>
      </c>
      <c r="H105" s="15"/>
    </row>
    <row r="106" spans="1:9" ht="12.75" customHeight="1" x14ac:dyDescent="0.2">
      <c r="A106">
        <f>+MAX($A$8:A105)+1</f>
        <v>98</v>
      </c>
      <c r="B106" t="s">
        <v>608</v>
      </c>
      <c r="C106" t="s">
        <v>609</v>
      </c>
      <c r="D106" t="s">
        <v>32</v>
      </c>
      <c r="E106" s="28">
        <v>29117</v>
      </c>
      <c r="F106" s="13">
        <v>14.369239499999999</v>
      </c>
      <c r="G106" s="14">
        <f t="shared" si="4"/>
        <v>7.7000000000000002E-3</v>
      </c>
      <c r="H106" s="15"/>
    </row>
    <row r="107" spans="1:9" ht="12.75" customHeight="1" x14ac:dyDescent="0.2">
      <c r="A107">
        <f>+MAX($A$8:A106)+1</f>
        <v>99</v>
      </c>
      <c r="B107" t="s">
        <v>494</v>
      </c>
      <c r="C107" t="s">
        <v>495</v>
      </c>
      <c r="D107" t="s">
        <v>35</v>
      </c>
      <c r="E107" s="28">
        <v>1485</v>
      </c>
      <c r="F107" s="13">
        <v>13.7934225</v>
      </c>
      <c r="G107" s="14">
        <f t="shared" si="4"/>
        <v>7.4000000000000003E-3</v>
      </c>
      <c r="H107" s="15"/>
    </row>
    <row r="108" spans="1:9" ht="12.75" customHeight="1" x14ac:dyDescent="0.2">
      <c r="A108">
        <f>+MAX($A$8:A107)+1</f>
        <v>100</v>
      </c>
      <c r="B108" t="s">
        <v>174</v>
      </c>
      <c r="C108" t="s">
        <v>20</v>
      </c>
      <c r="D108" t="s">
        <v>19</v>
      </c>
      <c r="E108" s="28">
        <v>4924</v>
      </c>
      <c r="F108" s="13">
        <v>13.1717</v>
      </c>
      <c r="G108" s="14">
        <f t="shared" si="4"/>
        <v>7.0000000000000001E-3</v>
      </c>
      <c r="H108" s="15"/>
    </row>
    <row r="109" spans="1:9" ht="12.75" customHeight="1" x14ac:dyDescent="0.2">
      <c r="A109">
        <f>+MAX($A$8:A108)+1</f>
        <v>101</v>
      </c>
      <c r="B109" t="s">
        <v>338</v>
      </c>
      <c r="C109" t="s">
        <v>123</v>
      </c>
      <c r="D109" t="s">
        <v>19</v>
      </c>
      <c r="E109" s="28">
        <v>1355</v>
      </c>
      <c r="F109" s="13">
        <v>1.9247775</v>
      </c>
      <c r="G109" s="14">
        <f t="shared" si="4"/>
        <v>1E-3</v>
      </c>
      <c r="H109" s="15"/>
    </row>
    <row r="110" spans="1:9" ht="12.75" customHeight="1" x14ac:dyDescent="0.2">
      <c r="B110" s="18" t="s">
        <v>82</v>
      </c>
      <c r="C110" s="18"/>
      <c r="D110" s="18"/>
      <c r="E110" s="29"/>
      <c r="F110" s="19">
        <f>SUM(F9:F109)</f>
        <v>1871.2484545000007</v>
      </c>
      <c r="G110" s="20">
        <f>SUM(G9:G109)</f>
        <v>0.99700000000000055</v>
      </c>
      <c r="H110" s="21"/>
      <c r="I110" s="35"/>
    </row>
    <row r="111" spans="1:9" ht="12.75" customHeight="1" x14ac:dyDescent="0.2">
      <c r="F111" s="13"/>
      <c r="G111" s="14"/>
      <c r="H111" s="15"/>
    </row>
    <row r="112" spans="1:9" ht="12.75" customHeight="1" x14ac:dyDescent="0.2">
      <c r="B112" s="16" t="s">
        <v>88</v>
      </c>
      <c r="C112" s="16"/>
      <c r="F112" s="13"/>
      <c r="G112" s="14"/>
      <c r="H112" s="15"/>
    </row>
    <row r="113" spans="1:11" ht="12.75" customHeight="1" x14ac:dyDescent="0.2">
      <c r="B113" s="16" t="s">
        <v>153</v>
      </c>
      <c r="C113" s="16"/>
      <c r="F113" s="13"/>
      <c r="G113" s="14"/>
      <c r="H113" s="15"/>
      <c r="J113" s="17"/>
      <c r="K113" s="37"/>
    </row>
    <row r="114" spans="1:11" ht="12.75" customHeight="1" x14ac:dyDescent="0.2">
      <c r="A114">
        <f>+MAX($A$8:A113)+1</f>
        <v>102</v>
      </c>
      <c r="B114" t="s">
        <v>450</v>
      </c>
      <c r="C114" t="s">
        <v>672</v>
      </c>
      <c r="D114" s="65" t="s">
        <v>345</v>
      </c>
      <c r="E114" s="28">
        <v>1000</v>
      </c>
      <c r="F114" s="13">
        <v>0.98631999999999997</v>
      </c>
      <c r="G114" s="14">
        <f>+ROUND(F114/VLOOKUP("Grand Total",$B$4:$F$337,5,0),4)</f>
        <v>5.0000000000000001E-4</v>
      </c>
      <c r="H114" s="15">
        <v>43419</v>
      </c>
      <c r="J114" s="14"/>
      <c r="K114" s="48"/>
    </row>
    <row r="115" spans="1:11" ht="12.75" customHeight="1" x14ac:dyDescent="0.2">
      <c r="B115" s="18" t="s">
        <v>82</v>
      </c>
      <c r="C115" s="18"/>
      <c r="D115" s="18"/>
      <c r="E115" s="29"/>
      <c r="F115" s="19">
        <f>SUM(F114:F114)</f>
        <v>0.98631999999999997</v>
      </c>
      <c r="G115" s="20">
        <f>SUM(G114:G114)</f>
        <v>5.0000000000000001E-4</v>
      </c>
      <c r="H115" s="21"/>
      <c r="I115" s="35"/>
    </row>
    <row r="116" spans="1:11" ht="12.75" customHeight="1" x14ac:dyDescent="0.2">
      <c r="F116" s="13"/>
      <c r="G116" s="14"/>
      <c r="H116" s="15"/>
    </row>
    <row r="117" spans="1:11" ht="12.75" customHeight="1" x14ac:dyDescent="0.2">
      <c r="B117" s="16" t="s">
        <v>91</v>
      </c>
      <c r="C117" s="16"/>
      <c r="F117" s="13"/>
      <c r="G117" s="14"/>
      <c r="H117" s="15"/>
    </row>
    <row r="118" spans="1:11" ht="12.75" customHeight="1" x14ac:dyDescent="0.2">
      <c r="A118" s="94" t="s">
        <v>312</v>
      </c>
      <c r="B118" s="16" t="s">
        <v>633</v>
      </c>
      <c r="C118" s="16"/>
      <c r="F118" s="13">
        <v>11.9554002</v>
      </c>
      <c r="G118" s="14">
        <f>+ROUND(F118/VLOOKUP("Grand Total",$B$4:$F$337,5,0),4)</f>
        <v>6.4000000000000003E-3</v>
      </c>
      <c r="H118" s="15">
        <v>43346</v>
      </c>
    </row>
    <row r="119" spans="1:11" ht="12.75" customHeight="1" x14ac:dyDescent="0.2">
      <c r="B119" s="16" t="s">
        <v>92</v>
      </c>
      <c r="C119" s="16"/>
      <c r="F119" s="13">
        <v>-7.6300531000001683</v>
      </c>
      <c r="G119" s="14">
        <f>+ROUND(F119/VLOOKUP("Grand Total",$B$4:$F$337,5,0),4)+0.02%</f>
        <v>-3.9000000000000003E-3</v>
      </c>
      <c r="H119" s="15"/>
    </row>
    <row r="120" spans="1:11" ht="12.75" customHeight="1" x14ac:dyDescent="0.2">
      <c r="B120" s="18" t="s">
        <v>82</v>
      </c>
      <c r="C120" s="18"/>
      <c r="D120" s="18"/>
      <c r="E120" s="29"/>
      <c r="F120" s="19">
        <f>SUM(F118:F119)</f>
        <v>4.3253470999998314</v>
      </c>
      <c r="G120" s="20">
        <f>SUM(G118:G119)</f>
        <v>2.5000000000000001E-3</v>
      </c>
      <c r="H120" s="21"/>
      <c r="I120" s="35"/>
    </row>
    <row r="121" spans="1:11" ht="12.75" customHeight="1" x14ac:dyDescent="0.2">
      <c r="B121" s="22" t="s">
        <v>93</v>
      </c>
      <c r="C121" s="22"/>
      <c r="D121" s="22"/>
      <c r="E121" s="30"/>
      <c r="F121" s="23">
        <f>+SUMIF($B$5:B120,"Total",$F$5:F120)</f>
        <v>1876.5601216000005</v>
      </c>
      <c r="G121" s="24">
        <f>+SUMIF($B$5:B120,"Total",$G$5:G120)</f>
        <v>1.0000000000000004</v>
      </c>
      <c r="H121" s="25"/>
      <c r="I121" s="35"/>
    </row>
    <row r="122" spans="1:11" ht="12.75" customHeight="1" x14ac:dyDescent="0.2"/>
    <row r="123" spans="1:11" ht="12.75" customHeight="1" x14ac:dyDescent="0.2">
      <c r="B123" s="16"/>
      <c r="C123" s="16"/>
    </row>
    <row r="124" spans="1:11" ht="12.75" customHeight="1" x14ac:dyDescent="0.2">
      <c r="B124" s="16"/>
      <c r="C124" s="16"/>
    </row>
    <row r="125" spans="1:11" ht="12.75" customHeight="1" x14ac:dyDescent="0.2">
      <c r="B125" s="16"/>
      <c r="C125" s="16"/>
    </row>
    <row r="126" spans="1:11" ht="12.75" customHeight="1" x14ac:dyDescent="0.2">
      <c r="B126" s="16"/>
      <c r="C126" s="16"/>
    </row>
    <row r="127" spans="1:11" ht="12.75" customHeight="1" x14ac:dyDescent="0.2">
      <c r="B127" s="16"/>
      <c r="C127" s="16"/>
    </row>
    <row r="128" spans="1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</sheetData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12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  <col min="10" max="10" width="15" style="33" customWidth="1"/>
    <col min="11" max="11" width="42.5703125" bestFit="1" customWidth="1"/>
    <col min="12" max="12" width="8.28515625" style="36" bestFit="1" customWidth="1"/>
  </cols>
  <sheetData>
    <row r="1" spans="1:12" ht="18.75" x14ac:dyDescent="0.2">
      <c r="A1" s="93" t="s">
        <v>331</v>
      </c>
      <c r="B1" s="128" t="s">
        <v>751</v>
      </c>
      <c r="C1" s="129"/>
      <c r="D1" s="129"/>
      <c r="E1" s="129"/>
      <c r="F1" s="129"/>
      <c r="G1" s="129"/>
      <c r="H1" s="129"/>
      <c r="I1" s="130"/>
    </row>
    <row r="2" spans="1:12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  <c r="I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2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127" t="s">
        <v>792</v>
      </c>
      <c r="I4" s="32" t="s">
        <v>6</v>
      </c>
      <c r="J4" s="34"/>
    </row>
    <row r="5" spans="1:12" ht="12.75" customHeight="1" x14ac:dyDescent="0.2">
      <c r="F5" s="13"/>
      <c r="G5" s="14"/>
      <c r="H5" s="14"/>
      <c r="I5" s="15"/>
    </row>
    <row r="6" spans="1:12" ht="12.75" customHeight="1" x14ac:dyDescent="0.2">
      <c r="F6" s="13"/>
      <c r="G6" s="14"/>
      <c r="H6" s="14"/>
      <c r="I6" s="15"/>
    </row>
    <row r="7" spans="1:12" ht="12.75" customHeight="1" x14ac:dyDescent="0.2">
      <c r="B7" s="16" t="s">
        <v>8</v>
      </c>
      <c r="F7" s="13"/>
      <c r="G7" s="14"/>
      <c r="H7" s="14"/>
      <c r="I7" s="15"/>
    </row>
    <row r="8" spans="1:12" ht="12.75" customHeight="1" x14ac:dyDescent="0.2">
      <c r="B8" s="16" t="s">
        <v>347</v>
      </c>
      <c r="C8" s="16"/>
      <c r="F8" s="13"/>
      <c r="G8" s="14"/>
      <c r="H8" s="14"/>
      <c r="I8" s="15"/>
      <c r="K8" s="17" t="s">
        <v>493</v>
      </c>
      <c r="L8" s="37" t="s">
        <v>11</v>
      </c>
    </row>
    <row r="9" spans="1:12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116</v>
      </c>
      <c r="F9" s="13">
        <v>2.3909920000000002</v>
      </c>
      <c r="G9" s="14">
        <f t="shared" ref="G9:G40" si="0">+ROUND(F9/VLOOKUP("Grand Total",$B$4:$F$379,5,0),4)</f>
        <v>2.0299999999999999E-2</v>
      </c>
      <c r="H9" s="14"/>
      <c r="I9" s="15" t="s">
        <v>313</v>
      </c>
      <c r="K9" s="14" t="s">
        <v>279</v>
      </c>
      <c r="L9" s="48">
        <f t="shared" ref="L9:L34" si="1">SUMIFS($G$5:$G$402,$D$5:$D$402,K9)</f>
        <v>0.23299999999999998</v>
      </c>
    </row>
    <row r="10" spans="1:12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189</v>
      </c>
      <c r="F10" s="13">
        <v>2.3467185000000002</v>
      </c>
      <c r="G10" s="14">
        <f t="shared" si="0"/>
        <v>0.02</v>
      </c>
      <c r="H10" s="14"/>
      <c r="I10" s="15" t="s">
        <v>313</v>
      </c>
      <c r="K10" s="14" t="s">
        <v>13</v>
      </c>
      <c r="L10" s="48">
        <f t="shared" si="1"/>
        <v>9.4E-2</v>
      </c>
    </row>
    <row r="11" spans="1:12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592</v>
      </c>
      <c r="F11" s="13">
        <v>1.8935120000000001</v>
      </c>
      <c r="G11" s="14">
        <f t="shared" si="0"/>
        <v>1.61E-2</v>
      </c>
      <c r="H11" s="14"/>
      <c r="I11" s="15" t="s">
        <v>313</v>
      </c>
      <c r="K11" s="14" t="s">
        <v>28</v>
      </c>
      <c r="L11" s="48">
        <f t="shared" si="1"/>
        <v>8.8000000000000009E-2</v>
      </c>
    </row>
    <row r="12" spans="1:12" ht="12.75" customHeight="1" x14ac:dyDescent="0.2">
      <c r="A12">
        <f>+MAX($A$8:A11)+1</f>
        <v>4</v>
      </c>
      <c r="B12" t="s">
        <v>173</v>
      </c>
      <c r="C12" t="s">
        <v>10</v>
      </c>
      <c r="D12" t="s">
        <v>9</v>
      </c>
      <c r="E12" s="28">
        <v>528</v>
      </c>
      <c r="F12" s="13">
        <v>1.8089279999999999</v>
      </c>
      <c r="G12" s="14">
        <f t="shared" si="0"/>
        <v>1.54E-2</v>
      </c>
      <c r="H12" s="14"/>
      <c r="I12" s="15" t="s">
        <v>313</v>
      </c>
      <c r="K12" s="14" t="s">
        <v>9</v>
      </c>
      <c r="L12" s="48">
        <f t="shared" si="1"/>
        <v>8.5099999999999995E-2</v>
      </c>
    </row>
    <row r="13" spans="1:12" ht="12.75" customHeight="1" x14ac:dyDescent="0.2">
      <c r="A13">
        <f>+MAX($A$8:A12)+1</f>
        <v>5</v>
      </c>
      <c r="B13" t="s">
        <v>194</v>
      </c>
      <c r="C13" t="s">
        <v>18</v>
      </c>
      <c r="D13" t="s">
        <v>13</v>
      </c>
      <c r="E13" s="28">
        <v>87</v>
      </c>
      <c r="F13" s="13">
        <v>1.8082079999999998</v>
      </c>
      <c r="G13" s="14">
        <f t="shared" si="0"/>
        <v>1.54E-2</v>
      </c>
      <c r="H13" s="14"/>
      <c r="I13" s="15" t="s">
        <v>313</v>
      </c>
      <c r="K13" s="14" t="s">
        <v>22</v>
      </c>
      <c r="L13" s="48">
        <f t="shared" si="1"/>
        <v>7.4899999999999994E-2</v>
      </c>
    </row>
    <row r="14" spans="1:12" ht="12.75" customHeight="1" x14ac:dyDescent="0.2">
      <c r="A14">
        <f>+MAX($A$8:A13)+1</f>
        <v>6</v>
      </c>
      <c r="B14" t="s">
        <v>15</v>
      </c>
      <c r="C14" t="s">
        <v>16</v>
      </c>
      <c r="D14" t="s">
        <v>9</v>
      </c>
      <c r="E14" s="28">
        <v>548</v>
      </c>
      <c r="F14" s="13">
        <v>1.6966079999999999</v>
      </c>
      <c r="G14" s="14">
        <f t="shared" si="0"/>
        <v>1.44E-2</v>
      </c>
      <c r="H14" s="14"/>
      <c r="I14" s="15" t="s">
        <v>313</v>
      </c>
      <c r="K14" s="14" t="s">
        <v>21</v>
      </c>
      <c r="L14" s="48">
        <f t="shared" si="1"/>
        <v>7.1899999999999992E-2</v>
      </c>
    </row>
    <row r="15" spans="1:12" ht="12.75" customHeight="1" x14ac:dyDescent="0.2">
      <c r="A15">
        <f>+MAX($A$8:A14)+1</f>
        <v>7</v>
      </c>
      <c r="B15" t="s">
        <v>171</v>
      </c>
      <c r="C15" t="s">
        <v>14</v>
      </c>
      <c r="D15" t="s">
        <v>13</v>
      </c>
      <c r="E15" s="28">
        <v>105</v>
      </c>
      <c r="F15" s="13">
        <v>1.513155</v>
      </c>
      <c r="G15" s="14">
        <f t="shared" si="0"/>
        <v>1.29E-2</v>
      </c>
      <c r="H15" s="14"/>
      <c r="I15" s="15" t="s">
        <v>313</v>
      </c>
      <c r="K15" s="14" t="s">
        <v>102</v>
      </c>
      <c r="L15" s="48">
        <f t="shared" si="1"/>
        <v>6.2399999999999997E-2</v>
      </c>
    </row>
    <row r="16" spans="1:12" ht="12.75" customHeight="1" x14ac:dyDescent="0.2">
      <c r="A16">
        <f>+MAX($A$8:A15)+1</f>
        <v>8</v>
      </c>
      <c r="B16" t="s">
        <v>203</v>
      </c>
      <c r="C16" t="s">
        <v>69</v>
      </c>
      <c r="D16" t="s">
        <v>26</v>
      </c>
      <c r="E16" s="28">
        <v>97</v>
      </c>
      <c r="F16" s="13">
        <v>1.3284635</v>
      </c>
      <c r="G16" s="14">
        <f t="shared" si="0"/>
        <v>1.1299999999999999E-2</v>
      </c>
      <c r="H16" s="14"/>
      <c r="I16" s="15" t="s">
        <v>313</v>
      </c>
      <c r="K16" s="14" t="s">
        <v>24</v>
      </c>
      <c r="L16" s="48">
        <f t="shared" si="1"/>
        <v>5.4399999999999997E-2</v>
      </c>
    </row>
    <row r="17" spans="1:12" ht="12.75" customHeight="1" x14ac:dyDescent="0.2">
      <c r="A17">
        <f>+MAX($A$8:A16)+1</f>
        <v>9</v>
      </c>
      <c r="B17" t="s">
        <v>176</v>
      </c>
      <c r="C17" t="s">
        <v>25</v>
      </c>
      <c r="D17" t="s">
        <v>22</v>
      </c>
      <c r="E17" s="28">
        <v>66</v>
      </c>
      <c r="F17" s="13">
        <v>1.2777270000000001</v>
      </c>
      <c r="G17" s="14">
        <f t="shared" si="0"/>
        <v>1.09E-2</v>
      </c>
      <c r="H17" s="14"/>
      <c r="I17" s="15" t="s">
        <v>313</v>
      </c>
      <c r="K17" s="14" t="s">
        <v>34</v>
      </c>
      <c r="L17" s="48">
        <f t="shared" si="1"/>
        <v>2.0800000000000003E-2</v>
      </c>
    </row>
    <row r="18" spans="1:12" ht="12.75" customHeight="1" x14ac:dyDescent="0.2">
      <c r="A18">
        <f>+MAX($A$8:A17)+1</f>
        <v>10</v>
      </c>
      <c r="B18" t="s">
        <v>336</v>
      </c>
      <c r="C18" t="s">
        <v>335</v>
      </c>
      <c r="D18" t="s">
        <v>24</v>
      </c>
      <c r="E18" s="28">
        <v>234</v>
      </c>
      <c r="F18" s="13">
        <v>1.1202749999999999</v>
      </c>
      <c r="G18" s="14">
        <f t="shared" si="0"/>
        <v>9.4999999999999998E-3</v>
      </c>
      <c r="H18" s="14"/>
      <c r="I18" s="15" t="s">
        <v>313</v>
      </c>
      <c r="K18" s="14" t="s">
        <v>19</v>
      </c>
      <c r="L18" s="48">
        <f t="shared" si="1"/>
        <v>1.9300000000000001E-2</v>
      </c>
    </row>
    <row r="19" spans="1:12" ht="12.75" customHeight="1" x14ac:dyDescent="0.2">
      <c r="A19">
        <f>+MAX($A$8:A18)+1</f>
        <v>11</v>
      </c>
      <c r="B19" t="s">
        <v>452</v>
      </c>
      <c r="C19" t="s">
        <v>453</v>
      </c>
      <c r="D19" t="s">
        <v>34</v>
      </c>
      <c r="E19" s="28">
        <v>1324</v>
      </c>
      <c r="F19" s="13">
        <v>1.0155080000000001</v>
      </c>
      <c r="G19" s="14">
        <f t="shared" si="0"/>
        <v>8.6E-3</v>
      </c>
      <c r="H19" s="14"/>
      <c r="I19" s="15" t="s">
        <v>313</v>
      </c>
      <c r="K19" s="14" t="s">
        <v>26</v>
      </c>
      <c r="L19" s="48">
        <f t="shared" si="1"/>
        <v>1.6999999999999998E-2</v>
      </c>
    </row>
    <row r="20" spans="1:12" ht="12.75" customHeight="1" x14ac:dyDescent="0.2">
      <c r="A20">
        <f>+MAX($A$8:A19)+1</f>
        <v>12</v>
      </c>
      <c r="B20" t="s">
        <v>454</v>
      </c>
      <c r="C20" t="s">
        <v>455</v>
      </c>
      <c r="D20" t="s">
        <v>24</v>
      </c>
      <c r="E20" s="28">
        <v>13</v>
      </c>
      <c r="F20" s="13">
        <v>1.0017085000000001</v>
      </c>
      <c r="G20" s="14">
        <f t="shared" si="0"/>
        <v>8.5000000000000006E-3</v>
      </c>
      <c r="H20" s="14"/>
      <c r="I20" s="15" t="s">
        <v>313</v>
      </c>
      <c r="K20" s="14" t="s">
        <v>17</v>
      </c>
      <c r="L20" s="48">
        <f t="shared" si="1"/>
        <v>1.6500000000000001E-2</v>
      </c>
    </row>
    <row r="21" spans="1:12" ht="12.75" customHeight="1" x14ac:dyDescent="0.2">
      <c r="A21">
        <f>+MAX($A$8:A20)+1</f>
        <v>13</v>
      </c>
      <c r="B21" t="s">
        <v>295</v>
      </c>
      <c r="C21" t="s">
        <v>521</v>
      </c>
      <c r="D21" t="s">
        <v>126</v>
      </c>
      <c r="E21" s="28">
        <v>404</v>
      </c>
      <c r="F21" s="13">
        <v>0.97687199999999996</v>
      </c>
      <c r="G21" s="14">
        <f t="shared" si="0"/>
        <v>8.3000000000000001E-3</v>
      </c>
      <c r="H21" s="14"/>
      <c r="I21" s="15" t="s">
        <v>313</v>
      </c>
      <c r="K21" s="14" t="s">
        <v>126</v>
      </c>
      <c r="L21" s="48">
        <f t="shared" si="1"/>
        <v>1.0999999999999999E-2</v>
      </c>
    </row>
    <row r="22" spans="1:12" ht="12.75" customHeight="1" x14ac:dyDescent="0.2">
      <c r="A22">
        <f>+MAX($A$8:A21)+1</f>
        <v>14</v>
      </c>
      <c r="B22" t="s">
        <v>349</v>
      </c>
      <c r="C22" t="s">
        <v>350</v>
      </c>
      <c r="D22" t="s">
        <v>351</v>
      </c>
      <c r="E22" s="28">
        <v>582</v>
      </c>
      <c r="F22" s="13">
        <v>0.96117300000000006</v>
      </c>
      <c r="G22" s="14">
        <f t="shared" si="0"/>
        <v>8.2000000000000007E-3</v>
      </c>
      <c r="H22" s="14"/>
      <c r="I22" s="15" t="s">
        <v>313</v>
      </c>
      <c r="K22" s="14" t="s">
        <v>36</v>
      </c>
      <c r="L22" s="48">
        <f t="shared" si="1"/>
        <v>1.0999999999999999E-2</v>
      </c>
    </row>
    <row r="23" spans="1:12" ht="12.75" customHeight="1" x14ac:dyDescent="0.2">
      <c r="A23">
        <f>+MAX($A$8:A22)+1</f>
        <v>15</v>
      </c>
      <c r="B23" t="s">
        <v>276</v>
      </c>
      <c r="C23" t="s">
        <v>277</v>
      </c>
      <c r="D23" t="s">
        <v>135</v>
      </c>
      <c r="E23" s="28">
        <v>167</v>
      </c>
      <c r="F23" s="13">
        <v>0.94638899999999992</v>
      </c>
      <c r="G23" s="14">
        <f t="shared" si="0"/>
        <v>8.0000000000000002E-3</v>
      </c>
      <c r="H23" s="14"/>
      <c r="I23" s="15" t="s">
        <v>313</v>
      </c>
      <c r="K23" s="14" t="s">
        <v>39</v>
      </c>
      <c r="L23" s="48">
        <f t="shared" si="1"/>
        <v>1.0499999999999999E-2</v>
      </c>
    </row>
    <row r="24" spans="1:12" ht="12.75" customHeight="1" x14ac:dyDescent="0.2">
      <c r="A24">
        <f>+MAX($A$8:A23)+1</f>
        <v>16</v>
      </c>
      <c r="B24" t="s">
        <v>189</v>
      </c>
      <c r="C24" t="s">
        <v>72</v>
      </c>
      <c r="D24" t="s">
        <v>395</v>
      </c>
      <c r="E24" s="28">
        <v>688</v>
      </c>
      <c r="F24" s="13">
        <v>0.94428000000000001</v>
      </c>
      <c r="G24" s="14">
        <f t="shared" si="0"/>
        <v>8.0000000000000002E-3</v>
      </c>
      <c r="H24" s="14"/>
      <c r="I24" s="15" t="s">
        <v>313</v>
      </c>
      <c r="K24" s="14" t="s">
        <v>345</v>
      </c>
      <c r="L24" s="48">
        <f t="shared" si="1"/>
        <v>8.3999999999999995E-3</v>
      </c>
    </row>
    <row r="25" spans="1:12" ht="12.75" customHeight="1" x14ac:dyDescent="0.2">
      <c r="A25">
        <f>+MAX($A$8:A24)+1</f>
        <v>17</v>
      </c>
      <c r="B25" t="s">
        <v>221</v>
      </c>
      <c r="C25" t="s">
        <v>111</v>
      </c>
      <c r="D25" t="s">
        <v>34</v>
      </c>
      <c r="E25" s="28">
        <v>521</v>
      </c>
      <c r="F25" s="13">
        <v>0.89351499999999995</v>
      </c>
      <c r="G25" s="14">
        <f t="shared" si="0"/>
        <v>7.6E-3</v>
      </c>
      <c r="H25" s="14"/>
      <c r="I25" s="15" t="s">
        <v>313</v>
      </c>
      <c r="K25" s="14" t="s">
        <v>351</v>
      </c>
      <c r="L25" s="48">
        <f t="shared" si="1"/>
        <v>8.2000000000000007E-3</v>
      </c>
    </row>
    <row r="26" spans="1:12" ht="12.75" customHeight="1" x14ac:dyDescent="0.2">
      <c r="A26">
        <f>+MAX($A$8:A25)+1</f>
        <v>18</v>
      </c>
      <c r="B26" t="s">
        <v>181</v>
      </c>
      <c r="C26" t="s">
        <v>46</v>
      </c>
      <c r="D26" t="s">
        <v>24</v>
      </c>
      <c r="E26" s="28">
        <v>13</v>
      </c>
      <c r="F26" s="13">
        <v>0.87577749999999999</v>
      </c>
      <c r="G26" s="14">
        <f t="shared" si="0"/>
        <v>7.4000000000000003E-3</v>
      </c>
      <c r="H26" s="14"/>
      <c r="I26" s="15" t="s">
        <v>313</v>
      </c>
      <c r="K26" s="14" t="s">
        <v>135</v>
      </c>
      <c r="L26" s="48">
        <f t="shared" si="1"/>
        <v>8.0000000000000002E-3</v>
      </c>
    </row>
    <row r="27" spans="1:12" ht="12.75" customHeight="1" x14ac:dyDescent="0.2">
      <c r="A27">
        <f>+MAX($A$8:A26)+1</f>
        <v>19</v>
      </c>
      <c r="B27" t="s">
        <v>269</v>
      </c>
      <c r="C27" t="s">
        <v>55</v>
      </c>
      <c r="D27" t="s">
        <v>24</v>
      </c>
      <c r="E27" s="28">
        <v>43</v>
      </c>
      <c r="F27" s="13">
        <v>0.80250899999999992</v>
      </c>
      <c r="G27" s="14">
        <f t="shared" si="0"/>
        <v>6.7999999999999996E-3</v>
      </c>
      <c r="H27" s="14"/>
      <c r="I27" s="15" t="s">
        <v>313</v>
      </c>
      <c r="K27" s="14" t="s">
        <v>395</v>
      </c>
      <c r="L27" s="48">
        <f t="shared" si="1"/>
        <v>8.0000000000000002E-3</v>
      </c>
    </row>
    <row r="28" spans="1:12" ht="12.75" customHeight="1" x14ac:dyDescent="0.2">
      <c r="A28">
        <f>+MAX($A$8:A27)+1</f>
        <v>20</v>
      </c>
      <c r="B28" t="s">
        <v>270</v>
      </c>
      <c r="C28" t="s">
        <v>74</v>
      </c>
      <c r="D28" t="s">
        <v>36</v>
      </c>
      <c r="E28" s="28">
        <v>229</v>
      </c>
      <c r="F28" s="13">
        <v>0.78100449999999999</v>
      </c>
      <c r="G28" s="14">
        <f t="shared" si="0"/>
        <v>6.6E-3</v>
      </c>
      <c r="H28" s="14"/>
      <c r="I28" s="15" t="s">
        <v>313</v>
      </c>
      <c r="K28" s="14" t="s">
        <v>43</v>
      </c>
      <c r="L28" s="48">
        <f t="shared" si="1"/>
        <v>6.6E-3</v>
      </c>
    </row>
    <row r="29" spans="1:12" ht="12.75" customHeight="1" x14ac:dyDescent="0.2">
      <c r="A29">
        <f>+MAX($A$8:A28)+1</f>
        <v>21</v>
      </c>
      <c r="B29" t="s">
        <v>522</v>
      </c>
      <c r="C29" t="s">
        <v>523</v>
      </c>
      <c r="D29" t="s">
        <v>22</v>
      </c>
      <c r="E29" s="28">
        <v>207</v>
      </c>
      <c r="F29" s="13">
        <v>0.77697450000000001</v>
      </c>
      <c r="G29" s="14">
        <f t="shared" si="0"/>
        <v>6.6E-3</v>
      </c>
      <c r="H29" s="14"/>
      <c r="I29" s="15" t="s">
        <v>313</v>
      </c>
      <c r="K29" s="14" t="s">
        <v>49</v>
      </c>
      <c r="L29" s="48">
        <f t="shared" si="1"/>
        <v>6.1999999999999998E-3</v>
      </c>
    </row>
    <row r="30" spans="1:12" ht="12.75" customHeight="1" x14ac:dyDescent="0.2">
      <c r="A30">
        <f>+MAX($A$8:A29)+1</f>
        <v>22</v>
      </c>
      <c r="B30" t="s">
        <v>190</v>
      </c>
      <c r="C30" t="s">
        <v>94</v>
      </c>
      <c r="D30" t="s">
        <v>9</v>
      </c>
      <c r="E30" s="28">
        <v>58</v>
      </c>
      <c r="F30" s="13">
        <v>0.74660499999999996</v>
      </c>
      <c r="G30" s="14">
        <f t="shared" si="0"/>
        <v>6.3E-3</v>
      </c>
      <c r="H30" s="14"/>
      <c r="I30" s="15" t="s">
        <v>313</v>
      </c>
      <c r="K30" s="14" t="s">
        <v>35</v>
      </c>
      <c r="L30" s="48">
        <f t="shared" si="1"/>
        <v>3.3E-3</v>
      </c>
    </row>
    <row r="31" spans="1:12" ht="12.75" customHeight="1" x14ac:dyDescent="0.2">
      <c r="A31">
        <f>+MAX($A$8:A30)+1</f>
        <v>23</v>
      </c>
      <c r="B31" t="s">
        <v>271</v>
      </c>
      <c r="C31" t="s">
        <v>65</v>
      </c>
      <c r="D31" t="s">
        <v>17</v>
      </c>
      <c r="E31" s="28">
        <v>582</v>
      </c>
      <c r="F31" s="13">
        <v>0.73564800000000008</v>
      </c>
      <c r="G31" s="14">
        <f t="shared" si="0"/>
        <v>6.3E-3</v>
      </c>
      <c r="H31" s="14"/>
      <c r="I31" s="15" t="s">
        <v>313</v>
      </c>
      <c r="K31" s="14" t="s">
        <v>41</v>
      </c>
      <c r="L31" s="48">
        <f t="shared" si="1"/>
        <v>3.2000000000000002E-3</v>
      </c>
    </row>
    <row r="32" spans="1:12" ht="12.75" customHeight="1" x14ac:dyDescent="0.2">
      <c r="A32">
        <f>+MAX($A$8:A31)+1</f>
        <v>24</v>
      </c>
      <c r="B32" t="s">
        <v>187</v>
      </c>
      <c r="C32" t="s">
        <v>47</v>
      </c>
      <c r="D32" t="s">
        <v>19</v>
      </c>
      <c r="E32" s="28">
        <v>8</v>
      </c>
      <c r="F32" s="13">
        <v>0.72771200000000003</v>
      </c>
      <c r="G32" s="14">
        <f t="shared" si="0"/>
        <v>6.1999999999999998E-3</v>
      </c>
      <c r="H32" s="14"/>
      <c r="I32" s="15" t="s">
        <v>313</v>
      </c>
      <c r="K32" s="14" t="s">
        <v>30</v>
      </c>
      <c r="L32" s="48">
        <f t="shared" si="1"/>
        <v>2.8999999999999998E-3</v>
      </c>
    </row>
    <row r="33" spans="1:12" ht="12.75" customHeight="1" x14ac:dyDescent="0.2">
      <c r="A33">
        <f>+MAX($A$8:A32)+1</f>
        <v>25</v>
      </c>
      <c r="B33" t="s">
        <v>206</v>
      </c>
      <c r="C33" t="s">
        <v>76</v>
      </c>
      <c r="D33" t="s">
        <v>49</v>
      </c>
      <c r="E33" s="28">
        <v>254</v>
      </c>
      <c r="F33" s="13">
        <v>0.72631299999999999</v>
      </c>
      <c r="G33" s="14">
        <f t="shared" si="0"/>
        <v>6.1999999999999998E-3</v>
      </c>
      <c r="H33" s="14"/>
      <c r="I33" s="15" t="s">
        <v>313</v>
      </c>
      <c r="K33" s="14" t="s">
        <v>32</v>
      </c>
      <c r="L33" s="48">
        <f t="shared" si="1"/>
        <v>2.8E-3</v>
      </c>
    </row>
    <row r="34" spans="1:12" ht="12.75" customHeight="1" x14ac:dyDescent="0.2">
      <c r="A34">
        <f>+MAX($A$8:A33)+1</f>
        <v>26</v>
      </c>
      <c r="B34" t="s">
        <v>209</v>
      </c>
      <c r="C34" t="s">
        <v>634</v>
      </c>
      <c r="D34" t="s">
        <v>24</v>
      </c>
      <c r="E34" s="28">
        <v>114</v>
      </c>
      <c r="F34" s="13">
        <v>0.71848500000000004</v>
      </c>
      <c r="G34" s="14">
        <f t="shared" si="0"/>
        <v>6.1000000000000004E-3</v>
      </c>
      <c r="H34" s="14"/>
      <c r="I34" s="15" t="s">
        <v>313</v>
      </c>
      <c r="K34" s="14" t="s">
        <v>357</v>
      </c>
      <c r="L34" s="48">
        <f t="shared" si="1"/>
        <v>1.6999999999999999E-3</v>
      </c>
    </row>
    <row r="35" spans="1:12" ht="12.75" customHeight="1" x14ac:dyDescent="0.2">
      <c r="A35">
        <f>+MAX($A$8:A34)+1</f>
        <v>27</v>
      </c>
      <c r="B35" t="s">
        <v>211</v>
      </c>
      <c r="C35" t="s">
        <v>96</v>
      </c>
      <c r="D35" t="s">
        <v>19</v>
      </c>
      <c r="E35" s="28">
        <v>70</v>
      </c>
      <c r="F35" s="13">
        <v>0.67571000000000003</v>
      </c>
      <c r="G35" s="14">
        <f t="shared" si="0"/>
        <v>5.7000000000000002E-3</v>
      </c>
      <c r="H35" s="14"/>
      <c r="I35" s="15" t="s">
        <v>313</v>
      </c>
      <c r="K35" s="14" t="s">
        <v>62</v>
      </c>
      <c r="L35" s="48">
        <f>+SUMIFS($G$5:$G$1002,$B$5:$B$1002,"CBLO / Reverse Repo")+SUMIFS($G$5:$G$1002,$B$5:$B$1002,"Net Receivable/Payable")</f>
        <v>7.0900000000000005E-2</v>
      </c>
    </row>
    <row r="36" spans="1:12" ht="12.75" customHeight="1" x14ac:dyDescent="0.2">
      <c r="A36">
        <f>+MAX($A$8:A35)+1</f>
        <v>28</v>
      </c>
      <c r="B36" t="s">
        <v>246</v>
      </c>
      <c r="C36" t="s">
        <v>138</v>
      </c>
      <c r="D36" t="s">
        <v>39</v>
      </c>
      <c r="E36" s="28">
        <v>108</v>
      </c>
      <c r="F36" s="13">
        <v>0.66684600000000005</v>
      </c>
      <c r="G36" s="14">
        <f t="shared" si="0"/>
        <v>5.7000000000000002E-3</v>
      </c>
      <c r="H36" s="14"/>
      <c r="I36" s="15" t="s">
        <v>313</v>
      </c>
      <c r="K36" s="14"/>
      <c r="L36" s="48"/>
    </row>
    <row r="37" spans="1:12" ht="12.75" customHeight="1" x14ac:dyDescent="0.2">
      <c r="A37">
        <f>+MAX($A$8:A36)+1</f>
        <v>29</v>
      </c>
      <c r="B37" t="s">
        <v>432</v>
      </c>
      <c r="C37" t="s">
        <v>383</v>
      </c>
      <c r="D37" t="s">
        <v>21</v>
      </c>
      <c r="E37" s="28">
        <v>200</v>
      </c>
      <c r="F37" s="13">
        <v>0.59240000000000004</v>
      </c>
      <c r="G37" s="14">
        <f t="shared" si="0"/>
        <v>5.0000000000000001E-3</v>
      </c>
      <c r="H37" s="14"/>
      <c r="I37" s="15" t="s">
        <v>313</v>
      </c>
      <c r="K37" s="14"/>
      <c r="L37" s="48"/>
    </row>
    <row r="38" spans="1:12" ht="12.75" customHeight="1" x14ac:dyDescent="0.2">
      <c r="A38">
        <f>+MAX($A$8:A37)+1</f>
        <v>30</v>
      </c>
      <c r="B38" t="s">
        <v>183</v>
      </c>
      <c r="C38" t="s">
        <v>48</v>
      </c>
      <c r="D38" t="s">
        <v>21</v>
      </c>
      <c r="E38" s="28">
        <v>7</v>
      </c>
      <c r="F38" s="13">
        <v>0.58315249999999996</v>
      </c>
      <c r="G38" s="14">
        <f t="shared" si="0"/>
        <v>5.0000000000000001E-3</v>
      </c>
      <c r="H38" s="14"/>
      <c r="I38" s="15" t="s">
        <v>313</v>
      </c>
      <c r="K38" s="14"/>
      <c r="L38" s="48"/>
    </row>
    <row r="39" spans="1:12" ht="12.75" customHeight="1" x14ac:dyDescent="0.2">
      <c r="A39">
        <f>+MAX($A$8:A38)+1</f>
        <v>31</v>
      </c>
      <c r="B39" t="s">
        <v>280</v>
      </c>
      <c r="C39" t="s">
        <v>281</v>
      </c>
      <c r="D39" t="s">
        <v>9</v>
      </c>
      <c r="E39" s="28">
        <v>286</v>
      </c>
      <c r="F39" s="13">
        <v>0.57929300000000006</v>
      </c>
      <c r="G39" s="14">
        <f t="shared" si="0"/>
        <v>4.8999999999999998E-3</v>
      </c>
      <c r="H39" s="14"/>
      <c r="I39" s="15" t="s">
        <v>313</v>
      </c>
      <c r="K39" s="14"/>
      <c r="L39" s="48"/>
    </row>
    <row r="40" spans="1:12" ht="12.75" customHeight="1" x14ac:dyDescent="0.2">
      <c r="A40">
        <f>+MAX($A$8:A39)+1</f>
        <v>32</v>
      </c>
      <c r="B40" t="s">
        <v>184</v>
      </c>
      <c r="C40" t="s">
        <v>50</v>
      </c>
      <c r="D40" t="s">
        <v>39</v>
      </c>
      <c r="E40" s="28">
        <v>668</v>
      </c>
      <c r="F40" s="13">
        <v>0.56947000000000003</v>
      </c>
      <c r="G40" s="14">
        <f t="shared" si="0"/>
        <v>4.7999999999999996E-3</v>
      </c>
      <c r="H40" s="14"/>
      <c r="I40" s="15" t="s">
        <v>313</v>
      </c>
      <c r="K40" s="14"/>
      <c r="L40" s="48"/>
    </row>
    <row r="41" spans="1:12" ht="12.75" customHeight="1" x14ac:dyDescent="0.2">
      <c r="A41">
        <f>+MAX($A$8:A40)+1</f>
        <v>33</v>
      </c>
      <c r="B41" t="s">
        <v>354</v>
      </c>
      <c r="C41" t="s">
        <v>66</v>
      </c>
      <c r="D41" t="s">
        <v>21</v>
      </c>
      <c r="E41" s="28">
        <v>85</v>
      </c>
      <c r="F41" s="13">
        <v>0.55492249999999999</v>
      </c>
      <c r="G41" s="14">
        <f t="shared" ref="G41:G71" si="2">+ROUND(F41/VLOOKUP("Grand Total",$B$4:$F$379,5,0),4)</f>
        <v>4.7000000000000002E-3</v>
      </c>
      <c r="H41" s="14"/>
      <c r="I41" s="15" t="s">
        <v>313</v>
      </c>
      <c r="K41" s="14"/>
      <c r="L41" s="48"/>
    </row>
    <row r="42" spans="1:12" ht="12.75" customHeight="1" x14ac:dyDescent="0.2">
      <c r="A42">
        <f>+MAX($A$8:A41)+1</f>
        <v>34</v>
      </c>
      <c r="B42" t="s">
        <v>202</v>
      </c>
      <c r="C42" t="s">
        <v>64</v>
      </c>
      <c r="D42" t="s">
        <v>26</v>
      </c>
      <c r="E42" s="28">
        <v>175</v>
      </c>
      <c r="F42" s="13">
        <v>0.52849999999999997</v>
      </c>
      <c r="G42" s="14">
        <f t="shared" si="2"/>
        <v>4.4999999999999997E-3</v>
      </c>
      <c r="H42" s="14"/>
      <c r="I42" s="15" t="s">
        <v>313</v>
      </c>
      <c r="K42" s="14"/>
      <c r="L42" s="48"/>
    </row>
    <row r="43" spans="1:12" ht="12.75" customHeight="1" x14ac:dyDescent="0.2">
      <c r="A43">
        <f>+MAX($A$8:A42)+1</f>
        <v>35</v>
      </c>
      <c r="B43" t="s">
        <v>309</v>
      </c>
      <c r="C43" t="s">
        <v>310</v>
      </c>
      <c r="D43" t="s">
        <v>36</v>
      </c>
      <c r="E43" s="28">
        <v>615</v>
      </c>
      <c r="F43" s="13">
        <v>0.51905999999999997</v>
      </c>
      <c r="G43" s="14">
        <f t="shared" si="2"/>
        <v>4.4000000000000003E-3</v>
      </c>
      <c r="H43" s="14"/>
      <c r="I43" s="15" t="s">
        <v>313</v>
      </c>
      <c r="K43" s="14"/>
      <c r="L43" s="48"/>
    </row>
    <row r="44" spans="1:12" ht="12.75" customHeight="1" x14ac:dyDescent="0.2">
      <c r="A44">
        <f>+MAX($A$8:A43)+1</f>
        <v>36</v>
      </c>
      <c r="B44" t="s">
        <v>193</v>
      </c>
      <c r="C44" t="s">
        <v>59</v>
      </c>
      <c r="D44" t="s">
        <v>21</v>
      </c>
      <c r="E44" s="28">
        <v>70</v>
      </c>
      <c r="F44" s="13">
        <v>0.49892500000000001</v>
      </c>
      <c r="G44" s="14">
        <f t="shared" si="2"/>
        <v>4.1999999999999997E-3</v>
      </c>
      <c r="H44" s="14"/>
      <c r="I44" s="15" t="s">
        <v>313</v>
      </c>
      <c r="K44" s="14"/>
      <c r="L44" s="48"/>
    </row>
    <row r="45" spans="1:12" ht="12.75" customHeight="1" x14ac:dyDescent="0.2">
      <c r="A45">
        <f>+MAX($A$8:A44)+1</f>
        <v>37</v>
      </c>
      <c r="B45" t="s">
        <v>468</v>
      </c>
      <c r="C45" t="s">
        <v>469</v>
      </c>
      <c r="D45" t="s">
        <v>102</v>
      </c>
      <c r="E45" s="28">
        <v>548</v>
      </c>
      <c r="F45" s="13">
        <v>0.49758400000000003</v>
      </c>
      <c r="G45" s="14">
        <f t="shared" si="2"/>
        <v>4.1999999999999997E-3</v>
      </c>
      <c r="H45" s="14"/>
      <c r="I45" s="15" t="s">
        <v>313</v>
      </c>
      <c r="K45" s="14"/>
      <c r="L45" s="48"/>
    </row>
    <row r="46" spans="1:12" ht="12.75" customHeight="1" x14ac:dyDescent="0.2">
      <c r="A46">
        <f>+MAX($A$8:A45)+1</f>
        <v>38</v>
      </c>
      <c r="B46" t="s">
        <v>175</v>
      </c>
      <c r="C46" t="s">
        <v>23</v>
      </c>
      <c r="D46" t="s">
        <v>13</v>
      </c>
      <c r="E46" s="28">
        <v>47</v>
      </c>
      <c r="F46" s="13">
        <v>0.49183150000000003</v>
      </c>
      <c r="G46" s="14">
        <f t="shared" si="2"/>
        <v>4.1999999999999997E-3</v>
      </c>
      <c r="H46" s="14"/>
      <c r="I46" s="15" t="s">
        <v>313</v>
      </c>
      <c r="K46" s="14"/>
      <c r="L46" s="48"/>
    </row>
    <row r="47" spans="1:12" ht="12.75" customHeight="1" x14ac:dyDescent="0.2">
      <c r="A47">
        <f>+MAX($A$8:A46)+1</f>
        <v>39</v>
      </c>
      <c r="B47" t="s">
        <v>456</v>
      </c>
      <c r="C47" t="s">
        <v>457</v>
      </c>
      <c r="D47" t="s">
        <v>102</v>
      </c>
      <c r="E47" s="28">
        <v>596</v>
      </c>
      <c r="F47" s="13">
        <v>0.475906</v>
      </c>
      <c r="G47" s="14">
        <f t="shared" si="2"/>
        <v>4.0000000000000001E-3</v>
      </c>
      <c r="H47" s="14"/>
      <c r="I47" s="15" t="s">
        <v>313</v>
      </c>
      <c r="K47" s="14"/>
      <c r="L47" s="48"/>
    </row>
    <row r="48" spans="1:12" ht="12.75" customHeight="1" x14ac:dyDescent="0.2">
      <c r="A48">
        <f>+MAX($A$8:A47)+1</f>
        <v>40</v>
      </c>
      <c r="B48" t="s">
        <v>38</v>
      </c>
      <c r="C48" t="s">
        <v>40</v>
      </c>
      <c r="D48" t="s">
        <v>9</v>
      </c>
      <c r="E48" s="28">
        <v>307</v>
      </c>
      <c r="F48" s="13">
        <v>0.46955649999999999</v>
      </c>
      <c r="G48" s="14">
        <f t="shared" si="2"/>
        <v>4.0000000000000001E-3</v>
      </c>
      <c r="H48" s="14"/>
      <c r="I48" s="15" t="s">
        <v>313</v>
      </c>
      <c r="K48" s="14"/>
      <c r="L48" s="48"/>
    </row>
    <row r="49" spans="1:12" ht="12.75" customHeight="1" x14ac:dyDescent="0.2">
      <c r="A49">
        <f>+MAX($A$8:A48)+1</f>
        <v>41</v>
      </c>
      <c r="B49" t="s">
        <v>151</v>
      </c>
      <c r="C49" t="s">
        <v>161</v>
      </c>
      <c r="D49" t="s">
        <v>9</v>
      </c>
      <c r="E49" s="28">
        <v>163</v>
      </c>
      <c r="F49" s="13">
        <v>0.46243099999999998</v>
      </c>
      <c r="G49" s="14">
        <f t="shared" si="2"/>
        <v>3.8999999999999998E-3</v>
      </c>
      <c r="H49" s="14"/>
      <c r="I49" s="15" t="s">
        <v>313</v>
      </c>
      <c r="K49" s="14"/>
      <c r="L49" s="48"/>
    </row>
    <row r="50" spans="1:12" ht="12.75" customHeight="1" x14ac:dyDescent="0.2">
      <c r="A50">
        <f>+MAX($A$8:A49)+1</f>
        <v>42</v>
      </c>
      <c r="B50" t="s">
        <v>219</v>
      </c>
      <c r="C50" t="s">
        <v>108</v>
      </c>
      <c r="D50" t="s">
        <v>19</v>
      </c>
      <c r="E50" s="28">
        <v>14</v>
      </c>
      <c r="F50" s="13">
        <v>0.45553199999999999</v>
      </c>
      <c r="G50" s="14">
        <f t="shared" si="2"/>
        <v>3.8999999999999998E-3</v>
      </c>
      <c r="H50" s="14"/>
      <c r="I50" s="15" t="s">
        <v>313</v>
      </c>
      <c r="K50" s="14"/>
      <c r="L50" s="48"/>
    </row>
    <row r="51" spans="1:12" ht="12.75" customHeight="1" x14ac:dyDescent="0.2">
      <c r="A51">
        <f>+MAX($A$8:A50)+1</f>
        <v>43</v>
      </c>
      <c r="B51" t="s">
        <v>195</v>
      </c>
      <c r="C51" t="s">
        <v>27</v>
      </c>
      <c r="D51" t="s">
        <v>9</v>
      </c>
      <c r="E51" s="28">
        <v>70</v>
      </c>
      <c r="F51" s="13">
        <v>0.45447500000000002</v>
      </c>
      <c r="G51" s="14">
        <f t="shared" si="2"/>
        <v>3.8999999999999998E-3</v>
      </c>
      <c r="H51" s="14"/>
      <c r="I51" s="15" t="s">
        <v>313</v>
      </c>
      <c r="K51" s="14"/>
      <c r="L51" s="48"/>
    </row>
    <row r="52" spans="1:12" ht="12.75" customHeight="1" x14ac:dyDescent="0.2">
      <c r="A52">
        <f>+MAX($A$8:A51)+1</f>
        <v>44</v>
      </c>
      <c r="B52" t="s">
        <v>398</v>
      </c>
      <c r="C52" t="s">
        <v>399</v>
      </c>
      <c r="D52" t="s">
        <v>22</v>
      </c>
      <c r="E52" s="28">
        <v>34</v>
      </c>
      <c r="F52" s="13">
        <v>0.45417199999999996</v>
      </c>
      <c r="G52" s="14">
        <f t="shared" si="2"/>
        <v>3.8999999999999998E-3</v>
      </c>
      <c r="H52" s="14"/>
      <c r="I52" s="15" t="s">
        <v>313</v>
      </c>
      <c r="K52" s="14"/>
      <c r="L52" s="48"/>
    </row>
    <row r="53" spans="1:12" ht="12.75" customHeight="1" x14ac:dyDescent="0.2">
      <c r="A53">
        <f>+MAX($A$8:A52)+1</f>
        <v>45</v>
      </c>
      <c r="B53" t="s">
        <v>289</v>
      </c>
      <c r="C53" t="s">
        <v>290</v>
      </c>
      <c r="D53" t="s">
        <v>17</v>
      </c>
      <c r="E53" s="28">
        <v>59</v>
      </c>
      <c r="F53" s="13">
        <v>0.44857699999999995</v>
      </c>
      <c r="G53" s="14">
        <f t="shared" si="2"/>
        <v>3.8E-3</v>
      </c>
      <c r="H53" s="14"/>
      <c r="I53" s="15" t="s">
        <v>313</v>
      </c>
      <c r="K53" s="14"/>
      <c r="L53" s="48"/>
    </row>
    <row r="54" spans="1:12" ht="12.75" customHeight="1" x14ac:dyDescent="0.2">
      <c r="A54">
        <f>+MAX($A$8:A53)+1</f>
        <v>46</v>
      </c>
      <c r="B54" t="s">
        <v>182</v>
      </c>
      <c r="C54" t="s">
        <v>51</v>
      </c>
      <c r="D54" t="s">
        <v>17</v>
      </c>
      <c r="E54" s="28">
        <v>10</v>
      </c>
      <c r="F54" s="13">
        <v>0.44755</v>
      </c>
      <c r="G54" s="14">
        <f t="shared" si="2"/>
        <v>3.8E-3</v>
      </c>
      <c r="H54" s="14"/>
      <c r="I54" s="15" t="s">
        <v>313</v>
      </c>
      <c r="K54" s="14"/>
      <c r="L54" s="48"/>
    </row>
    <row r="55" spans="1:12" ht="12.75" customHeight="1" x14ac:dyDescent="0.2">
      <c r="A55">
        <f>+MAX($A$8:A54)+1</f>
        <v>47</v>
      </c>
      <c r="B55" t="s">
        <v>465</v>
      </c>
      <c r="C55" t="s">
        <v>346</v>
      </c>
      <c r="D55" t="s">
        <v>9</v>
      </c>
      <c r="E55" s="28">
        <v>477</v>
      </c>
      <c r="F55" s="13">
        <v>0.44647199999999998</v>
      </c>
      <c r="G55" s="14">
        <f t="shared" si="2"/>
        <v>3.8E-3</v>
      </c>
      <c r="H55" s="14"/>
      <c r="I55" s="15" t="s">
        <v>313</v>
      </c>
      <c r="K55" s="14"/>
      <c r="L55" s="48"/>
    </row>
    <row r="56" spans="1:12" ht="12.75" customHeight="1" x14ac:dyDescent="0.2">
      <c r="A56">
        <f>+MAX($A$8:A55)+1</f>
        <v>48</v>
      </c>
      <c r="B56" t="s">
        <v>208</v>
      </c>
      <c r="C56" t="s">
        <v>78</v>
      </c>
      <c r="D56" t="s">
        <v>43</v>
      </c>
      <c r="E56" s="28">
        <v>145</v>
      </c>
      <c r="F56" s="13">
        <v>0.4343475</v>
      </c>
      <c r="G56" s="14">
        <f t="shared" si="2"/>
        <v>3.7000000000000002E-3</v>
      </c>
      <c r="H56" s="14"/>
      <c r="I56" s="15" t="s">
        <v>313</v>
      </c>
      <c r="K56" s="14"/>
      <c r="L56" s="48"/>
    </row>
    <row r="57" spans="1:12" ht="12.75" customHeight="1" x14ac:dyDescent="0.2">
      <c r="A57">
        <f>+MAX($A$8:A56)+1</f>
        <v>49</v>
      </c>
      <c r="B57" t="s">
        <v>198</v>
      </c>
      <c r="C57" t="s">
        <v>61</v>
      </c>
      <c r="D57" t="s">
        <v>34</v>
      </c>
      <c r="E57" s="28">
        <v>121</v>
      </c>
      <c r="F57" s="13">
        <v>0.43203050000000004</v>
      </c>
      <c r="G57" s="14">
        <f t="shared" si="2"/>
        <v>3.7000000000000002E-3</v>
      </c>
      <c r="H57" s="14"/>
      <c r="I57" s="15" t="s">
        <v>313</v>
      </c>
      <c r="K57" s="14"/>
      <c r="L57" s="48"/>
    </row>
    <row r="58" spans="1:12" ht="12.75" customHeight="1" x14ac:dyDescent="0.2">
      <c r="A58">
        <f>+MAX($A$8:A57)+1</f>
        <v>50</v>
      </c>
      <c r="B58" t="s">
        <v>177</v>
      </c>
      <c r="C58" t="s">
        <v>37</v>
      </c>
      <c r="D58" t="s">
        <v>19</v>
      </c>
      <c r="E58" s="28">
        <v>15</v>
      </c>
      <c r="F58" s="13">
        <v>0.41172750000000002</v>
      </c>
      <c r="G58" s="14">
        <f t="shared" si="2"/>
        <v>3.5000000000000001E-3</v>
      </c>
      <c r="H58" s="14"/>
      <c r="I58" s="15" t="s">
        <v>313</v>
      </c>
      <c r="K58" s="14"/>
      <c r="L58" s="48"/>
    </row>
    <row r="59" spans="1:12" ht="12.75" customHeight="1" x14ac:dyDescent="0.2">
      <c r="A59">
        <f>+MAX($A$8:A58)+1</f>
        <v>51</v>
      </c>
      <c r="B59" t="s">
        <v>494</v>
      </c>
      <c r="C59" t="s">
        <v>495</v>
      </c>
      <c r="D59" t="s">
        <v>35</v>
      </c>
      <c r="E59" s="28">
        <v>42</v>
      </c>
      <c r="F59" s="13">
        <v>0.39011699999999999</v>
      </c>
      <c r="G59" s="14">
        <f t="shared" si="2"/>
        <v>3.3E-3</v>
      </c>
      <c r="H59" s="14"/>
      <c r="I59" s="15" t="s">
        <v>313</v>
      </c>
      <c r="K59" s="14"/>
      <c r="L59" s="48"/>
    </row>
    <row r="60" spans="1:12" ht="12.75" customHeight="1" x14ac:dyDescent="0.2">
      <c r="A60">
        <f>+MAX($A$8:A59)+1</f>
        <v>52</v>
      </c>
      <c r="B60" t="s">
        <v>201</v>
      </c>
      <c r="C60" t="s">
        <v>68</v>
      </c>
      <c r="D60" t="s">
        <v>9</v>
      </c>
      <c r="E60" s="28">
        <v>474</v>
      </c>
      <c r="F60" s="13">
        <v>0.38441400000000003</v>
      </c>
      <c r="G60" s="14">
        <f t="shared" si="2"/>
        <v>3.3E-3</v>
      </c>
      <c r="H60" s="14"/>
      <c r="I60" s="15" t="s">
        <v>313</v>
      </c>
      <c r="K60" s="14"/>
      <c r="L60" s="48"/>
    </row>
    <row r="61" spans="1:12" ht="12.75" customHeight="1" x14ac:dyDescent="0.2">
      <c r="A61">
        <f>+MAX($A$8:A60)+1</f>
        <v>53</v>
      </c>
      <c r="B61" t="s">
        <v>437</v>
      </c>
      <c r="C61" t="s">
        <v>438</v>
      </c>
      <c r="D61" t="s">
        <v>9</v>
      </c>
      <c r="E61" s="28">
        <v>601</v>
      </c>
      <c r="F61" s="13">
        <v>0.38433949999999995</v>
      </c>
      <c r="G61" s="14">
        <f t="shared" si="2"/>
        <v>3.3E-3</v>
      </c>
      <c r="H61" s="14"/>
      <c r="I61" s="15" t="s">
        <v>313</v>
      </c>
      <c r="K61" s="14"/>
      <c r="L61" s="48"/>
    </row>
    <row r="62" spans="1:12" ht="12.75" customHeight="1" x14ac:dyDescent="0.2">
      <c r="A62">
        <f>+MAX($A$8:A61)+1</f>
        <v>54</v>
      </c>
      <c r="B62" t="s">
        <v>396</v>
      </c>
      <c r="C62" t="s">
        <v>397</v>
      </c>
      <c r="D62" t="s">
        <v>41</v>
      </c>
      <c r="E62" s="28">
        <v>45</v>
      </c>
      <c r="F62" s="13">
        <v>0.37946249999999998</v>
      </c>
      <c r="G62" s="14">
        <f t="shared" si="2"/>
        <v>3.2000000000000002E-3</v>
      </c>
      <c r="H62" s="14"/>
      <c r="I62" s="15" t="s">
        <v>313</v>
      </c>
      <c r="K62" s="14"/>
      <c r="L62" s="48"/>
    </row>
    <row r="63" spans="1:12" ht="12.75" customHeight="1" x14ac:dyDescent="0.2">
      <c r="A63">
        <f>+MAX($A$8:A62)+1</f>
        <v>55</v>
      </c>
      <c r="B63" t="s">
        <v>500</v>
      </c>
      <c r="C63" t="s">
        <v>501</v>
      </c>
      <c r="D63" t="s">
        <v>30</v>
      </c>
      <c r="E63" s="28">
        <v>166</v>
      </c>
      <c r="F63" s="13">
        <v>0.34644199999999997</v>
      </c>
      <c r="G63" s="14">
        <f t="shared" si="2"/>
        <v>2.8999999999999998E-3</v>
      </c>
      <c r="H63" s="14"/>
      <c r="I63" s="15" t="s">
        <v>313</v>
      </c>
      <c r="K63" s="14"/>
      <c r="L63" s="48"/>
    </row>
    <row r="64" spans="1:12" ht="12.75" customHeight="1" x14ac:dyDescent="0.2">
      <c r="A64">
        <f>+MAX($A$8:A63)+1</f>
        <v>56</v>
      </c>
      <c r="B64" t="s">
        <v>435</v>
      </c>
      <c r="C64" t="s">
        <v>436</v>
      </c>
      <c r="D64" t="s">
        <v>43</v>
      </c>
      <c r="E64" s="28">
        <v>456</v>
      </c>
      <c r="F64" s="13">
        <v>0.34131600000000001</v>
      </c>
      <c r="G64" s="14">
        <f t="shared" si="2"/>
        <v>2.8999999999999998E-3</v>
      </c>
      <c r="H64" s="14"/>
      <c r="I64" s="15" t="s">
        <v>313</v>
      </c>
      <c r="K64" s="14"/>
      <c r="L64" s="48"/>
    </row>
    <row r="65" spans="1:13" ht="12.75" customHeight="1" x14ac:dyDescent="0.2">
      <c r="A65">
        <f>+MAX($A$8:A64)+1</f>
        <v>57</v>
      </c>
      <c r="B65" t="s">
        <v>192</v>
      </c>
      <c r="C65" t="s">
        <v>63</v>
      </c>
      <c r="D65" t="s">
        <v>32</v>
      </c>
      <c r="E65" s="28">
        <v>87</v>
      </c>
      <c r="F65" s="13">
        <v>0.33394949999999995</v>
      </c>
      <c r="G65" s="14">
        <f t="shared" si="2"/>
        <v>2.8E-3</v>
      </c>
      <c r="H65" s="14"/>
      <c r="I65" s="15" t="s">
        <v>313</v>
      </c>
      <c r="K65" s="14"/>
      <c r="L65" s="48"/>
    </row>
    <row r="66" spans="1:13" ht="12.75" customHeight="1" x14ac:dyDescent="0.2">
      <c r="A66">
        <f>+MAX($A$8:A65)+1</f>
        <v>58</v>
      </c>
      <c r="B66" t="s">
        <v>433</v>
      </c>
      <c r="C66" t="s">
        <v>434</v>
      </c>
      <c r="D66" t="s">
        <v>126</v>
      </c>
      <c r="E66" s="28">
        <v>167</v>
      </c>
      <c r="F66" s="13">
        <v>0.31621450000000001</v>
      </c>
      <c r="G66" s="14">
        <f t="shared" si="2"/>
        <v>2.7000000000000001E-3</v>
      </c>
      <c r="H66" s="14"/>
      <c r="I66" s="15" t="s">
        <v>313</v>
      </c>
      <c r="K66" s="14"/>
      <c r="L66" s="48"/>
    </row>
    <row r="67" spans="1:13" ht="12.75" customHeight="1" x14ac:dyDescent="0.2">
      <c r="A67">
        <f>+MAX($A$8:A66)+1</f>
        <v>59</v>
      </c>
      <c r="B67" t="s">
        <v>185</v>
      </c>
      <c r="C67" t="s">
        <v>31</v>
      </c>
      <c r="D67" t="s">
        <v>17</v>
      </c>
      <c r="E67" s="28">
        <v>38</v>
      </c>
      <c r="F67" s="13">
        <v>0.304228</v>
      </c>
      <c r="G67" s="14">
        <f t="shared" si="2"/>
        <v>2.5999999999999999E-3</v>
      </c>
      <c r="H67" s="14"/>
      <c r="I67" s="15" t="s">
        <v>313</v>
      </c>
      <c r="K67" s="14"/>
      <c r="L67" s="48"/>
    </row>
    <row r="68" spans="1:13" ht="12.75" customHeight="1" x14ac:dyDescent="0.2">
      <c r="A68">
        <f>+MAX($A$8:A67)+1</f>
        <v>60</v>
      </c>
      <c r="B68" t="s">
        <v>355</v>
      </c>
      <c r="C68" t="s">
        <v>356</v>
      </c>
      <c r="D68" t="s">
        <v>357</v>
      </c>
      <c r="E68" s="28">
        <v>138</v>
      </c>
      <c r="F68" s="13">
        <v>0.195822</v>
      </c>
      <c r="G68" s="14">
        <f t="shared" si="2"/>
        <v>1.6999999999999999E-3</v>
      </c>
      <c r="H68" s="14"/>
      <c r="I68" s="15" t="s">
        <v>313</v>
      </c>
      <c r="K68" s="14"/>
      <c r="L68" s="48"/>
    </row>
    <row r="69" spans="1:13" ht="12.75" customHeight="1" x14ac:dyDescent="0.2">
      <c r="A69">
        <f>+MAX($A$8:A68)+1</f>
        <v>61</v>
      </c>
      <c r="B69" t="s">
        <v>466</v>
      </c>
      <c r="C69" t="s">
        <v>467</v>
      </c>
      <c r="D69" t="s">
        <v>9</v>
      </c>
      <c r="E69" s="28">
        <v>478</v>
      </c>
      <c r="F69" s="13">
        <v>0.19263400000000003</v>
      </c>
      <c r="G69" s="14">
        <f t="shared" si="2"/>
        <v>1.6000000000000001E-3</v>
      </c>
      <c r="H69" s="14"/>
      <c r="I69" s="15" t="s">
        <v>313</v>
      </c>
      <c r="K69" s="14"/>
      <c r="L69" s="48"/>
    </row>
    <row r="70" spans="1:13" ht="12.75" customHeight="1" x14ac:dyDescent="0.2">
      <c r="A70">
        <f>+MAX($A$8:A69)+1</f>
        <v>62</v>
      </c>
      <c r="B70" t="s">
        <v>278</v>
      </c>
      <c r="C70" t="s">
        <v>70</v>
      </c>
      <c r="D70" t="s">
        <v>26</v>
      </c>
      <c r="E70" s="28">
        <v>964</v>
      </c>
      <c r="F70" s="13">
        <v>0.13688799999999998</v>
      </c>
      <c r="G70" s="14">
        <f t="shared" si="2"/>
        <v>1.1999999999999999E-3</v>
      </c>
      <c r="H70" s="14"/>
      <c r="I70" s="15" t="s">
        <v>313</v>
      </c>
      <c r="K70" s="14"/>
      <c r="L70" s="48"/>
    </row>
    <row r="71" spans="1:13" ht="12.75" customHeight="1" x14ac:dyDescent="0.2">
      <c r="A71">
        <f>+MAX($A$8:A70)+1</f>
        <v>63</v>
      </c>
      <c r="B71" t="s">
        <v>197</v>
      </c>
      <c r="C71" t="s">
        <v>73</v>
      </c>
      <c r="D71" t="s">
        <v>34</v>
      </c>
      <c r="E71" s="28">
        <v>2658</v>
      </c>
      <c r="F71" s="13">
        <v>0.10897799999999999</v>
      </c>
      <c r="G71" s="14">
        <f t="shared" si="2"/>
        <v>8.9999999999999998E-4</v>
      </c>
      <c r="H71" s="14"/>
      <c r="I71" s="15" t="s">
        <v>313</v>
      </c>
      <c r="K71" s="14"/>
      <c r="L71" s="48"/>
    </row>
    <row r="72" spans="1:13" ht="12.75" customHeight="1" x14ac:dyDescent="0.2">
      <c r="B72" s="18" t="s">
        <v>82</v>
      </c>
      <c r="C72" s="18"/>
      <c r="D72" s="18"/>
      <c r="E72" s="19"/>
      <c r="F72" s="19">
        <f>SUM(F9:F71)</f>
        <v>46.78033750000003</v>
      </c>
      <c r="G72" s="20">
        <f>SUM(G9:G71)</f>
        <v>0.39750000000000013</v>
      </c>
      <c r="H72" s="20"/>
      <c r="I72" s="21"/>
      <c r="J72" s="35"/>
      <c r="M72" s="54" t="e">
        <f>+SUM(#REF!)</f>
        <v>#REF!</v>
      </c>
    </row>
    <row r="73" spans="1:13" ht="12.75" hidden="1" customHeight="1" x14ac:dyDescent="0.2">
      <c r="F73" s="13"/>
      <c r="G73" s="14"/>
      <c r="H73" s="14"/>
      <c r="I73" s="15"/>
    </row>
    <row r="74" spans="1:13" ht="12.75" hidden="1" customHeight="1" x14ac:dyDescent="0.2">
      <c r="B74" s="16" t="s">
        <v>90</v>
      </c>
      <c r="C74" s="16"/>
      <c r="F74" s="13"/>
      <c r="G74" s="14">
        <f>+ROUND(F74/VLOOKUP("Grand Total",$B$4:$F$375,5,0),4)</f>
        <v>0</v>
      </c>
      <c r="H74" s="14"/>
      <c r="I74" s="15"/>
    </row>
    <row r="75" spans="1:13" ht="12.75" hidden="1" customHeight="1" x14ac:dyDescent="0.2">
      <c r="B75" s="18" t="s">
        <v>82</v>
      </c>
      <c r="C75" s="18"/>
      <c r="D75" s="18"/>
      <c r="E75" s="29"/>
      <c r="F75" s="19">
        <f>SUM(F74:F74)</f>
        <v>0</v>
      </c>
      <c r="G75" s="20">
        <f>SUM(G74:G74)</f>
        <v>0</v>
      </c>
      <c r="H75" s="20"/>
      <c r="I75" s="21"/>
      <c r="J75" s="35"/>
    </row>
    <row r="76" spans="1:13" ht="12.75" customHeight="1" x14ac:dyDescent="0.2">
      <c r="F76" s="13"/>
      <c r="G76" s="14"/>
      <c r="H76" s="14"/>
      <c r="I76" s="15"/>
    </row>
    <row r="77" spans="1:13" ht="12.75" customHeight="1" x14ac:dyDescent="0.2">
      <c r="B77" s="16" t="s">
        <v>499</v>
      </c>
      <c r="C77" s="16"/>
      <c r="F77" s="13"/>
      <c r="G77" s="14"/>
      <c r="H77" s="14"/>
      <c r="I77" s="15"/>
    </row>
    <row r="78" spans="1:13" s="65" customFormat="1" ht="12.75" customHeight="1" x14ac:dyDescent="0.2">
      <c r="A78" s="77">
        <f>+MAX($A$8:A77)+1</f>
        <v>64</v>
      </c>
      <c r="B78" s="77" t="s">
        <v>207</v>
      </c>
      <c r="C78" s="77" t="s">
        <v>77</v>
      </c>
      <c r="D78" s="77" t="s">
        <v>28</v>
      </c>
      <c r="E78" s="74">
        <v>3150</v>
      </c>
      <c r="F78" s="75">
        <v>7.9946999999999999</v>
      </c>
      <c r="G78" s="76">
        <f>+ROUND(F78/VLOOKUP("Grand Total",$B$4:$F$379,5,0),4)</f>
        <v>6.8000000000000005E-2</v>
      </c>
      <c r="H78" s="76"/>
      <c r="I78" s="88" t="s">
        <v>313</v>
      </c>
      <c r="J78" s="73"/>
      <c r="K78" s="89"/>
      <c r="L78" s="102"/>
    </row>
    <row r="79" spans="1:13" s="65" customFormat="1" ht="12.75" customHeight="1" x14ac:dyDescent="0.2">
      <c r="A79" s="77">
        <f>+A78+1</f>
        <v>65</v>
      </c>
      <c r="B79" s="77" t="s">
        <v>207</v>
      </c>
      <c r="C79" s="131" t="s">
        <v>787</v>
      </c>
      <c r="D79" s="77" t="s">
        <v>282</v>
      </c>
      <c r="E79" s="74">
        <v>-3150</v>
      </c>
      <c r="F79" s="75">
        <v>-8.0561249999999998</v>
      </c>
      <c r="G79" s="76"/>
      <c r="H79" s="76">
        <f>+ROUND(F79/VLOOKUP("Grand Total",$B$4:$F$379,5,0),4)</f>
        <v>-6.8500000000000005E-2</v>
      </c>
      <c r="I79" s="103">
        <v>43370</v>
      </c>
      <c r="J79" s="73"/>
      <c r="K79" s="80"/>
      <c r="L79" s="123"/>
    </row>
    <row r="80" spans="1:13" s="65" customFormat="1" ht="12.75" customHeight="1" x14ac:dyDescent="0.2">
      <c r="A80" s="77">
        <f t="shared" ref="A80:A87" si="3">+A79+1</f>
        <v>66</v>
      </c>
      <c r="B80" s="77" t="s">
        <v>217</v>
      </c>
      <c r="C80" s="77" t="s">
        <v>107</v>
      </c>
      <c r="D80" s="77" t="s">
        <v>13</v>
      </c>
      <c r="E80" s="74">
        <v>2400</v>
      </c>
      <c r="F80" s="75">
        <v>7.23</v>
      </c>
      <c r="G80" s="76">
        <f>+ROUND(F80/VLOOKUP("Grand Total",$B$4:$F$379,5,0),4)</f>
        <v>6.1499999999999999E-2</v>
      </c>
      <c r="H80" s="76"/>
      <c r="I80" s="88" t="s">
        <v>313</v>
      </c>
      <c r="J80" s="73"/>
      <c r="K80" s="89"/>
      <c r="L80" s="102"/>
    </row>
    <row r="81" spans="1:13" s="65" customFormat="1" ht="12.75" customHeight="1" x14ac:dyDescent="0.2">
      <c r="A81" s="77">
        <f t="shared" si="3"/>
        <v>67</v>
      </c>
      <c r="B81" s="77" t="s">
        <v>217</v>
      </c>
      <c r="C81" s="131" t="s">
        <v>787</v>
      </c>
      <c r="D81" s="77" t="s">
        <v>282</v>
      </c>
      <c r="E81" s="74">
        <v>-2400</v>
      </c>
      <c r="F81" s="75">
        <v>-7.2935999999999996</v>
      </c>
      <c r="G81" s="76"/>
      <c r="H81" s="76">
        <f>+ROUND(F81/VLOOKUP("Grand Total",$B$4:$F$379,5,0),4)</f>
        <v>-6.2E-2</v>
      </c>
      <c r="I81" s="103">
        <v>43370</v>
      </c>
      <c r="J81" s="73"/>
      <c r="K81" s="80"/>
      <c r="L81" s="123"/>
    </row>
    <row r="82" spans="1:13" s="65" customFormat="1" ht="12.75" customHeight="1" x14ac:dyDescent="0.2">
      <c r="A82" s="77">
        <f t="shared" si="3"/>
        <v>68</v>
      </c>
      <c r="B82" s="77" t="s">
        <v>227</v>
      </c>
      <c r="C82" s="77" t="s">
        <v>117</v>
      </c>
      <c r="D82" s="77" t="s">
        <v>102</v>
      </c>
      <c r="E82" s="74">
        <v>1061</v>
      </c>
      <c r="F82" s="75">
        <v>6.3713050000000004</v>
      </c>
      <c r="G82" s="76">
        <f>+ROUND(F82/VLOOKUP("Grand Total",$B$4:$F$379,5,0),4)</f>
        <v>5.4199999999999998E-2</v>
      </c>
      <c r="H82" s="76"/>
      <c r="I82" s="88" t="s">
        <v>313</v>
      </c>
      <c r="J82" s="73"/>
      <c r="K82" s="89"/>
      <c r="L82" s="102"/>
    </row>
    <row r="83" spans="1:13" s="65" customFormat="1" ht="12.75" customHeight="1" x14ac:dyDescent="0.2">
      <c r="A83" s="77">
        <f t="shared" si="3"/>
        <v>69</v>
      </c>
      <c r="B83" s="77" t="s">
        <v>227</v>
      </c>
      <c r="C83" s="131" t="s">
        <v>787</v>
      </c>
      <c r="D83" s="77" t="s">
        <v>282</v>
      </c>
      <c r="E83" s="74">
        <v>-1061</v>
      </c>
      <c r="F83" s="75">
        <v>-6.4222330000000003</v>
      </c>
      <c r="G83" s="76"/>
      <c r="H83" s="76">
        <f>+ROUND(F83/VLOOKUP("Grand Total",$B$4:$F$379,5,0),4)</f>
        <v>-5.4600000000000003E-2</v>
      </c>
      <c r="I83" s="103">
        <v>43370</v>
      </c>
      <c r="J83" s="73"/>
      <c r="K83" s="80"/>
      <c r="L83" s="123"/>
    </row>
    <row r="84" spans="1:13" s="65" customFormat="1" ht="12.75" customHeight="1" x14ac:dyDescent="0.2">
      <c r="A84" s="77">
        <f t="shared" si="3"/>
        <v>70</v>
      </c>
      <c r="B84" s="77" t="s">
        <v>297</v>
      </c>
      <c r="C84" s="77" t="s">
        <v>298</v>
      </c>
      <c r="D84" s="77" t="s">
        <v>22</v>
      </c>
      <c r="E84" s="74">
        <v>500</v>
      </c>
      <c r="F84" s="75">
        <v>6.2962499999999997</v>
      </c>
      <c r="G84" s="76">
        <f>+ROUND(F84/VLOOKUP("Grand Total",$B$4:$F$379,5,0),4)</f>
        <v>5.3499999999999999E-2</v>
      </c>
      <c r="H84" s="76"/>
      <c r="I84" s="88" t="s">
        <v>313</v>
      </c>
      <c r="J84" s="73"/>
      <c r="K84" s="89"/>
      <c r="L84" s="102"/>
    </row>
    <row r="85" spans="1:13" s="65" customFormat="1" ht="12.75" customHeight="1" x14ac:dyDescent="0.2">
      <c r="A85" s="77">
        <f t="shared" si="3"/>
        <v>71</v>
      </c>
      <c r="B85" s="77" t="s">
        <v>297</v>
      </c>
      <c r="C85" s="131" t="s">
        <v>787</v>
      </c>
      <c r="D85" s="77" t="s">
        <v>282</v>
      </c>
      <c r="E85" s="74">
        <v>-500</v>
      </c>
      <c r="F85" s="75">
        <v>-6.3404999999999996</v>
      </c>
      <c r="G85" s="76"/>
      <c r="H85" s="76">
        <f>+ROUND(F85/VLOOKUP("Grand Total",$B$4:$F$379,5,0),4)</f>
        <v>-5.3900000000000003E-2</v>
      </c>
      <c r="I85" s="103">
        <v>43370</v>
      </c>
      <c r="J85" s="73"/>
      <c r="K85" s="80"/>
      <c r="L85" s="123"/>
    </row>
    <row r="86" spans="1:13" s="65" customFormat="1" ht="12.75" customHeight="1" x14ac:dyDescent="0.2">
      <c r="A86" s="77">
        <f t="shared" si="3"/>
        <v>72</v>
      </c>
      <c r="B86" s="77" t="s">
        <v>215</v>
      </c>
      <c r="C86" s="77" t="s">
        <v>105</v>
      </c>
      <c r="D86" s="77" t="s">
        <v>21</v>
      </c>
      <c r="E86" s="74">
        <v>250</v>
      </c>
      <c r="F86" s="75">
        <v>6.23</v>
      </c>
      <c r="G86" s="76">
        <f>+ROUND(F86/VLOOKUP("Grand Total",$B$4:$F$379,5,0),4)</f>
        <v>5.2999999999999999E-2</v>
      </c>
      <c r="H86" s="76"/>
      <c r="I86" s="88" t="s">
        <v>313</v>
      </c>
      <c r="J86" s="73"/>
      <c r="K86" s="89"/>
      <c r="L86" s="102"/>
    </row>
    <row r="87" spans="1:13" s="65" customFormat="1" ht="12.75" customHeight="1" x14ac:dyDescent="0.2">
      <c r="A87" s="77">
        <f t="shared" si="3"/>
        <v>73</v>
      </c>
      <c r="B87" s="77" t="s">
        <v>215</v>
      </c>
      <c r="C87" s="131" t="s">
        <v>787</v>
      </c>
      <c r="D87" s="77" t="s">
        <v>282</v>
      </c>
      <c r="E87" s="74">
        <v>-250</v>
      </c>
      <c r="F87" s="75">
        <v>-6.2727500000000003</v>
      </c>
      <c r="G87" s="76"/>
      <c r="H87" s="76">
        <f>+ROUND(F87/VLOOKUP("Grand Total",$B$4:$F$379,5,0),4)</f>
        <v>-5.33E-2</v>
      </c>
      <c r="I87" s="103">
        <v>43370</v>
      </c>
      <c r="J87" s="73"/>
      <c r="K87" s="80"/>
      <c r="L87" s="123"/>
    </row>
    <row r="88" spans="1:13" ht="12.75" customHeight="1" x14ac:dyDescent="0.2">
      <c r="B88" s="18" t="s">
        <v>82</v>
      </c>
      <c r="C88" s="18"/>
      <c r="D88" s="18"/>
      <c r="E88" s="29"/>
      <c r="F88" s="124">
        <f>+F78+F80+F82+F84+F86</f>
        <v>34.122255000000003</v>
      </c>
      <c r="G88" s="122">
        <f>+G78+G80+G82+G84+G86</f>
        <v>0.29020000000000001</v>
      </c>
      <c r="H88" s="122">
        <f>SUM(H79:H87)</f>
        <v>-0.2923</v>
      </c>
      <c r="I88" s="21"/>
      <c r="J88" s="35"/>
      <c r="M88" s="54">
        <f>+SUM($L$9:L85)</f>
        <v>0.99999999999999989</v>
      </c>
    </row>
    <row r="89" spans="1:13" ht="12.75" customHeight="1" x14ac:dyDescent="0.2">
      <c r="F89" s="28"/>
      <c r="G89" s="28"/>
      <c r="H89" s="28"/>
      <c r="I89" s="15"/>
    </row>
    <row r="90" spans="1:13" ht="12.75" customHeight="1" x14ac:dyDescent="0.2">
      <c r="B90" s="16" t="s">
        <v>88</v>
      </c>
      <c r="F90" s="13"/>
      <c r="G90" s="14"/>
      <c r="H90" s="14"/>
      <c r="I90" s="15"/>
    </row>
    <row r="91" spans="1:13" ht="12.75" customHeight="1" x14ac:dyDescent="0.2">
      <c r="B91" s="16" t="s">
        <v>153</v>
      </c>
      <c r="C91" s="16"/>
      <c r="F91" s="13"/>
      <c r="G91" s="14"/>
      <c r="H91" s="14"/>
      <c r="I91" s="15"/>
    </row>
    <row r="92" spans="1:13" ht="12.75" customHeight="1" x14ac:dyDescent="0.2">
      <c r="A92">
        <f>+MAX($A$8:A91)+1</f>
        <v>74</v>
      </c>
      <c r="B92" t="s">
        <v>450</v>
      </c>
      <c r="C92" t="s">
        <v>672</v>
      </c>
      <c r="D92" t="s">
        <v>345</v>
      </c>
      <c r="E92" s="28">
        <v>1000</v>
      </c>
      <c r="F92" s="13">
        <v>0.98631999999999997</v>
      </c>
      <c r="G92" s="14">
        <f>+ROUND(F92/VLOOKUP("Grand Total",$B$4:$F$379,5,0),4)</f>
        <v>8.3999999999999995E-3</v>
      </c>
      <c r="H92" s="14"/>
      <c r="I92" s="15">
        <v>43419</v>
      </c>
      <c r="K92" s="17"/>
      <c r="L92" s="37"/>
    </row>
    <row r="93" spans="1:13" ht="12.75" customHeight="1" x14ac:dyDescent="0.2">
      <c r="B93" s="18" t="s">
        <v>82</v>
      </c>
      <c r="C93" s="18"/>
      <c r="D93" s="18"/>
      <c r="E93" s="29"/>
      <c r="F93" s="19">
        <f>SUM(F92:F92)</f>
        <v>0.98631999999999997</v>
      </c>
      <c r="G93" s="20">
        <f>SUM(G92:G92)</f>
        <v>8.3999999999999995E-3</v>
      </c>
      <c r="H93" s="20"/>
      <c r="I93" s="21"/>
      <c r="J93" s="35"/>
      <c r="M93" s="54">
        <f>+SUM($L$9:L92)</f>
        <v>0.99999999999999989</v>
      </c>
    </row>
    <row r="94" spans="1:13" ht="12.75" customHeight="1" x14ac:dyDescent="0.2">
      <c r="F94" s="13"/>
      <c r="G94" s="14"/>
      <c r="H94" s="14"/>
      <c r="I94" s="15"/>
    </row>
    <row r="95" spans="1:13" ht="12.75" customHeight="1" x14ac:dyDescent="0.2">
      <c r="B95" s="16" t="s">
        <v>89</v>
      </c>
      <c r="C95" s="16"/>
      <c r="F95" s="13"/>
      <c r="G95" s="14"/>
      <c r="H95" s="14"/>
      <c r="I95" s="15"/>
    </row>
    <row r="96" spans="1:13" ht="12.75" customHeight="1" x14ac:dyDescent="0.2">
      <c r="A96">
        <f>+MAX($A$8:A95)+1</f>
        <v>75</v>
      </c>
      <c r="B96" t="s">
        <v>286</v>
      </c>
      <c r="C96" t="s">
        <v>264</v>
      </c>
      <c r="D96" t="s">
        <v>279</v>
      </c>
      <c r="E96" s="28">
        <v>689.49109999999996</v>
      </c>
      <c r="F96" s="13">
        <v>20.286438100000002</v>
      </c>
      <c r="G96" s="14">
        <f>+ROUND(F96/VLOOKUP("Grand Total",$B$4:$F$379,5,0),4)</f>
        <v>0.17249999999999999</v>
      </c>
      <c r="H96" s="14"/>
      <c r="I96" s="15" t="s">
        <v>313</v>
      </c>
      <c r="K96" s="17"/>
      <c r="L96" s="37"/>
    </row>
    <row r="97" spans="1:13" ht="12.75" customHeight="1" x14ac:dyDescent="0.2">
      <c r="A97">
        <f>+MAX($A$8:A96)+1</f>
        <v>76</v>
      </c>
      <c r="B97" t="s">
        <v>368</v>
      </c>
      <c r="C97" t="s">
        <v>299</v>
      </c>
      <c r="D97" t="s">
        <v>279</v>
      </c>
      <c r="E97" s="28">
        <v>409.19580000000002</v>
      </c>
      <c r="F97" s="13">
        <v>7.1108516000000002</v>
      </c>
      <c r="G97" s="14">
        <f>+ROUND(F97/VLOOKUP("Grand Total",$B$4:$F$379,5,0),4)</f>
        <v>6.0499999999999998E-2</v>
      </c>
      <c r="H97" s="14"/>
      <c r="I97" s="15" t="s">
        <v>313</v>
      </c>
      <c r="K97" s="14"/>
      <c r="L97" s="48"/>
    </row>
    <row r="98" spans="1:13" ht="12.75" customHeight="1" x14ac:dyDescent="0.2">
      <c r="B98" s="18" t="s">
        <v>82</v>
      </c>
      <c r="C98" s="18"/>
      <c r="D98" s="18"/>
      <c r="E98" s="29"/>
      <c r="F98" s="19">
        <f>SUM(F96:F97)</f>
        <v>27.397289700000002</v>
      </c>
      <c r="G98" s="20">
        <f>SUM(G96:G97)</f>
        <v>0.23299999999999998</v>
      </c>
      <c r="H98" s="20"/>
      <c r="I98" s="21"/>
      <c r="J98" s="35"/>
      <c r="M98" s="54">
        <f>+SUM($L$9:L97)</f>
        <v>0.99999999999999989</v>
      </c>
    </row>
    <row r="99" spans="1:13" ht="12.75" customHeight="1" x14ac:dyDescent="0.2">
      <c r="F99" s="13"/>
      <c r="G99" s="14"/>
      <c r="H99" s="14"/>
      <c r="I99" s="15"/>
    </row>
    <row r="100" spans="1:13" ht="12.75" customHeight="1" x14ac:dyDescent="0.2">
      <c r="B100" s="16" t="s">
        <v>91</v>
      </c>
      <c r="C100" s="16"/>
      <c r="F100" s="13"/>
      <c r="G100" s="14"/>
      <c r="H100" s="14"/>
      <c r="I100" s="15"/>
    </row>
    <row r="101" spans="1:13" ht="12.75" customHeight="1" x14ac:dyDescent="0.2">
      <c r="A101" s="94" t="s">
        <v>312</v>
      </c>
      <c r="B101" s="16" t="s">
        <v>633</v>
      </c>
      <c r="C101" s="16"/>
      <c r="F101" s="13">
        <v>7.1732401000000001</v>
      </c>
      <c r="G101" s="14">
        <f>+ROUND(F101/VLOOKUP("Grand Total",$B$4:$F$373,5,0),4)</f>
        <v>6.0999999999999999E-2</v>
      </c>
      <c r="H101" s="14"/>
      <c r="I101" s="15">
        <v>43346</v>
      </c>
    </row>
    <row r="102" spans="1:13" ht="12.75" customHeight="1" x14ac:dyDescent="0.2">
      <c r="B102" s="16" t="s">
        <v>92</v>
      </c>
      <c r="C102" s="16"/>
      <c r="F102" s="44">
        <f>+F104-SUMIF($B$5:B100,"Total",$F$5:F100)-VLOOKUP(B101,$B$7:F102,5,0)</f>
        <v>1.1425479999999917</v>
      </c>
      <c r="G102" s="14">
        <f>+ROUND(F102/VLOOKUP("Grand Total",$B$4:$F$379,5,0),4)+0.02%</f>
        <v>9.9000000000000008E-3</v>
      </c>
      <c r="H102" s="14"/>
      <c r="I102" s="15"/>
    </row>
    <row r="103" spans="1:13" ht="12.75" customHeight="1" x14ac:dyDescent="0.2">
      <c r="B103" s="18" t="s">
        <v>82</v>
      </c>
      <c r="C103" s="18"/>
      <c r="D103" s="18"/>
      <c r="E103" s="29"/>
      <c r="F103" s="50">
        <f>SUM(F101:F102)</f>
        <v>8.3157880999999918</v>
      </c>
      <c r="G103" s="20">
        <f>SUM(G101:G102)</f>
        <v>7.0900000000000005E-2</v>
      </c>
      <c r="H103" s="20"/>
      <c r="I103" s="21"/>
      <c r="J103" s="35"/>
    </row>
    <row r="104" spans="1:13" ht="12.75" customHeight="1" x14ac:dyDescent="0.2">
      <c r="B104" s="22" t="s">
        <v>93</v>
      </c>
      <c r="C104" s="22"/>
      <c r="D104" s="22"/>
      <c r="E104" s="30"/>
      <c r="F104" s="23">
        <v>117.60199030000003</v>
      </c>
      <c r="G104" s="24">
        <f>+SUMIF($B$5:B103,"Total",$G$5:G103)</f>
        <v>1.0000000000000002</v>
      </c>
      <c r="H104" s="24"/>
      <c r="I104" s="25"/>
      <c r="J104" s="35"/>
    </row>
    <row r="105" spans="1:13" ht="12.75" customHeight="1" x14ac:dyDescent="0.2"/>
    <row r="106" spans="1:13" ht="12.75" customHeight="1" x14ac:dyDescent="0.2">
      <c r="B106" s="16"/>
      <c r="C106" s="16"/>
    </row>
    <row r="107" spans="1:13" ht="12.75" customHeight="1" x14ac:dyDescent="0.2">
      <c r="B107" s="16"/>
      <c r="C107" s="16"/>
    </row>
    <row r="108" spans="1:13" ht="12.75" customHeight="1" x14ac:dyDescent="0.2">
      <c r="B108" s="16"/>
      <c r="C108" s="16"/>
    </row>
    <row r="109" spans="1:13" ht="12.75" customHeight="1" x14ac:dyDescent="0.2">
      <c r="B109" s="16"/>
      <c r="C109" s="16"/>
    </row>
    <row r="110" spans="1:13" ht="12.75" customHeight="1" x14ac:dyDescent="0.2">
      <c r="B110" s="16"/>
      <c r="C110" s="16"/>
    </row>
    <row r="111" spans="1:13" ht="12.75" customHeight="1" x14ac:dyDescent="0.2"/>
    <row r="112" spans="1:1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</sheetData>
  <sortState ref="K9:L35">
    <sortCondition descending="1" ref="L9:L35"/>
  </sortState>
  <mergeCells count="1">
    <mergeCell ref="B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M13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  <col min="10" max="10" width="15" style="33" customWidth="1"/>
    <col min="11" max="11" width="42.5703125" bestFit="1" customWidth="1"/>
    <col min="12" max="12" width="8.28515625" style="36" bestFit="1" customWidth="1"/>
  </cols>
  <sheetData>
    <row r="1" spans="1:12" ht="18.75" x14ac:dyDescent="0.2">
      <c r="A1" s="93" t="s">
        <v>332</v>
      </c>
      <c r="B1" s="128" t="s">
        <v>752</v>
      </c>
      <c r="C1" s="129"/>
      <c r="D1" s="129"/>
      <c r="E1" s="129"/>
      <c r="F1" s="129"/>
      <c r="G1" s="129"/>
      <c r="H1" s="129"/>
      <c r="I1" s="130"/>
    </row>
    <row r="2" spans="1:12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  <c r="I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2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127" t="s">
        <v>792</v>
      </c>
      <c r="I4" s="32" t="s">
        <v>6</v>
      </c>
      <c r="J4" s="34"/>
    </row>
    <row r="5" spans="1:12" ht="12.75" customHeight="1" x14ac:dyDescent="0.2">
      <c r="F5" s="13"/>
      <c r="G5" s="14"/>
      <c r="H5" s="14"/>
      <c r="I5" s="15"/>
    </row>
    <row r="6" spans="1:12" ht="12.75" customHeight="1" x14ac:dyDescent="0.2">
      <c r="F6" s="13"/>
      <c r="G6" s="14"/>
      <c r="H6" s="14"/>
      <c r="I6" s="15"/>
    </row>
    <row r="7" spans="1:12" ht="12.75" customHeight="1" x14ac:dyDescent="0.2">
      <c r="B7" s="16" t="s">
        <v>8</v>
      </c>
      <c r="F7" s="13"/>
      <c r="G7" s="14"/>
      <c r="H7" s="14"/>
      <c r="I7" s="15"/>
    </row>
    <row r="8" spans="1:12" ht="12.75" customHeight="1" x14ac:dyDescent="0.2">
      <c r="B8" s="16" t="s">
        <v>347</v>
      </c>
      <c r="C8" s="16"/>
      <c r="F8" s="13"/>
      <c r="G8" s="14"/>
      <c r="H8" s="14"/>
      <c r="I8" s="15"/>
      <c r="K8" s="17" t="s">
        <v>493</v>
      </c>
      <c r="L8" s="37" t="s">
        <v>11</v>
      </c>
    </row>
    <row r="9" spans="1:12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134</v>
      </c>
      <c r="F9" s="13">
        <v>2.7620079999999998</v>
      </c>
      <c r="G9" s="14">
        <f t="shared" ref="G9:G40" si="0">+ROUND(F9/VLOOKUP("Grand Total",$B$4:$F$380,5,0),4)</f>
        <v>1.17E-2</v>
      </c>
      <c r="H9" s="14"/>
      <c r="I9" s="15" t="s">
        <v>313</v>
      </c>
      <c r="K9" s="89" t="s">
        <v>279</v>
      </c>
      <c r="L9" s="48">
        <f t="shared" ref="L9:L35" si="1">SUMIFS($G$5:$G$407,$D$5:$D$407,K9)</f>
        <v>0.28420000000000001</v>
      </c>
    </row>
    <row r="10" spans="1:12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219</v>
      </c>
      <c r="F10" s="13">
        <v>2.7192135</v>
      </c>
      <c r="G10" s="14">
        <f t="shared" si="0"/>
        <v>1.15E-2</v>
      </c>
      <c r="H10" s="14"/>
      <c r="I10" s="15" t="s">
        <v>313</v>
      </c>
      <c r="K10" s="89" t="s">
        <v>22</v>
      </c>
      <c r="L10" s="48">
        <f t="shared" si="1"/>
        <v>0.16649999999999998</v>
      </c>
    </row>
    <row r="11" spans="1:12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700</v>
      </c>
      <c r="F11" s="13">
        <v>2.23895</v>
      </c>
      <c r="G11" s="14">
        <f t="shared" si="0"/>
        <v>9.4999999999999998E-3</v>
      </c>
      <c r="H11" s="14"/>
      <c r="I11" s="15" t="s">
        <v>313</v>
      </c>
      <c r="K11" s="89" t="s">
        <v>13</v>
      </c>
      <c r="L11" s="48">
        <f t="shared" si="1"/>
        <v>0.1109</v>
      </c>
    </row>
    <row r="12" spans="1:12" ht="12.75" customHeight="1" x14ac:dyDescent="0.2">
      <c r="A12">
        <f>+MAX($A$8:A11)+1</f>
        <v>4</v>
      </c>
      <c r="B12" t="s">
        <v>194</v>
      </c>
      <c r="C12" t="s">
        <v>18</v>
      </c>
      <c r="D12" t="s">
        <v>13</v>
      </c>
      <c r="E12" s="28">
        <v>101</v>
      </c>
      <c r="F12" s="13">
        <v>2.0991840000000002</v>
      </c>
      <c r="G12" s="14">
        <f t="shared" si="0"/>
        <v>8.8999999999999999E-3</v>
      </c>
      <c r="H12" s="14"/>
      <c r="I12" s="15" t="s">
        <v>313</v>
      </c>
      <c r="K12" s="89" t="s">
        <v>28</v>
      </c>
      <c r="L12" s="48">
        <f t="shared" si="1"/>
        <v>7.9399999999999998E-2</v>
      </c>
    </row>
    <row r="13" spans="1:12" ht="12.75" customHeight="1" x14ac:dyDescent="0.2">
      <c r="A13">
        <f>+MAX($A$8:A12)+1</f>
        <v>5</v>
      </c>
      <c r="B13" t="s">
        <v>173</v>
      </c>
      <c r="C13" t="s">
        <v>10</v>
      </c>
      <c r="D13" t="s">
        <v>9</v>
      </c>
      <c r="E13" s="28">
        <v>609</v>
      </c>
      <c r="F13" s="13">
        <v>2.0864340000000001</v>
      </c>
      <c r="G13" s="14">
        <f t="shared" si="0"/>
        <v>8.8999999999999999E-3</v>
      </c>
      <c r="H13" s="14"/>
      <c r="I13" s="15" t="s">
        <v>313</v>
      </c>
      <c r="K13" s="89" t="s">
        <v>21</v>
      </c>
      <c r="L13" s="48">
        <f t="shared" si="1"/>
        <v>6.4200000000000007E-2</v>
      </c>
    </row>
    <row r="14" spans="1:12" ht="12.75" customHeight="1" x14ac:dyDescent="0.2">
      <c r="A14">
        <f>+MAX($A$8:A13)+1</f>
        <v>6</v>
      </c>
      <c r="B14" t="s">
        <v>15</v>
      </c>
      <c r="C14" t="s">
        <v>16</v>
      </c>
      <c r="D14" t="s">
        <v>9</v>
      </c>
      <c r="E14" s="28">
        <v>635</v>
      </c>
      <c r="F14" s="13">
        <v>1.9659599999999999</v>
      </c>
      <c r="G14" s="14">
        <f t="shared" si="0"/>
        <v>8.3000000000000001E-3</v>
      </c>
      <c r="H14" s="14"/>
      <c r="I14" s="15" t="s">
        <v>313</v>
      </c>
      <c r="K14" s="89" t="s">
        <v>102</v>
      </c>
      <c r="L14" s="48">
        <f t="shared" si="1"/>
        <v>5.8300000000000005E-2</v>
      </c>
    </row>
    <row r="15" spans="1:12" ht="12.75" customHeight="1" x14ac:dyDescent="0.2">
      <c r="A15">
        <f>+MAX($A$8:A14)+1</f>
        <v>7</v>
      </c>
      <c r="B15" t="s">
        <v>171</v>
      </c>
      <c r="C15" t="s">
        <v>14</v>
      </c>
      <c r="D15" t="s">
        <v>13</v>
      </c>
      <c r="E15" s="28">
        <v>121</v>
      </c>
      <c r="F15" s="13">
        <v>1.7437310000000001</v>
      </c>
      <c r="G15" s="14">
        <f t="shared" si="0"/>
        <v>7.4000000000000003E-3</v>
      </c>
      <c r="H15" s="14"/>
      <c r="I15" s="15" t="s">
        <v>313</v>
      </c>
      <c r="K15" s="89" t="s">
        <v>9</v>
      </c>
      <c r="L15" s="48">
        <f t="shared" si="1"/>
        <v>4.9199999999999994E-2</v>
      </c>
    </row>
    <row r="16" spans="1:12" ht="12.75" customHeight="1" x14ac:dyDescent="0.2">
      <c r="A16">
        <f>+MAX($A$8:A15)+1</f>
        <v>8</v>
      </c>
      <c r="B16" t="s">
        <v>203</v>
      </c>
      <c r="C16" t="s">
        <v>69</v>
      </c>
      <c r="D16" t="s">
        <v>26</v>
      </c>
      <c r="E16" s="28">
        <v>113</v>
      </c>
      <c r="F16" s="13">
        <v>1.5475915</v>
      </c>
      <c r="G16" s="14">
        <f t="shared" si="0"/>
        <v>6.6E-3</v>
      </c>
      <c r="H16" s="14"/>
      <c r="I16" s="15" t="s">
        <v>313</v>
      </c>
      <c r="K16" s="89" t="s">
        <v>98</v>
      </c>
      <c r="L16" s="48">
        <f t="shared" si="1"/>
        <v>3.2500000000000001E-2</v>
      </c>
    </row>
    <row r="17" spans="1:12" ht="12.75" customHeight="1" x14ac:dyDescent="0.2">
      <c r="A17">
        <f>+MAX($A$8:A16)+1</f>
        <v>9</v>
      </c>
      <c r="B17" t="s">
        <v>176</v>
      </c>
      <c r="C17" t="s">
        <v>25</v>
      </c>
      <c r="D17" t="s">
        <v>22</v>
      </c>
      <c r="E17" s="28">
        <v>77</v>
      </c>
      <c r="F17" s="13">
        <v>1.4906815</v>
      </c>
      <c r="G17" s="14">
        <f t="shared" si="0"/>
        <v>6.3E-3</v>
      </c>
      <c r="H17" s="14"/>
      <c r="I17" s="15" t="s">
        <v>313</v>
      </c>
      <c r="K17" s="89" t="s">
        <v>24</v>
      </c>
      <c r="L17" s="48">
        <f t="shared" si="1"/>
        <v>3.1699999999999999E-2</v>
      </c>
    </row>
    <row r="18" spans="1:12" ht="12.75" customHeight="1" x14ac:dyDescent="0.2">
      <c r="A18">
        <f>+MAX($A$8:A17)+1</f>
        <v>10</v>
      </c>
      <c r="B18" t="s">
        <v>336</v>
      </c>
      <c r="C18" t="s">
        <v>335</v>
      </c>
      <c r="D18" t="s">
        <v>24</v>
      </c>
      <c r="E18" s="28">
        <v>269</v>
      </c>
      <c r="F18" s="13">
        <v>1.2878375</v>
      </c>
      <c r="G18" s="14">
        <f t="shared" si="0"/>
        <v>5.4999999999999997E-3</v>
      </c>
      <c r="H18" s="14"/>
      <c r="I18" s="15" t="s">
        <v>313</v>
      </c>
      <c r="K18" s="89" t="s">
        <v>34</v>
      </c>
      <c r="L18" s="48">
        <f t="shared" si="1"/>
        <v>1.15E-2</v>
      </c>
    </row>
    <row r="19" spans="1:12" ht="12.75" customHeight="1" x14ac:dyDescent="0.2">
      <c r="A19">
        <f>+MAX($A$8:A18)+1</f>
        <v>11</v>
      </c>
      <c r="B19" t="s">
        <v>454</v>
      </c>
      <c r="C19" t="s">
        <v>455</v>
      </c>
      <c r="D19" t="s">
        <v>24</v>
      </c>
      <c r="E19" s="28">
        <v>15</v>
      </c>
      <c r="F19" s="13">
        <v>1.1558174999999999</v>
      </c>
      <c r="G19" s="14">
        <f t="shared" si="0"/>
        <v>4.8999999999999998E-3</v>
      </c>
      <c r="H19" s="14"/>
      <c r="I19" s="15" t="s">
        <v>313</v>
      </c>
      <c r="K19" s="89" t="s">
        <v>19</v>
      </c>
      <c r="L19" s="48">
        <f t="shared" si="1"/>
        <v>1.15E-2</v>
      </c>
    </row>
    <row r="20" spans="1:12" ht="12.75" customHeight="1" x14ac:dyDescent="0.2">
      <c r="A20">
        <f>+MAX($A$8:A19)+1</f>
        <v>12</v>
      </c>
      <c r="B20" t="s">
        <v>295</v>
      </c>
      <c r="C20" t="s">
        <v>521</v>
      </c>
      <c r="D20" t="s">
        <v>126</v>
      </c>
      <c r="E20" s="28">
        <v>469</v>
      </c>
      <c r="F20" s="13">
        <v>1.134042</v>
      </c>
      <c r="G20" s="14">
        <f t="shared" si="0"/>
        <v>4.7999999999999996E-3</v>
      </c>
      <c r="H20" s="14"/>
      <c r="I20" s="15" t="s">
        <v>313</v>
      </c>
      <c r="K20" s="89" t="s">
        <v>26</v>
      </c>
      <c r="L20" s="48">
        <f t="shared" si="1"/>
        <v>9.7999999999999997E-3</v>
      </c>
    </row>
    <row r="21" spans="1:12" ht="12.75" customHeight="1" x14ac:dyDescent="0.2">
      <c r="A21">
        <f>+MAX($A$8:A20)+1</f>
        <v>13</v>
      </c>
      <c r="B21" t="s">
        <v>349</v>
      </c>
      <c r="C21" t="s">
        <v>350</v>
      </c>
      <c r="D21" t="s">
        <v>351</v>
      </c>
      <c r="E21" s="28">
        <v>679</v>
      </c>
      <c r="F21" s="13">
        <v>1.1213685</v>
      </c>
      <c r="G21" s="14">
        <f t="shared" si="0"/>
        <v>4.7999999999999996E-3</v>
      </c>
      <c r="H21" s="14"/>
      <c r="I21" s="15" t="s">
        <v>313</v>
      </c>
      <c r="K21" s="89" t="s">
        <v>17</v>
      </c>
      <c r="L21" s="48">
        <f t="shared" si="1"/>
        <v>9.3999999999999986E-3</v>
      </c>
    </row>
    <row r="22" spans="1:12" ht="12.75" customHeight="1" x14ac:dyDescent="0.2">
      <c r="A22">
        <f>+MAX($A$8:A21)+1</f>
        <v>14</v>
      </c>
      <c r="B22" t="s">
        <v>276</v>
      </c>
      <c r="C22" t="s">
        <v>277</v>
      </c>
      <c r="D22" t="s">
        <v>135</v>
      </c>
      <c r="E22" s="28">
        <v>192</v>
      </c>
      <c r="F22" s="13">
        <v>1.0880639999999999</v>
      </c>
      <c r="G22" s="14">
        <f t="shared" si="0"/>
        <v>4.5999999999999999E-3</v>
      </c>
      <c r="H22" s="14"/>
      <c r="I22" s="15" t="s">
        <v>313</v>
      </c>
      <c r="K22" s="89" t="s">
        <v>345</v>
      </c>
      <c r="L22" s="48">
        <f t="shared" si="1"/>
        <v>8.3999999999999995E-3</v>
      </c>
    </row>
    <row r="23" spans="1:12" ht="12.75" customHeight="1" x14ac:dyDescent="0.2">
      <c r="A23">
        <f>+MAX($A$8:A22)+1</f>
        <v>15</v>
      </c>
      <c r="B23" t="s">
        <v>189</v>
      </c>
      <c r="C23" t="s">
        <v>72</v>
      </c>
      <c r="D23" t="s">
        <v>395</v>
      </c>
      <c r="E23" s="28">
        <v>787</v>
      </c>
      <c r="F23" s="13">
        <v>1.0801575000000001</v>
      </c>
      <c r="G23" s="14">
        <f t="shared" si="0"/>
        <v>4.5999999999999999E-3</v>
      </c>
      <c r="H23" s="14"/>
      <c r="I23" s="15" t="s">
        <v>313</v>
      </c>
      <c r="K23" s="89" t="s">
        <v>126</v>
      </c>
      <c r="L23" s="48">
        <f t="shared" si="1"/>
        <v>6.3E-3</v>
      </c>
    </row>
    <row r="24" spans="1:12" ht="12.75" customHeight="1" x14ac:dyDescent="0.2">
      <c r="A24">
        <f>+MAX($A$8:A23)+1</f>
        <v>16</v>
      </c>
      <c r="B24" t="s">
        <v>452</v>
      </c>
      <c r="C24" t="s">
        <v>453</v>
      </c>
      <c r="D24" t="s">
        <v>34</v>
      </c>
      <c r="E24" s="28">
        <v>1397</v>
      </c>
      <c r="F24" s="13">
        <v>1.071499</v>
      </c>
      <c r="G24" s="14">
        <f t="shared" si="0"/>
        <v>4.4999999999999997E-3</v>
      </c>
      <c r="H24" s="14"/>
      <c r="I24" s="15" t="s">
        <v>313</v>
      </c>
      <c r="K24" s="89" t="s">
        <v>36</v>
      </c>
      <c r="L24" s="48">
        <f t="shared" si="1"/>
        <v>6.3E-3</v>
      </c>
    </row>
    <row r="25" spans="1:12" ht="12.75" customHeight="1" x14ac:dyDescent="0.2">
      <c r="A25">
        <f>+MAX($A$8:A24)+1</f>
        <v>17</v>
      </c>
      <c r="B25" t="s">
        <v>221</v>
      </c>
      <c r="C25" t="s">
        <v>111</v>
      </c>
      <c r="D25" t="s">
        <v>34</v>
      </c>
      <c r="E25" s="28">
        <v>606</v>
      </c>
      <c r="F25" s="13">
        <v>1.03929</v>
      </c>
      <c r="G25" s="14">
        <f t="shared" si="0"/>
        <v>4.4000000000000003E-3</v>
      </c>
      <c r="H25" s="14"/>
      <c r="I25" s="15" t="s">
        <v>313</v>
      </c>
      <c r="K25" s="89" t="s">
        <v>39</v>
      </c>
      <c r="L25" s="48">
        <f t="shared" si="1"/>
        <v>6.0999999999999995E-3</v>
      </c>
    </row>
    <row r="26" spans="1:12" ht="12.75" customHeight="1" x14ac:dyDescent="0.2">
      <c r="A26">
        <f>+MAX($A$8:A25)+1</f>
        <v>18</v>
      </c>
      <c r="B26" t="s">
        <v>181</v>
      </c>
      <c r="C26" t="s">
        <v>46</v>
      </c>
      <c r="D26" t="s">
        <v>24</v>
      </c>
      <c r="E26" s="28">
        <v>15</v>
      </c>
      <c r="F26" s="13">
        <v>1.0105124999999999</v>
      </c>
      <c r="G26" s="14">
        <f t="shared" si="0"/>
        <v>4.3E-3</v>
      </c>
      <c r="H26" s="14"/>
      <c r="I26" s="15" t="s">
        <v>313</v>
      </c>
      <c r="K26" s="89" t="s">
        <v>351</v>
      </c>
      <c r="L26" s="48">
        <f t="shared" si="1"/>
        <v>4.7999999999999996E-3</v>
      </c>
    </row>
    <row r="27" spans="1:12" ht="12.75" customHeight="1" x14ac:dyDescent="0.2">
      <c r="A27">
        <f>+MAX($A$8:A26)+1</f>
        <v>19</v>
      </c>
      <c r="B27" t="s">
        <v>269</v>
      </c>
      <c r="C27" t="s">
        <v>55</v>
      </c>
      <c r="D27" t="s">
        <v>24</v>
      </c>
      <c r="E27" s="28">
        <v>49</v>
      </c>
      <c r="F27" s="13">
        <v>0.91448699999999994</v>
      </c>
      <c r="G27" s="14">
        <f t="shared" si="0"/>
        <v>3.8999999999999998E-3</v>
      </c>
      <c r="H27" s="14"/>
      <c r="I27" s="15" t="s">
        <v>313</v>
      </c>
      <c r="K27" s="89" t="s">
        <v>135</v>
      </c>
      <c r="L27" s="48">
        <f t="shared" si="1"/>
        <v>4.5999999999999999E-3</v>
      </c>
    </row>
    <row r="28" spans="1:12" ht="12.75" customHeight="1" x14ac:dyDescent="0.2">
      <c r="A28">
        <f>+MAX($A$8:A27)+1</f>
        <v>20</v>
      </c>
      <c r="B28" t="s">
        <v>522</v>
      </c>
      <c r="C28" t="s">
        <v>523</v>
      </c>
      <c r="D28" t="s">
        <v>22</v>
      </c>
      <c r="E28" s="28">
        <v>243</v>
      </c>
      <c r="F28" s="13">
        <v>0.91210049999999998</v>
      </c>
      <c r="G28" s="14">
        <f t="shared" si="0"/>
        <v>3.8999999999999998E-3</v>
      </c>
      <c r="H28" s="14"/>
      <c r="I28" s="15" t="s">
        <v>313</v>
      </c>
      <c r="K28" s="89" t="s">
        <v>395</v>
      </c>
      <c r="L28" s="48">
        <f t="shared" si="1"/>
        <v>4.5999999999999999E-3</v>
      </c>
    </row>
    <row r="29" spans="1:12" ht="12.75" customHeight="1" x14ac:dyDescent="0.2">
      <c r="A29">
        <f>+MAX($A$8:A28)+1</f>
        <v>21</v>
      </c>
      <c r="B29" t="s">
        <v>187</v>
      </c>
      <c r="C29" t="s">
        <v>47</v>
      </c>
      <c r="D29" t="s">
        <v>19</v>
      </c>
      <c r="E29" s="28">
        <v>10</v>
      </c>
      <c r="F29" s="13">
        <v>0.90964</v>
      </c>
      <c r="G29" s="14">
        <f t="shared" si="0"/>
        <v>3.8999999999999998E-3</v>
      </c>
      <c r="H29" s="14"/>
      <c r="I29" s="15" t="s">
        <v>313</v>
      </c>
      <c r="K29" s="89" t="s">
        <v>43</v>
      </c>
      <c r="L29" s="48">
        <f t="shared" si="1"/>
        <v>3.7000000000000002E-3</v>
      </c>
    </row>
    <row r="30" spans="1:12" ht="12.75" customHeight="1" x14ac:dyDescent="0.2">
      <c r="A30">
        <f>+MAX($A$8:A29)+1</f>
        <v>22</v>
      </c>
      <c r="B30" t="s">
        <v>270</v>
      </c>
      <c r="C30" t="s">
        <v>74</v>
      </c>
      <c r="D30" t="s">
        <v>36</v>
      </c>
      <c r="E30" s="28">
        <v>263</v>
      </c>
      <c r="F30" s="13">
        <v>0.89696149999999997</v>
      </c>
      <c r="G30" s="14">
        <f t="shared" si="0"/>
        <v>3.8E-3</v>
      </c>
      <c r="H30" s="14"/>
      <c r="I30" s="15" t="s">
        <v>313</v>
      </c>
      <c r="K30" s="89" t="s">
        <v>49</v>
      </c>
      <c r="L30" s="48">
        <f t="shared" si="1"/>
        <v>3.5999999999999999E-3</v>
      </c>
    </row>
    <row r="31" spans="1:12" ht="12.75" customHeight="1" x14ac:dyDescent="0.2">
      <c r="A31">
        <f>+MAX($A$8:A30)+1</f>
        <v>23</v>
      </c>
      <c r="B31" t="s">
        <v>190</v>
      </c>
      <c r="C31" t="s">
        <v>94</v>
      </c>
      <c r="D31" t="s">
        <v>9</v>
      </c>
      <c r="E31" s="28">
        <v>68</v>
      </c>
      <c r="F31" s="13">
        <v>0.87533000000000005</v>
      </c>
      <c r="G31" s="14">
        <f t="shared" si="0"/>
        <v>3.7000000000000002E-3</v>
      </c>
      <c r="H31" s="14"/>
      <c r="I31" s="15" t="s">
        <v>313</v>
      </c>
      <c r="K31" s="14" t="s">
        <v>35</v>
      </c>
      <c r="L31" s="48">
        <f t="shared" si="1"/>
        <v>1.9E-3</v>
      </c>
    </row>
    <row r="32" spans="1:12" ht="12.75" customHeight="1" x14ac:dyDescent="0.2">
      <c r="A32">
        <f>+MAX($A$8:A31)+1</f>
        <v>24</v>
      </c>
      <c r="B32" t="s">
        <v>206</v>
      </c>
      <c r="C32" t="s">
        <v>76</v>
      </c>
      <c r="D32" t="s">
        <v>49</v>
      </c>
      <c r="E32" s="28">
        <v>296</v>
      </c>
      <c r="F32" s="13">
        <v>0.84641199999999994</v>
      </c>
      <c r="G32" s="14">
        <f t="shared" si="0"/>
        <v>3.5999999999999999E-3</v>
      </c>
      <c r="H32" s="14"/>
      <c r="I32" s="15" t="s">
        <v>313</v>
      </c>
      <c r="K32" s="89" t="s">
        <v>41</v>
      </c>
      <c r="L32" s="48">
        <f t="shared" si="1"/>
        <v>1.9E-3</v>
      </c>
    </row>
    <row r="33" spans="1:12" ht="12.75" customHeight="1" x14ac:dyDescent="0.2">
      <c r="A33">
        <f>+MAX($A$8:A32)+1</f>
        <v>25</v>
      </c>
      <c r="B33" t="s">
        <v>209</v>
      </c>
      <c r="C33" t="s">
        <v>634</v>
      </c>
      <c r="D33" t="s">
        <v>24</v>
      </c>
      <c r="E33" s="28">
        <v>134</v>
      </c>
      <c r="F33" s="13">
        <v>0.84453500000000004</v>
      </c>
      <c r="G33" s="14">
        <f t="shared" si="0"/>
        <v>3.5999999999999999E-3</v>
      </c>
      <c r="H33" s="14"/>
      <c r="I33" s="15" t="s">
        <v>313</v>
      </c>
      <c r="K33" s="14" t="s">
        <v>30</v>
      </c>
      <c r="L33" s="48">
        <f t="shared" si="1"/>
        <v>1.6999999999999999E-3</v>
      </c>
    </row>
    <row r="34" spans="1:12" ht="12.75" customHeight="1" x14ac:dyDescent="0.2">
      <c r="A34">
        <f>+MAX($A$8:A33)+1</f>
        <v>26</v>
      </c>
      <c r="B34" t="s">
        <v>271</v>
      </c>
      <c r="C34" t="s">
        <v>65</v>
      </c>
      <c r="D34" t="s">
        <v>17</v>
      </c>
      <c r="E34" s="28">
        <v>666</v>
      </c>
      <c r="F34" s="13">
        <v>0.84182399999999991</v>
      </c>
      <c r="G34" s="14">
        <f t="shared" si="0"/>
        <v>3.5999999999999999E-3</v>
      </c>
      <c r="H34" s="14"/>
      <c r="I34" s="15" t="s">
        <v>313</v>
      </c>
      <c r="K34" s="89" t="s">
        <v>32</v>
      </c>
      <c r="L34" s="48">
        <f t="shared" si="1"/>
        <v>1.6000000000000001E-3</v>
      </c>
    </row>
    <row r="35" spans="1:12" ht="12.75" customHeight="1" x14ac:dyDescent="0.2">
      <c r="A35">
        <f>+MAX($A$8:A34)+1</f>
        <v>27</v>
      </c>
      <c r="B35" t="s">
        <v>211</v>
      </c>
      <c r="C35" t="s">
        <v>96</v>
      </c>
      <c r="D35" t="s">
        <v>19</v>
      </c>
      <c r="E35" s="28">
        <v>83</v>
      </c>
      <c r="F35" s="13">
        <v>0.80119899999999999</v>
      </c>
      <c r="G35" s="14">
        <f t="shared" si="0"/>
        <v>3.3999999999999998E-3</v>
      </c>
      <c r="H35" s="14"/>
      <c r="I35" s="15" t="s">
        <v>313</v>
      </c>
      <c r="K35" s="89" t="s">
        <v>357</v>
      </c>
      <c r="L35" s="48">
        <f t="shared" si="1"/>
        <v>1E-3</v>
      </c>
    </row>
    <row r="36" spans="1:12" ht="12.75" customHeight="1" x14ac:dyDescent="0.2">
      <c r="A36">
        <f>+MAX($A$8:A35)+1</f>
        <v>28</v>
      </c>
      <c r="B36" t="s">
        <v>246</v>
      </c>
      <c r="C36" t="s">
        <v>138</v>
      </c>
      <c r="D36" t="s">
        <v>39</v>
      </c>
      <c r="E36" s="28">
        <v>125</v>
      </c>
      <c r="F36" s="13">
        <v>0.77181250000000001</v>
      </c>
      <c r="G36" s="14">
        <f t="shared" si="0"/>
        <v>3.3E-3</v>
      </c>
      <c r="H36" s="14"/>
      <c r="I36" s="15" t="s">
        <v>313</v>
      </c>
      <c r="K36" s="14" t="s">
        <v>62</v>
      </c>
      <c r="L36" s="48">
        <f>+SUMIFS($G$5:$G$1002,$B$5:$B$1002,"CBLO / Reverse Repo")+SUMIFS($G$5:$G$1002,$B$5:$B$1002,"Net Receivable/Payable")</f>
        <v>2.4400000000000002E-2</v>
      </c>
    </row>
    <row r="37" spans="1:12" ht="12.75" customHeight="1" x14ac:dyDescent="0.2">
      <c r="A37">
        <f>+MAX($A$8:A36)+1</f>
        <v>29</v>
      </c>
      <c r="B37" t="s">
        <v>183</v>
      </c>
      <c r="C37" t="s">
        <v>48</v>
      </c>
      <c r="D37" t="s">
        <v>21</v>
      </c>
      <c r="E37" s="28">
        <v>9</v>
      </c>
      <c r="F37" s="13">
        <v>0.74976750000000003</v>
      </c>
      <c r="G37" s="14">
        <f t="shared" si="0"/>
        <v>3.2000000000000002E-3</v>
      </c>
      <c r="H37" s="14"/>
      <c r="I37" s="15" t="s">
        <v>313</v>
      </c>
      <c r="K37" s="89"/>
      <c r="L37" s="48"/>
    </row>
    <row r="38" spans="1:12" ht="12.75" customHeight="1" x14ac:dyDescent="0.2">
      <c r="A38">
        <f>+MAX($A$8:A37)+1</f>
        <v>30</v>
      </c>
      <c r="B38" t="s">
        <v>432</v>
      </c>
      <c r="C38" t="s">
        <v>383</v>
      </c>
      <c r="D38" t="s">
        <v>21</v>
      </c>
      <c r="E38" s="28">
        <v>231</v>
      </c>
      <c r="F38" s="13">
        <v>0.684222</v>
      </c>
      <c r="G38" s="14">
        <f t="shared" si="0"/>
        <v>2.8999999999999998E-3</v>
      </c>
      <c r="H38" s="14"/>
      <c r="I38" s="15" t="s">
        <v>313</v>
      </c>
      <c r="K38" s="89"/>
      <c r="L38" s="48"/>
    </row>
    <row r="39" spans="1:12" ht="12.75" customHeight="1" x14ac:dyDescent="0.2">
      <c r="A39">
        <f>+MAX($A$8:A38)+1</f>
        <v>31</v>
      </c>
      <c r="B39" t="s">
        <v>280</v>
      </c>
      <c r="C39" t="s">
        <v>281</v>
      </c>
      <c r="D39" t="s">
        <v>9</v>
      </c>
      <c r="E39" s="28">
        <v>334</v>
      </c>
      <c r="F39" s="13">
        <v>0.67651699999999992</v>
      </c>
      <c r="G39" s="14">
        <f t="shared" si="0"/>
        <v>2.8999999999999998E-3</v>
      </c>
      <c r="H39" s="14"/>
      <c r="I39" s="15" t="s">
        <v>313</v>
      </c>
      <c r="K39" s="89"/>
      <c r="L39" s="48"/>
    </row>
    <row r="40" spans="1:12" ht="12.75" customHeight="1" x14ac:dyDescent="0.2">
      <c r="A40">
        <f>+MAX($A$8:A39)+1</f>
        <v>32</v>
      </c>
      <c r="B40" t="s">
        <v>184</v>
      </c>
      <c r="C40" t="s">
        <v>50</v>
      </c>
      <c r="D40" t="s">
        <v>39</v>
      </c>
      <c r="E40" s="28">
        <v>775</v>
      </c>
      <c r="F40" s="13">
        <v>0.66068749999999998</v>
      </c>
      <c r="G40" s="14">
        <f t="shared" si="0"/>
        <v>2.8E-3</v>
      </c>
      <c r="H40" s="14"/>
      <c r="I40" s="15" t="s">
        <v>313</v>
      </c>
      <c r="K40" s="89"/>
      <c r="L40" s="48"/>
    </row>
    <row r="41" spans="1:12" ht="12.75" customHeight="1" x14ac:dyDescent="0.2">
      <c r="A41">
        <f>+MAX($A$8:A40)+1</f>
        <v>33</v>
      </c>
      <c r="B41" t="s">
        <v>354</v>
      </c>
      <c r="C41" t="s">
        <v>66</v>
      </c>
      <c r="D41" t="s">
        <v>21</v>
      </c>
      <c r="E41" s="28">
        <v>100</v>
      </c>
      <c r="F41" s="13">
        <v>0.65285000000000004</v>
      </c>
      <c r="G41" s="14">
        <f t="shared" ref="G41:G71" si="2">+ROUND(F41/VLOOKUP("Grand Total",$B$4:$F$380,5,0),4)</f>
        <v>2.8E-3</v>
      </c>
      <c r="H41" s="14"/>
      <c r="I41" s="15" t="s">
        <v>313</v>
      </c>
      <c r="K41" s="89"/>
      <c r="L41" s="48"/>
    </row>
    <row r="42" spans="1:12" ht="12.75" customHeight="1" x14ac:dyDescent="0.2">
      <c r="A42">
        <f>+MAX($A$8:A41)+1</f>
        <v>34</v>
      </c>
      <c r="B42" t="s">
        <v>202</v>
      </c>
      <c r="C42" t="s">
        <v>64</v>
      </c>
      <c r="D42" t="s">
        <v>26</v>
      </c>
      <c r="E42" s="28">
        <v>200</v>
      </c>
      <c r="F42" s="13">
        <v>0.60399999999999998</v>
      </c>
      <c r="G42" s="14">
        <f t="shared" si="2"/>
        <v>2.5999999999999999E-3</v>
      </c>
      <c r="H42" s="14"/>
      <c r="I42" s="15" t="s">
        <v>313</v>
      </c>
      <c r="K42" s="89"/>
      <c r="L42" s="48"/>
    </row>
    <row r="43" spans="1:12" ht="12.75" customHeight="1" x14ac:dyDescent="0.2">
      <c r="A43">
        <f>+MAX($A$8:A42)+1</f>
        <v>35</v>
      </c>
      <c r="B43" t="s">
        <v>175</v>
      </c>
      <c r="C43" t="s">
        <v>23</v>
      </c>
      <c r="D43" t="s">
        <v>13</v>
      </c>
      <c r="E43" s="28">
        <v>57</v>
      </c>
      <c r="F43" s="13">
        <v>0.59647649999999997</v>
      </c>
      <c r="G43" s="14">
        <f t="shared" si="2"/>
        <v>2.5000000000000001E-3</v>
      </c>
      <c r="H43" s="14"/>
      <c r="I43" s="15" t="s">
        <v>313</v>
      </c>
      <c r="K43" s="89"/>
      <c r="L43" s="48"/>
    </row>
    <row r="44" spans="1:12" ht="12.75" customHeight="1" x14ac:dyDescent="0.2">
      <c r="A44">
        <f>+MAX($A$8:A43)+1</f>
        <v>36</v>
      </c>
      <c r="B44" t="s">
        <v>309</v>
      </c>
      <c r="C44" t="s">
        <v>310</v>
      </c>
      <c r="D44" t="s">
        <v>36</v>
      </c>
      <c r="E44" s="28">
        <v>705</v>
      </c>
      <c r="F44" s="13">
        <v>0.59501999999999999</v>
      </c>
      <c r="G44" s="14">
        <f t="shared" si="2"/>
        <v>2.5000000000000001E-3</v>
      </c>
      <c r="H44" s="14"/>
      <c r="I44" s="15" t="s">
        <v>313</v>
      </c>
      <c r="K44" s="89"/>
      <c r="L44" s="48"/>
    </row>
    <row r="45" spans="1:12" ht="12.75" customHeight="1" x14ac:dyDescent="0.2">
      <c r="A45">
        <f>+MAX($A$8:A44)+1</f>
        <v>37</v>
      </c>
      <c r="B45" t="s">
        <v>193</v>
      </c>
      <c r="C45" t="s">
        <v>59</v>
      </c>
      <c r="D45" t="s">
        <v>21</v>
      </c>
      <c r="E45" s="28">
        <v>80</v>
      </c>
      <c r="F45" s="13">
        <v>0.57020000000000004</v>
      </c>
      <c r="G45" s="14">
        <f t="shared" si="2"/>
        <v>2.3999999999999998E-3</v>
      </c>
      <c r="H45" s="14"/>
      <c r="I45" s="15" t="s">
        <v>313</v>
      </c>
      <c r="K45" s="89"/>
      <c r="L45" s="48"/>
    </row>
    <row r="46" spans="1:12" ht="12.75" customHeight="1" x14ac:dyDescent="0.2">
      <c r="A46">
        <f>+MAX($A$8:A45)+1</f>
        <v>38</v>
      </c>
      <c r="B46" t="s">
        <v>38</v>
      </c>
      <c r="C46" t="s">
        <v>40</v>
      </c>
      <c r="D46" t="s">
        <v>9</v>
      </c>
      <c r="E46" s="28">
        <v>359</v>
      </c>
      <c r="F46" s="13">
        <v>0.54909050000000004</v>
      </c>
      <c r="G46" s="14">
        <f t="shared" si="2"/>
        <v>2.3E-3</v>
      </c>
      <c r="H46" s="14"/>
      <c r="I46" s="15" t="s">
        <v>313</v>
      </c>
      <c r="K46" s="89"/>
      <c r="L46" s="48"/>
    </row>
    <row r="47" spans="1:12" ht="12.75" customHeight="1" x14ac:dyDescent="0.2">
      <c r="A47">
        <f>+MAX($A$8:A46)+1</f>
        <v>39</v>
      </c>
      <c r="B47" t="s">
        <v>151</v>
      </c>
      <c r="C47" t="s">
        <v>161</v>
      </c>
      <c r="D47" t="s">
        <v>9</v>
      </c>
      <c r="E47" s="28">
        <v>192</v>
      </c>
      <c r="F47" s="13">
        <v>0.54470399999999997</v>
      </c>
      <c r="G47" s="14">
        <f t="shared" si="2"/>
        <v>2.3E-3</v>
      </c>
      <c r="H47" s="14"/>
      <c r="I47" s="15" t="s">
        <v>313</v>
      </c>
      <c r="K47" s="89"/>
      <c r="L47" s="48"/>
    </row>
    <row r="48" spans="1:12" ht="12.75" customHeight="1" x14ac:dyDescent="0.2">
      <c r="A48">
        <f>+MAX($A$8:A47)+1</f>
        <v>40</v>
      </c>
      <c r="B48" t="s">
        <v>398</v>
      </c>
      <c r="C48" t="s">
        <v>399</v>
      </c>
      <c r="D48" t="s">
        <v>22</v>
      </c>
      <c r="E48" s="28">
        <v>40</v>
      </c>
      <c r="F48" s="13">
        <v>0.53432000000000002</v>
      </c>
      <c r="G48" s="14">
        <f t="shared" si="2"/>
        <v>2.3E-3</v>
      </c>
      <c r="H48" s="14"/>
      <c r="I48" s="15" t="s">
        <v>313</v>
      </c>
      <c r="K48" s="89"/>
      <c r="L48" s="48"/>
    </row>
    <row r="49" spans="1:12" ht="12.75" customHeight="1" x14ac:dyDescent="0.2">
      <c r="A49">
        <f>+MAX($A$8:A48)+1</f>
        <v>41</v>
      </c>
      <c r="B49" t="s">
        <v>456</v>
      </c>
      <c r="C49" t="s">
        <v>457</v>
      </c>
      <c r="D49" t="s">
        <v>102</v>
      </c>
      <c r="E49" s="28">
        <v>669</v>
      </c>
      <c r="F49" s="13">
        <v>0.53419649999999996</v>
      </c>
      <c r="G49" s="14">
        <f t="shared" si="2"/>
        <v>2.3E-3</v>
      </c>
      <c r="H49" s="14"/>
      <c r="I49" s="15" t="s">
        <v>313</v>
      </c>
      <c r="K49" s="89"/>
      <c r="L49" s="48"/>
    </row>
    <row r="50" spans="1:12" ht="12.75" customHeight="1" x14ac:dyDescent="0.2">
      <c r="A50">
        <f>+MAX($A$8:A49)+1</f>
        <v>42</v>
      </c>
      <c r="B50" t="s">
        <v>465</v>
      </c>
      <c r="C50" t="s">
        <v>346</v>
      </c>
      <c r="D50" t="s">
        <v>9</v>
      </c>
      <c r="E50" s="28">
        <v>566</v>
      </c>
      <c r="F50" s="13">
        <v>0.52977600000000002</v>
      </c>
      <c r="G50" s="14">
        <f t="shared" si="2"/>
        <v>2.2000000000000001E-3</v>
      </c>
      <c r="H50" s="14"/>
      <c r="I50" s="15" t="s">
        <v>313</v>
      </c>
      <c r="K50" s="89"/>
      <c r="L50" s="48"/>
    </row>
    <row r="51" spans="1:12" ht="12.75" customHeight="1" x14ac:dyDescent="0.2">
      <c r="A51">
        <f>+MAX($A$8:A50)+1</f>
        <v>43</v>
      </c>
      <c r="B51" t="s">
        <v>195</v>
      </c>
      <c r="C51" t="s">
        <v>27</v>
      </c>
      <c r="D51" t="s">
        <v>9</v>
      </c>
      <c r="E51" s="28">
        <v>81</v>
      </c>
      <c r="F51" s="13">
        <v>0.52589249999999998</v>
      </c>
      <c r="G51" s="14">
        <f t="shared" si="2"/>
        <v>2.2000000000000001E-3</v>
      </c>
      <c r="H51" s="14"/>
      <c r="I51" s="15" t="s">
        <v>313</v>
      </c>
      <c r="K51" s="89"/>
      <c r="L51" s="48"/>
    </row>
    <row r="52" spans="1:12" ht="12.75" customHeight="1" x14ac:dyDescent="0.2">
      <c r="A52">
        <f>+MAX($A$8:A51)+1</f>
        <v>44</v>
      </c>
      <c r="B52" t="s">
        <v>219</v>
      </c>
      <c r="C52" t="s">
        <v>108</v>
      </c>
      <c r="D52" t="s">
        <v>19</v>
      </c>
      <c r="E52" s="28">
        <v>16</v>
      </c>
      <c r="F52" s="13">
        <v>0.52060800000000007</v>
      </c>
      <c r="G52" s="14">
        <f t="shared" si="2"/>
        <v>2.2000000000000001E-3</v>
      </c>
      <c r="H52" s="14"/>
      <c r="I52" s="15" t="s">
        <v>313</v>
      </c>
      <c r="K52" s="89"/>
      <c r="L52" s="48"/>
    </row>
    <row r="53" spans="1:12" ht="12.75" customHeight="1" x14ac:dyDescent="0.2">
      <c r="A53">
        <f>+MAX($A$8:A52)+1</f>
        <v>45</v>
      </c>
      <c r="B53" t="s">
        <v>289</v>
      </c>
      <c r="C53" t="s">
        <v>290</v>
      </c>
      <c r="D53" t="s">
        <v>17</v>
      </c>
      <c r="E53" s="28">
        <v>68</v>
      </c>
      <c r="F53" s="13">
        <v>0.51700400000000002</v>
      </c>
      <c r="G53" s="14">
        <f t="shared" si="2"/>
        <v>2.2000000000000001E-3</v>
      </c>
      <c r="H53" s="14"/>
      <c r="I53" s="15" t="s">
        <v>313</v>
      </c>
      <c r="K53" s="89"/>
      <c r="L53" s="48"/>
    </row>
    <row r="54" spans="1:12" ht="12.75" customHeight="1" x14ac:dyDescent="0.2">
      <c r="A54">
        <f>+MAX($A$8:A53)+1</f>
        <v>46</v>
      </c>
      <c r="B54" t="s">
        <v>182</v>
      </c>
      <c r="C54" t="s">
        <v>51</v>
      </c>
      <c r="D54" t="s">
        <v>17</v>
      </c>
      <c r="E54" s="28">
        <v>11</v>
      </c>
      <c r="F54" s="13">
        <v>0.49230499999999999</v>
      </c>
      <c r="G54" s="14">
        <f t="shared" si="2"/>
        <v>2.0999999999999999E-3</v>
      </c>
      <c r="H54" s="14"/>
      <c r="I54" s="15" t="s">
        <v>313</v>
      </c>
      <c r="K54" s="89"/>
      <c r="L54" s="48"/>
    </row>
    <row r="55" spans="1:12" ht="12.75" customHeight="1" x14ac:dyDescent="0.2">
      <c r="A55">
        <f>+MAX($A$8:A54)+1</f>
        <v>47</v>
      </c>
      <c r="B55" t="s">
        <v>198</v>
      </c>
      <c r="C55" t="s">
        <v>61</v>
      </c>
      <c r="D55" t="s">
        <v>34</v>
      </c>
      <c r="E55" s="28">
        <v>137</v>
      </c>
      <c r="F55" s="13">
        <v>0.4891585</v>
      </c>
      <c r="G55" s="14">
        <f t="shared" si="2"/>
        <v>2.0999999999999999E-3</v>
      </c>
      <c r="H55" s="14"/>
      <c r="I55" s="15" t="s">
        <v>313</v>
      </c>
      <c r="K55" s="89"/>
      <c r="L55" s="48"/>
    </row>
    <row r="56" spans="1:12" ht="12.75" customHeight="1" x14ac:dyDescent="0.2">
      <c r="A56">
        <f>+MAX($A$8:A55)+1</f>
        <v>48</v>
      </c>
      <c r="B56" t="s">
        <v>208</v>
      </c>
      <c r="C56" t="s">
        <v>78</v>
      </c>
      <c r="D56" t="s">
        <v>43</v>
      </c>
      <c r="E56" s="28">
        <v>161</v>
      </c>
      <c r="F56" s="13">
        <v>0.48227550000000002</v>
      </c>
      <c r="G56" s="14">
        <f t="shared" si="2"/>
        <v>2E-3</v>
      </c>
      <c r="H56" s="14"/>
      <c r="I56" s="15" t="s">
        <v>313</v>
      </c>
      <c r="K56" s="89"/>
      <c r="L56" s="48"/>
    </row>
    <row r="57" spans="1:12" ht="12.75" customHeight="1" x14ac:dyDescent="0.2">
      <c r="A57">
        <f>+MAX($A$8:A56)+1</f>
        <v>49</v>
      </c>
      <c r="B57" t="s">
        <v>177</v>
      </c>
      <c r="C57" t="s">
        <v>37</v>
      </c>
      <c r="D57" t="s">
        <v>19</v>
      </c>
      <c r="E57" s="28">
        <v>17</v>
      </c>
      <c r="F57" s="13">
        <v>0.4666245</v>
      </c>
      <c r="G57" s="14">
        <f t="shared" si="2"/>
        <v>2E-3</v>
      </c>
      <c r="H57" s="14"/>
      <c r="I57" s="15" t="s">
        <v>313</v>
      </c>
      <c r="K57" s="89"/>
      <c r="L57" s="48"/>
    </row>
    <row r="58" spans="1:12" ht="12.75" customHeight="1" x14ac:dyDescent="0.2">
      <c r="A58">
        <f>+MAX($A$8:A57)+1</f>
        <v>50</v>
      </c>
      <c r="B58" t="s">
        <v>468</v>
      </c>
      <c r="C58" t="s">
        <v>469</v>
      </c>
      <c r="D58" t="s">
        <v>102</v>
      </c>
      <c r="E58" s="28">
        <v>493</v>
      </c>
      <c r="F58" s="13">
        <v>0.44764400000000004</v>
      </c>
      <c r="G58" s="14">
        <f t="shared" si="2"/>
        <v>1.9E-3</v>
      </c>
      <c r="H58" s="14"/>
      <c r="I58" s="15" t="s">
        <v>313</v>
      </c>
      <c r="K58" s="89"/>
      <c r="L58" s="48"/>
    </row>
    <row r="59" spans="1:12" ht="12.75" customHeight="1" x14ac:dyDescent="0.2">
      <c r="A59">
        <f>+MAX($A$8:A58)+1</f>
        <v>51</v>
      </c>
      <c r="B59" t="s">
        <v>494</v>
      </c>
      <c r="C59" t="s">
        <v>495</v>
      </c>
      <c r="D59" t="s">
        <v>35</v>
      </c>
      <c r="E59" s="28">
        <v>48</v>
      </c>
      <c r="F59" s="13">
        <v>0.44584800000000002</v>
      </c>
      <c r="G59" s="14">
        <f t="shared" si="2"/>
        <v>1.9E-3</v>
      </c>
      <c r="H59" s="14"/>
      <c r="I59" s="15" t="s">
        <v>313</v>
      </c>
      <c r="K59" s="89"/>
      <c r="L59" s="48"/>
    </row>
    <row r="60" spans="1:12" ht="12.75" customHeight="1" x14ac:dyDescent="0.2">
      <c r="A60">
        <f>+MAX($A$8:A59)+1</f>
        <v>52</v>
      </c>
      <c r="B60" t="s">
        <v>437</v>
      </c>
      <c r="C60" t="s">
        <v>438</v>
      </c>
      <c r="D60" t="s">
        <v>9</v>
      </c>
      <c r="E60" s="28">
        <v>691</v>
      </c>
      <c r="F60" s="13">
        <v>0.44189449999999997</v>
      </c>
      <c r="G60" s="14">
        <f t="shared" si="2"/>
        <v>1.9E-3</v>
      </c>
      <c r="H60" s="14"/>
      <c r="I60" s="15" t="s">
        <v>313</v>
      </c>
      <c r="K60" s="89"/>
      <c r="L60" s="48"/>
    </row>
    <row r="61" spans="1:12" ht="12.75" customHeight="1" x14ac:dyDescent="0.2">
      <c r="A61">
        <f>+MAX($A$8:A60)+1</f>
        <v>53</v>
      </c>
      <c r="B61" t="s">
        <v>201</v>
      </c>
      <c r="C61" t="s">
        <v>68</v>
      </c>
      <c r="D61" t="s">
        <v>9</v>
      </c>
      <c r="E61" s="28">
        <v>544</v>
      </c>
      <c r="F61" s="13">
        <v>0.44118400000000002</v>
      </c>
      <c r="G61" s="14">
        <f t="shared" si="2"/>
        <v>1.9E-3</v>
      </c>
      <c r="H61" s="14"/>
      <c r="I61" s="15" t="s">
        <v>313</v>
      </c>
      <c r="K61" s="89"/>
      <c r="L61" s="48"/>
    </row>
    <row r="62" spans="1:12" ht="12.75" customHeight="1" x14ac:dyDescent="0.2">
      <c r="A62">
        <f>+MAX($A$8:A61)+1</f>
        <v>54</v>
      </c>
      <c r="B62" t="s">
        <v>396</v>
      </c>
      <c r="C62" t="s">
        <v>397</v>
      </c>
      <c r="D62" t="s">
        <v>41</v>
      </c>
      <c r="E62" s="28">
        <v>52</v>
      </c>
      <c r="F62" s="13">
        <v>0.43848999999999999</v>
      </c>
      <c r="G62" s="14">
        <f t="shared" si="2"/>
        <v>1.9E-3</v>
      </c>
      <c r="H62" s="14"/>
      <c r="I62" s="15" t="s">
        <v>313</v>
      </c>
      <c r="K62" s="89"/>
      <c r="L62" s="48"/>
    </row>
    <row r="63" spans="1:12" ht="12.75" customHeight="1" x14ac:dyDescent="0.2">
      <c r="A63">
        <f>+MAX($A$8:A62)+1</f>
        <v>55</v>
      </c>
      <c r="B63" t="s">
        <v>500</v>
      </c>
      <c r="C63" t="s">
        <v>501</v>
      </c>
      <c r="D63" t="s">
        <v>30</v>
      </c>
      <c r="E63" s="28">
        <v>191</v>
      </c>
      <c r="F63" s="13">
        <v>0.39861699999999994</v>
      </c>
      <c r="G63" s="14">
        <f t="shared" si="2"/>
        <v>1.6999999999999999E-3</v>
      </c>
      <c r="H63" s="14"/>
      <c r="I63" s="15" t="s">
        <v>313</v>
      </c>
      <c r="K63" s="89"/>
      <c r="L63" s="48"/>
    </row>
    <row r="64" spans="1:12" ht="12.75" customHeight="1" x14ac:dyDescent="0.2">
      <c r="A64">
        <f>+MAX($A$8:A63)+1</f>
        <v>56</v>
      </c>
      <c r="B64" t="s">
        <v>435</v>
      </c>
      <c r="C64" t="s">
        <v>436</v>
      </c>
      <c r="D64" t="s">
        <v>43</v>
      </c>
      <c r="E64" s="28">
        <v>525</v>
      </c>
      <c r="F64" s="13">
        <v>0.39296249999999999</v>
      </c>
      <c r="G64" s="14">
        <f t="shared" si="2"/>
        <v>1.6999999999999999E-3</v>
      </c>
      <c r="H64" s="14"/>
      <c r="I64" s="15" t="s">
        <v>313</v>
      </c>
      <c r="K64" s="89"/>
      <c r="L64" s="48"/>
    </row>
    <row r="65" spans="1:13" ht="12.75" customHeight="1" x14ac:dyDescent="0.2">
      <c r="A65">
        <f>+MAX($A$8:A64)+1</f>
        <v>57</v>
      </c>
      <c r="B65" t="s">
        <v>192</v>
      </c>
      <c r="C65" t="s">
        <v>63</v>
      </c>
      <c r="D65" t="s">
        <v>32</v>
      </c>
      <c r="E65" s="28">
        <v>97</v>
      </c>
      <c r="F65" s="13">
        <v>0.37233449999999996</v>
      </c>
      <c r="G65" s="14">
        <f t="shared" si="2"/>
        <v>1.6000000000000001E-3</v>
      </c>
      <c r="H65" s="14"/>
      <c r="I65" s="15" t="s">
        <v>313</v>
      </c>
      <c r="K65" s="89"/>
      <c r="L65" s="48"/>
    </row>
    <row r="66" spans="1:13" ht="12.75" customHeight="1" x14ac:dyDescent="0.2">
      <c r="A66">
        <f>+MAX($A$8:A65)+1</f>
        <v>58</v>
      </c>
      <c r="B66" t="s">
        <v>433</v>
      </c>
      <c r="C66" t="s">
        <v>434</v>
      </c>
      <c r="D66" t="s">
        <v>126</v>
      </c>
      <c r="E66" s="28">
        <v>188</v>
      </c>
      <c r="F66" s="13">
        <v>0.35597800000000002</v>
      </c>
      <c r="G66" s="14">
        <f t="shared" si="2"/>
        <v>1.5E-3</v>
      </c>
      <c r="H66" s="14"/>
      <c r="I66" s="15" t="s">
        <v>313</v>
      </c>
      <c r="K66" s="89"/>
      <c r="L66" s="48"/>
    </row>
    <row r="67" spans="1:13" ht="12.75" customHeight="1" x14ac:dyDescent="0.2">
      <c r="A67">
        <f>+MAX($A$8:A66)+1</f>
        <v>59</v>
      </c>
      <c r="B67" t="s">
        <v>185</v>
      </c>
      <c r="C67" t="s">
        <v>31</v>
      </c>
      <c r="D67" t="s">
        <v>17</v>
      </c>
      <c r="E67" s="28">
        <v>44</v>
      </c>
      <c r="F67" s="13">
        <v>0.35226400000000002</v>
      </c>
      <c r="G67" s="14">
        <f t="shared" si="2"/>
        <v>1.5E-3</v>
      </c>
      <c r="H67" s="14"/>
      <c r="I67" s="15" t="s">
        <v>313</v>
      </c>
      <c r="K67" s="89"/>
      <c r="L67" s="48"/>
    </row>
    <row r="68" spans="1:13" ht="12.75" customHeight="1" x14ac:dyDescent="0.2">
      <c r="A68">
        <f>+MAX($A$8:A67)+1</f>
        <v>60</v>
      </c>
      <c r="B68" t="s">
        <v>355</v>
      </c>
      <c r="C68" t="s">
        <v>356</v>
      </c>
      <c r="D68" t="s">
        <v>357</v>
      </c>
      <c r="E68" s="28">
        <v>158</v>
      </c>
      <c r="F68" s="13">
        <v>0.22420200000000001</v>
      </c>
      <c r="G68" s="14">
        <f t="shared" si="2"/>
        <v>1E-3</v>
      </c>
      <c r="H68" s="14"/>
      <c r="I68" s="15" t="s">
        <v>313</v>
      </c>
      <c r="K68" s="89"/>
      <c r="L68" s="48"/>
    </row>
    <row r="69" spans="1:13" ht="12.75" customHeight="1" x14ac:dyDescent="0.2">
      <c r="A69">
        <f>+MAX($A$8:A68)+1</f>
        <v>61</v>
      </c>
      <c r="B69" t="s">
        <v>466</v>
      </c>
      <c r="C69" t="s">
        <v>467</v>
      </c>
      <c r="D69" t="s">
        <v>9</v>
      </c>
      <c r="E69" s="28">
        <v>541</v>
      </c>
      <c r="F69" s="13">
        <v>0.21802299999999999</v>
      </c>
      <c r="G69" s="14">
        <f t="shared" si="2"/>
        <v>8.9999999999999998E-4</v>
      </c>
      <c r="H69" s="14"/>
      <c r="I69" s="15" t="s">
        <v>313</v>
      </c>
      <c r="K69" s="89"/>
      <c r="L69" s="48"/>
    </row>
    <row r="70" spans="1:13" ht="12.75" customHeight="1" x14ac:dyDescent="0.2">
      <c r="A70">
        <f>+MAX($A$8:A69)+1</f>
        <v>62</v>
      </c>
      <c r="B70" t="s">
        <v>278</v>
      </c>
      <c r="C70" t="s">
        <v>70</v>
      </c>
      <c r="D70" t="s">
        <v>26</v>
      </c>
      <c r="E70" s="28">
        <v>1012</v>
      </c>
      <c r="F70" s="13">
        <v>0.143704</v>
      </c>
      <c r="G70" s="14">
        <f t="shared" si="2"/>
        <v>5.9999999999999995E-4</v>
      </c>
      <c r="H70" s="14"/>
      <c r="I70" s="15" t="s">
        <v>313</v>
      </c>
      <c r="K70" s="89"/>
      <c r="L70" s="48"/>
    </row>
    <row r="71" spans="1:13" ht="12.75" customHeight="1" x14ac:dyDescent="0.2">
      <c r="A71">
        <f>+MAX($A$8:A70)+1</f>
        <v>63</v>
      </c>
      <c r="B71" t="s">
        <v>197</v>
      </c>
      <c r="C71" t="s">
        <v>73</v>
      </c>
      <c r="D71" t="s">
        <v>34</v>
      </c>
      <c r="E71" s="28">
        <v>2661</v>
      </c>
      <c r="F71" s="13">
        <v>0.109101</v>
      </c>
      <c r="G71" s="14">
        <f t="shared" si="2"/>
        <v>5.0000000000000001E-4</v>
      </c>
      <c r="H71" s="14"/>
      <c r="I71" s="15" t="s">
        <v>313</v>
      </c>
      <c r="K71" s="89"/>
      <c r="L71" s="48"/>
    </row>
    <row r="72" spans="1:13" ht="12.75" customHeight="1" x14ac:dyDescent="0.2">
      <c r="B72" s="18" t="s">
        <v>82</v>
      </c>
      <c r="C72" s="18"/>
      <c r="D72" s="18"/>
      <c r="E72" s="19"/>
      <c r="F72" s="19">
        <f>SUM(F9:F71)</f>
        <v>54.014585500000003</v>
      </c>
      <c r="G72" s="20">
        <f>SUM(G9:G71)</f>
        <v>0.22950000000000004</v>
      </c>
      <c r="H72" s="20"/>
      <c r="I72" s="21"/>
      <c r="J72" s="35"/>
    </row>
    <row r="73" spans="1:13" ht="12.75" customHeight="1" x14ac:dyDescent="0.2">
      <c r="F73" s="13"/>
      <c r="G73" s="14"/>
      <c r="H73" s="14"/>
      <c r="I73" s="15"/>
      <c r="M73" s="54">
        <f>+SUM($L$9:L71)</f>
        <v>1.0000000000000002</v>
      </c>
    </row>
    <row r="74" spans="1:13" ht="12.75" customHeight="1" x14ac:dyDescent="0.2">
      <c r="B74" s="16" t="s">
        <v>499</v>
      </c>
      <c r="C74" s="16"/>
      <c r="F74" s="13"/>
      <c r="G74" s="14"/>
      <c r="H74" s="14"/>
      <c r="I74" s="15"/>
    </row>
    <row r="75" spans="1:13" s="65" customFormat="1" ht="12.75" customHeight="1" x14ac:dyDescent="0.2">
      <c r="A75" s="77">
        <f>+MAX($A$8:A74)+1</f>
        <v>64</v>
      </c>
      <c r="B75" s="77" t="s">
        <v>217</v>
      </c>
      <c r="C75" s="77" t="s">
        <v>107</v>
      </c>
      <c r="D75" s="77" t="s">
        <v>13</v>
      </c>
      <c r="E75" s="74">
        <v>7200</v>
      </c>
      <c r="F75" s="75">
        <v>21.69</v>
      </c>
      <c r="G75" s="76">
        <f>+ROUND(F75/VLOOKUP("Grand Total",$B$4:$F$380,5,0),4)</f>
        <v>9.2100000000000001E-2</v>
      </c>
      <c r="H75" s="76"/>
      <c r="I75" s="88" t="s">
        <v>313</v>
      </c>
      <c r="J75" s="73"/>
      <c r="K75" s="89"/>
      <c r="L75" s="102"/>
    </row>
    <row r="76" spans="1:13" s="65" customFormat="1" ht="12.75" customHeight="1" x14ac:dyDescent="0.2">
      <c r="A76" s="77">
        <f>+A75+1</f>
        <v>65</v>
      </c>
      <c r="B76" s="77" t="s">
        <v>217</v>
      </c>
      <c r="C76" s="131" t="s">
        <v>787</v>
      </c>
      <c r="D76" s="77" t="s">
        <v>282</v>
      </c>
      <c r="E76" s="74">
        <v>-7200</v>
      </c>
      <c r="F76" s="75">
        <v>-21.880800000000001</v>
      </c>
      <c r="G76" s="76"/>
      <c r="H76" s="76">
        <f>+ROUND(F76/VLOOKUP("Grand Total",$B$4:$F$380,5,0),4)</f>
        <v>-9.2899999999999996E-2</v>
      </c>
      <c r="I76" s="103">
        <v>43370</v>
      </c>
      <c r="J76" s="73"/>
      <c r="K76" s="80"/>
      <c r="L76" s="123"/>
    </row>
    <row r="77" spans="1:13" s="65" customFormat="1" ht="12.75" customHeight="1" x14ac:dyDescent="0.2">
      <c r="A77" s="77">
        <f t="shared" ref="A77:A88" si="3">+A76+1</f>
        <v>66</v>
      </c>
      <c r="B77" s="77" t="s">
        <v>297</v>
      </c>
      <c r="C77" s="77" t="s">
        <v>298</v>
      </c>
      <c r="D77" s="77" t="s">
        <v>22</v>
      </c>
      <c r="E77" s="74">
        <v>1500</v>
      </c>
      <c r="F77" s="75">
        <v>18.888750000000002</v>
      </c>
      <c r="G77" s="76">
        <f>+ROUND(F77/VLOOKUP("Grand Total",$B$4:$F$380,5,0),4)</f>
        <v>8.0199999999999994E-2</v>
      </c>
      <c r="H77" s="76"/>
      <c r="I77" s="88" t="s">
        <v>313</v>
      </c>
      <c r="J77" s="73"/>
      <c r="K77" s="89"/>
      <c r="L77" s="102"/>
    </row>
    <row r="78" spans="1:13" s="65" customFormat="1" ht="12.75" customHeight="1" x14ac:dyDescent="0.2">
      <c r="A78" s="77">
        <f t="shared" si="3"/>
        <v>67</v>
      </c>
      <c r="B78" s="77" t="s">
        <v>297</v>
      </c>
      <c r="C78" s="131" t="s">
        <v>787</v>
      </c>
      <c r="D78" s="77" t="s">
        <v>282</v>
      </c>
      <c r="E78" s="74">
        <v>-1500</v>
      </c>
      <c r="F78" s="75">
        <v>-19.0215</v>
      </c>
      <c r="G78" s="76"/>
      <c r="H78" s="76">
        <f>+ROUND(F78/VLOOKUP("Grand Total",$B$4:$F$380,5,0),4)</f>
        <v>-8.0699999999999994E-2</v>
      </c>
      <c r="I78" s="103">
        <v>43370</v>
      </c>
      <c r="J78" s="73"/>
      <c r="K78" s="80"/>
      <c r="L78" s="123"/>
    </row>
    <row r="79" spans="1:13" s="65" customFormat="1" ht="12.75" customHeight="1" x14ac:dyDescent="0.2">
      <c r="A79" s="77">
        <f t="shared" si="3"/>
        <v>68</v>
      </c>
      <c r="B79" s="77" t="s">
        <v>542</v>
      </c>
      <c r="C79" s="77" t="s">
        <v>543</v>
      </c>
      <c r="D79" s="77" t="s">
        <v>22</v>
      </c>
      <c r="E79" s="74">
        <v>2100</v>
      </c>
      <c r="F79" s="75">
        <v>17.3901</v>
      </c>
      <c r="G79" s="76">
        <f>+ROUND(F79/VLOOKUP("Grand Total",$B$4:$F$380,5,0),4)</f>
        <v>7.3800000000000004E-2</v>
      </c>
      <c r="H79" s="76"/>
      <c r="I79" s="88" t="s">
        <v>313</v>
      </c>
      <c r="J79" s="73"/>
      <c r="K79" s="89"/>
      <c r="L79" s="102"/>
    </row>
    <row r="80" spans="1:13" s="65" customFormat="1" ht="12.75" customHeight="1" x14ac:dyDescent="0.2">
      <c r="A80" s="77">
        <f t="shared" si="3"/>
        <v>69</v>
      </c>
      <c r="B80" s="77" t="s">
        <v>542</v>
      </c>
      <c r="C80" s="131" t="s">
        <v>787</v>
      </c>
      <c r="D80" s="77" t="s">
        <v>282</v>
      </c>
      <c r="E80" s="74">
        <v>-2100</v>
      </c>
      <c r="F80" s="75">
        <v>-17.533950000000001</v>
      </c>
      <c r="G80" s="76"/>
      <c r="H80" s="76">
        <f>+ROUND(F80/VLOOKUP("Grand Total",$B$4:$F$380,5,0),4)</f>
        <v>-7.4399999999999994E-2</v>
      </c>
      <c r="I80" s="103">
        <v>43370</v>
      </c>
      <c r="J80" s="73"/>
      <c r="K80" s="80"/>
      <c r="L80" s="123"/>
    </row>
    <row r="81" spans="1:13" s="65" customFormat="1" ht="12.75" customHeight="1" x14ac:dyDescent="0.2">
      <c r="A81" s="77">
        <f t="shared" si="3"/>
        <v>70</v>
      </c>
      <c r="B81" s="77" t="s">
        <v>207</v>
      </c>
      <c r="C81" s="77" t="s">
        <v>77</v>
      </c>
      <c r="D81" s="77" t="s">
        <v>28</v>
      </c>
      <c r="E81" s="74">
        <v>6300</v>
      </c>
      <c r="F81" s="75">
        <v>15.9894</v>
      </c>
      <c r="G81" s="76">
        <f>+ROUND(F81/VLOOKUP("Grand Total",$B$4:$F$380,5,0),4)</f>
        <v>6.7900000000000002E-2</v>
      </c>
      <c r="H81" s="76"/>
      <c r="I81" s="88" t="s">
        <v>313</v>
      </c>
      <c r="J81" s="73"/>
      <c r="K81" s="89"/>
      <c r="L81" s="102"/>
    </row>
    <row r="82" spans="1:13" s="65" customFormat="1" ht="12.75" customHeight="1" x14ac:dyDescent="0.2">
      <c r="A82" s="77">
        <f t="shared" si="3"/>
        <v>71</v>
      </c>
      <c r="B82" s="77" t="s">
        <v>207</v>
      </c>
      <c r="C82" s="131" t="s">
        <v>787</v>
      </c>
      <c r="D82" s="77" t="s">
        <v>282</v>
      </c>
      <c r="E82" s="74">
        <v>-6300</v>
      </c>
      <c r="F82" s="75">
        <v>-16.11225</v>
      </c>
      <c r="G82" s="76"/>
      <c r="H82" s="76">
        <f>+ROUND(F82/VLOOKUP("Grand Total",$B$4:$F$380,5,0),4)</f>
        <v>-6.8400000000000002E-2</v>
      </c>
      <c r="I82" s="103">
        <v>43370</v>
      </c>
      <c r="J82" s="73"/>
      <c r="K82" s="80"/>
      <c r="L82" s="123"/>
    </row>
    <row r="83" spans="1:13" s="65" customFormat="1" ht="12.75" customHeight="1" x14ac:dyDescent="0.2">
      <c r="A83" s="77">
        <f t="shared" si="3"/>
        <v>72</v>
      </c>
      <c r="B83" s="77" t="s">
        <v>227</v>
      </c>
      <c r="C83" s="77" t="s">
        <v>117</v>
      </c>
      <c r="D83" s="77" t="s">
        <v>102</v>
      </c>
      <c r="E83" s="74">
        <v>2122</v>
      </c>
      <c r="F83" s="75">
        <v>12.742610000000001</v>
      </c>
      <c r="G83" s="76">
        <f>+ROUND(F83/VLOOKUP("Grand Total",$B$4:$F$380,5,0),4)</f>
        <v>5.4100000000000002E-2</v>
      </c>
      <c r="H83" s="76"/>
      <c r="I83" s="88" t="s">
        <v>313</v>
      </c>
      <c r="J83" s="73"/>
      <c r="K83" s="89"/>
      <c r="L83" s="102"/>
    </row>
    <row r="84" spans="1:13" s="65" customFormat="1" ht="12.75" customHeight="1" x14ac:dyDescent="0.2">
      <c r="A84" s="77">
        <f t="shared" si="3"/>
        <v>73</v>
      </c>
      <c r="B84" s="77" t="s">
        <v>227</v>
      </c>
      <c r="C84" s="131" t="s">
        <v>787</v>
      </c>
      <c r="D84" s="77" t="s">
        <v>282</v>
      </c>
      <c r="E84" s="74">
        <v>-2122</v>
      </c>
      <c r="F84" s="75">
        <v>-12.844466000000001</v>
      </c>
      <c r="G84" s="76"/>
      <c r="H84" s="76">
        <f>+ROUND(F84/VLOOKUP("Grand Total",$B$4:$F$380,5,0),4)</f>
        <v>-5.45E-2</v>
      </c>
      <c r="I84" s="103">
        <v>43370</v>
      </c>
      <c r="J84" s="73"/>
      <c r="K84" s="80"/>
      <c r="L84" s="123"/>
    </row>
    <row r="85" spans="1:13" s="65" customFormat="1" ht="12.75" customHeight="1" x14ac:dyDescent="0.2">
      <c r="A85" s="77">
        <f t="shared" si="3"/>
        <v>74</v>
      </c>
      <c r="B85" s="77" t="s">
        <v>215</v>
      </c>
      <c r="C85" s="77" t="s">
        <v>105</v>
      </c>
      <c r="D85" s="77" t="s">
        <v>21</v>
      </c>
      <c r="E85" s="74">
        <v>500</v>
      </c>
      <c r="F85" s="75">
        <v>12.46</v>
      </c>
      <c r="G85" s="76">
        <f>+ROUND(F85/VLOOKUP("Grand Total",$B$4:$F$380,5,0),4)</f>
        <v>5.2900000000000003E-2</v>
      </c>
      <c r="H85" s="76"/>
      <c r="I85" s="88" t="s">
        <v>313</v>
      </c>
      <c r="J85" s="73"/>
      <c r="K85" s="89"/>
      <c r="L85" s="102"/>
    </row>
    <row r="86" spans="1:13" s="65" customFormat="1" ht="12.75" customHeight="1" x14ac:dyDescent="0.2">
      <c r="A86" s="77">
        <f t="shared" si="3"/>
        <v>75</v>
      </c>
      <c r="B86" s="77" t="s">
        <v>215</v>
      </c>
      <c r="C86" s="131" t="s">
        <v>787</v>
      </c>
      <c r="D86" s="77" t="s">
        <v>282</v>
      </c>
      <c r="E86" s="74">
        <v>-500</v>
      </c>
      <c r="F86" s="75">
        <v>-12.545500000000001</v>
      </c>
      <c r="G86" s="76"/>
      <c r="H86" s="76">
        <f>+ROUND(F86/VLOOKUP("Grand Total",$B$4:$F$380,5,0),4)</f>
        <v>-5.33E-2</v>
      </c>
      <c r="I86" s="103">
        <v>43370</v>
      </c>
      <c r="J86" s="73"/>
      <c r="K86" s="80"/>
      <c r="L86" s="123"/>
    </row>
    <row r="87" spans="1:13" s="65" customFormat="1" ht="12.75" customHeight="1" x14ac:dyDescent="0.2">
      <c r="A87" s="77">
        <f t="shared" si="3"/>
        <v>76</v>
      </c>
      <c r="B87" s="77" t="s">
        <v>261</v>
      </c>
      <c r="C87" s="77" t="s">
        <v>160</v>
      </c>
      <c r="D87" s="77" t="s">
        <v>98</v>
      </c>
      <c r="E87" s="74">
        <v>1000</v>
      </c>
      <c r="F87" s="75">
        <v>7.6619999999999999</v>
      </c>
      <c r="G87" s="76">
        <f>+ROUND(F87/VLOOKUP("Grand Total",$B$4:$F$380,5,0),4)</f>
        <v>3.2500000000000001E-2</v>
      </c>
      <c r="H87" s="76"/>
      <c r="I87" s="88" t="s">
        <v>313</v>
      </c>
      <c r="J87" s="73"/>
      <c r="K87" s="89"/>
      <c r="L87" s="102"/>
    </row>
    <row r="88" spans="1:13" s="65" customFormat="1" ht="12.75" customHeight="1" x14ac:dyDescent="0.2">
      <c r="A88" s="77">
        <f t="shared" si="3"/>
        <v>77</v>
      </c>
      <c r="B88" s="77" t="s">
        <v>261</v>
      </c>
      <c r="C88" s="131" t="s">
        <v>787</v>
      </c>
      <c r="D88" s="77" t="s">
        <v>282</v>
      </c>
      <c r="E88" s="74">
        <v>-1000</v>
      </c>
      <c r="F88" s="75">
        <v>-7.7130000000000001</v>
      </c>
      <c r="G88" s="76"/>
      <c r="H88" s="76">
        <f>+ROUND(F88/VLOOKUP("Grand Total",$B$4:$F$380,5,0),4)</f>
        <v>-3.27E-2</v>
      </c>
      <c r="I88" s="103">
        <v>43370</v>
      </c>
      <c r="J88" s="73"/>
      <c r="K88" s="80"/>
      <c r="L88" s="123"/>
    </row>
    <row r="89" spans="1:13" ht="12.75" customHeight="1" x14ac:dyDescent="0.2">
      <c r="B89" s="18" t="s">
        <v>82</v>
      </c>
      <c r="C89" s="18"/>
      <c r="D89" s="18"/>
      <c r="E89" s="29"/>
      <c r="F89" s="124">
        <f>+F75+F77+F79+F81+F83+F85+F87</f>
        <v>106.82286000000002</v>
      </c>
      <c r="G89" s="122">
        <f>+G75+G77+G79+G81+G83+G85+G87</f>
        <v>0.45350000000000001</v>
      </c>
      <c r="H89" s="122">
        <f>SUM(H76:H88)</f>
        <v>-0.45689999999999997</v>
      </c>
      <c r="I89" s="21"/>
      <c r="J89" s="35"/>
    </row>
    <row r="90" spans="1:13" ht="12.75" customHeight="1" x14ac:dyDescent="0.2">
      <c r="F90" s="28"/>
      <c r="G90" s="28"/>
      <c r="H90" s="28"/>
      <c r="I90" s="15"/>
      <c r="M90" s="54"/>
    </row>
    <row r="91" spans="1:13" ht="12.75" customHeight="1" x14ac:dyDescent="0.2">
      <c r="B91" s="16" t="s">
        <v>88</v>
      </c>
      <c r="F91" s="28"/>
      <c r="G91" s="28"/>
      <c r="H91" s="28"/>
      <c r="I91" s="15"/>
      <c r="M91" s="54"/>
    </row>
    <row r="92" spans="1:13" ht="12.75" customHeight="1" x14ac:dyDescent="0.2">
      <c r="B92" s="16" t="s">
        <v>153</v>
      </c>
      <c r="C92" s="16"/>
      <c r="F92" s="13"/>
      <c r="G92" s="14"/>
      <c r="H92" s="14"/>
      <c r="I92" s="15"/>
    </row>
    <row r="93" spans="1:13" ht="12.75" customHeight="1" x14ac:dyDescent="0.2">
      <c r="A93">
        <f>+MAX($A$8:A92)+1</f>
        <v>78</v>
      </c>
      <c r="B93" t="s">
        <v>450</v>
      </c>
      <c r="C93" t="s">
        <v>672</v>
      </c>
      <c r="D93" t="s">
        <v>345</v>
      </c>
      <c r="E93" s="28">
        <v>2000</v>
      </c>
      <c r="F93" s="13">
        <v>1.9726399999999999</v>
      </c>
      <c r="G93" s="14">
        <f>+ROUND(F93/VLOOKUP("Grand Total",$B$4:$F$380,5,0),4)</f>
        <v>8.3999999999999995E-3</v>
      </c>
      <c r="H93" s="14"/>
      <c r="I93" s="103">
        <v>43419</v>
      </c>
      <c r="K93" s="17"/>
      <c r="L93" s="37"/>
    </row>
    <row r="94" spans="1:13" ht="12.75" customHeight="1" x14ac:dyDescent="0.2">
      <c r="B94" s="18" t="s">
        <v>82</v>
      </c>
      <c r="C94" s="18"/>
      <c r="D94" s="18"/>
      <c r="E94" s="29"/>
      <c r="F94" s="19">
        <f>SUM(F93:F93)</f>
        <v>1.9726399999999999</v>
      </c>
      <c r="G94" s="20">
        <f>SUM(G93:G93)</f>
        <v>8.3999999999999995E-3</v>
      </c>
      <c r="H94" s="20"/>
      <c r="I94" s="21"/>
      <c r="J94" s="35"/>
    </row>
    <row r="95" spans="1:13" ht="12.75" customHeight="1" x14ac:dyDescent="0.2">
      <c r="F95" s="28"/>
      <c r="G95" s="28"/>
      <c r="H95" s="28"/>
      <c r="I95" s="15"/>
      <c r="M95" s="54"/>
    </row>
    <row r="96" spans="1:13" ht="12.75" customHeight="1" x14ac:dyDescent="0.2">
      <c r="B96" s="16" t="s">
        <v>89</v>
      </c>
      <c r="C96" s="16"/>
      <c r="F96" s="13"/>
      <c r="G96" s="14"/>
      <c r="H96" s="14"/>
      <c r="I96" s="15"/>
    </row>
    <row r="97" spans="1:13" ht="12.75" customHeight="1" x14ac:dyDescent="0.2">
      <c r="A97">
        <f>+MAX($A$8:A96)+1</f>
        <v>79</v>
      </c>
      <c r="B97" t="s">
        <v>286</v>
      </c>
      <c r="C97" t="s">
        <v>264</v>
      </c>
      <c r="D97" t="s">
        <v>279</v>
      </c>
      <c r="E97" s="28">
        <v>1446.9007999999999</v>
      </c>
      <c r="F97" s="13">
        <v>42.571200099999999</v>
      </c>
      <c r="G97" s="14">
        <f>+ROUND(F97/VLOOKUP("Grand Total",$B$4:$F$380,5,0),4)</f>
        <v>0.1807</v>
      </c>
      <c r="H97" s="14"/>
      <c r="I97" s="15" t="s">
        <v>313</v>
      </c>
      <c r="K97" s="17"/>
      <c r="L97" s="37"/>
    </row>
    <row r="98" spans="1:13" ht="12.75" customHeight="1" x14ac:dyDescent="0.2">
      <c r="A98">
        <f>+MAX($A$8:A97)+1</f>
        <v>80</v>
      </c>
      <c r="B98" t="s">
        <v>368</v>
      </c>
      <c r="C98" t="s">
        <v>299</v>
      </c>
      <c r="D98" t="s">
        <v>279</v>
      </c>
      <c r="E98" s="28">
        <v>1402.9568999999999</v>
      </c>
      <c r="F98" s="13">
        <v>24.380060299999997</v>
      </c>
      <c r="G98" s="14">
        <f>+ROUND(F98/VLOOKUP("Grand Total",$B$4:$F$380,5,0),4)</f>
        <v>0.10349999999999999</v>
      </c>
      <c r="H98" s="14"/>
      <c r="I98" s="15" t="s">
        <v>313</v>
      </c>
      <c r="K98" s="89"/>
      <c r="L98" s="48"/>
    </row>
    <row r="99" spans="1:13" ht="12.75" customHeight="1" x14ac:dyDescent="0.2">
      <c r="B99" s="18" t="s">
        <v>82</v>
      </c>
      <c r="C99" s="18"/>
      <c r="D99" s="18"/>
      <c r="E99" s="29"/>
      <c r="F99" s="19">
        <f>SUM(F97:F98)</f>
        <v>66.951260399999995</v>
      </c>
      <c r="G99" s="20">
        <f>SUM(G97:G98)</f>
        <v>0.28420000000000001</v>
      </c>
      <c r="H99" s="20"/>
      <c r="I99" s="21"/>
      <c r="J99" s="35"/>
    </row>
    <row r="100" spans="1:13" ht="12.75" customHeight="1" x14ac:dyDescent="0.2">
      <c r="F100" s="13"/>
      <c r="G100" s="14"/>
      <c r="H100" s="14"/>
      <c r="I100" s="15"/>
      <c r="M100" s="54"/>
    </row>
    <row r="101" spans="1:13" ht="12.75" customHeight="1" x14ac:dyDescent="0.2">
      <c r="B101" s="16" t="s">
        <v>91</v>
      </c>
      <c r="C101" s="16"/>
      <c r="F101" s="13"/>
      <c r="G101" s="14"/>
      <c r="H101" s="14"/>
      <c r="I101" s="15"/>
    </row>
    <row r="102" spans="1:13" ht="12.75" customHeight="1" x14ac:dyDescent="0.2">
      <c r="B102" s="16" t="s">
        <v>633</v>
      </c>
      <c r="C102" s="16"/>
      <c r="F102" s="13">
        <v>3.2877363000000002</v>
      </c>
      <c r="G102" s="14">
        <f>+ROUND(F102/VLOOKUP("Grand Total",$B$4:$F$380,5,0),4)</f>
        <v>1.4E-2</v>
      </c>
      <c r="H102" s="14"/>
      <c r="I102" s="15">
        <v>43346</v>
      </c>
    </row>
    <row r="103" spans="1:13" ht="12.75" customHeight="1" x14ac:dyDescent="0.2">
      <c r="B103" s="16" t="s">
        <v>92</v>
      </c>
      <c r="C103" s="16"/>
      <c r="F103" s="44">
        <f>+F105-SUMIF($B$5:B101,"Total",$F$5:F101)-VLOOKUP(B102,$B$7:F103,5,0)</f>
        <v>2.5338660999999889</v>
      </c>
      <c r="G103" s="14">
        <f>+ROUND(F103/VLOOKUP("Grand Total",$B$4:$F$380,5,0),4)-0.04%</f>
        <v>1.0400000000000001E-2</v>
      </c>
      <c r="H103" s="14"/>
      <c r="I103" s="15"/>
      <c r="K103" s="14"/>
      <c r="M103" s="54"/>
    </row>
    <row r="104" spans="1:13" ht="12.75" customHeight="1" x14ac:dyDescent="0.2">
      <c r="B104" s="18" t="s">
        <v>82</v>
      </c>
      <c r="C104" s="18"/>
      <c r="D104" s="18"/>
      <c r="E104" s="29"/>
      <c r="F104" s="50">
        <f>SUM(F102:F103)</f>
        <v>5.8216023999999891</v>
      </c>
      <c r="G104" s="20">
        <f>SUM(G102:G103)</f>
        <v>2.4400000000000002E-2</v>
      </c>
      <c r="H104" s="20"/>
      <c r="I104" s="21"/>
    </row>
    <row r="105" spans="1:13" ht="12.75" customHeight="1" x14ac:dyDescent="0.2">
      <c r="B105" s="22" t="s">
        <v>93</v>
      </c>
      <c r="C105" s="22"/>
      <c r="D105" s="22"/>
      <c r="E105" s="30"/>
      <c r="F105" s="23">
        <v>235.58294830000003</v>
      </c>
      <c r="G105" s="24">
        <f>+SUMIF($B$5:B104,"Total",$G$5:G104)</f>
        <v>1</v>
      </c>
      <c r="H105" s="24"/>
      <c r="I105" s="25"/>
    </row>
    <row r="106" spans="1:13" ht="12.75" customHeight="1" x14ac:dyDescent="0.2">
      <c r="J106" s="35"/>
    </row>
    <row r="107" spans="1:13" ht="12.75" customHeight="1" x14ac:dyDescent="0.2">
      <c r="J107" s="35"/>
    </row>
    <row r="108" spans="1:13" ht="12.75" customHeight="1" x14ac:dyDescent="0.2"/>
    <row r="109" spans="1:13" ht="12.75" customHeight="1" x14ac:dyDescent="0.2">
      <c r="B109" s="16"/>
      <c r="C109" s="16"/>
    </row>
    <row r="110" spans="1:13" ht="12.75" customHeight="1" x14ac:dyDescent="0.2">
      <c r="B110" s="16"/>
      <c r="C110" s="16"/>
    </row>
    <row r="111" spans="1:13" ht="12.75" customHeight="1" x14ac:dyDescent="0.2">
      <c r="B111" s="16"/>
      <c r="C111" s="16"/>
    </row>
    <row r="112" spans="1:13" ht="12.75" customHeight="1" x14ac:dyDescent="0.2">
      <c r="B112" s="16"/>
      <c r="C112" s="16"/>
    </row>
    <row r="113" spans="2:3" ht="12.75" customHeight="1" x14ac:dyDescent="0.2">
      <c r="B113" s="16"/>
      <c r="C113" s="16"/>
    </row>
    <row r="114" spans="2:3" ht="12.75" customHeight="1" x14ac:dyDescent="0.2"/>
    <row r="115" spans="2:3" ht="12.75" customHeight="1" x14ac:dyDescent="0.2"/>
    <row r="116" spans="2:3" ht="12.75" customHeight="1" x14ac:dyDescent="0.2"/>
    <row r="117" spans="2:3" ht="12.75" customHeight="1" x14ac:dyDescent="0.2"/>
    <row r="118" spans="2:3" ht="12.75" customHeight="1" x14ac:dyDescent="0.2"/>
    <row r="119" spans="2:3" ht="12.75" customHeight="1" x14ac:dyDescent="0.2"/>
    <row r="120" spans="2:3" ht="12.75" customHeight="1" x14ac:dyDescent="0.2"/>
    <row r="121" spans="2:3" ht="12.75" customHeight="1" x14ac:dyDescent="0.2"/>
    <row r="122" spans="2:3" ht="12.75" customHeight="1" x14ac:dyDescent="0.2"/>
    <row r="123" spans="2:3" ht="12.75" customHeight="1" x14ac:dyDescent="0.2"/>
    <row r="124" spans="2:3" ht="12.75" customHeight="1" x14ac:dyDescent="0.2"/>
    <row r="125" spans="2:3" ht="12.75" customHeight="1" x14ac:dyDescent="0.2"/>
    <row r="126" spans="2:3" ht="12.75" customHeight="1" x14ac:dyDescent="0.2"/>
    <row r="127" spans="2:3" ht="12.75" customHeight="1" x14ac:dyDescent="0.2"/>
    <row r="128" spans="2:3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sortState ref="K9:L36">
    <sortCondition descending="1" ref="L9:L36"/>
  </sortState>
  <mergeCells count="1">
    <mergeCell ref="B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4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5703125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3" t="s">
        <v>334</v>
      </c>
      <c r="B1" s="128" t="s">
        <v>754</v>
      </c>
      <c r="C1" s="129"/>
      <c r="D1" s="129"/>
      <c r="E1" s="129"/>
      <c r="F1" s="129"/>
      <c r="G1" s="129"/>
      <c r="H1" s="66"/>
      <c r="I1" s="66"/>
    </row>
    <row r="2" spans="1:13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127" t="s">
        <v>792</v>
      </c>
      <c r="I4" s="32" t="s">
        <v>6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8</v>
      </c>
      <c r="C7" s="16"/>
      <c r="F7" s="13"/>
      <c r="G7" s="14"/>
      <c r="H7" s="14"/>
      <c r="I7" s="15"/>
      <c r="K7" s="17" t="s">
        <v>493</v>
      </c>
      <c r="L7" s="37" t="s">
        <v>11</v>
      </c>
    </row>
    <row r="8" spans="1:13" ht="12.75" customHeight="1" x14ac:dyDescent="0.2">
      <c r="B8" s="16" t="s">
        <v>499</v>
      </c>
      <c r="C8" s="16"/>
      <c r="F8" s="13"/>
      <c r="G8" s="14"/>
      <c r="H8" s="14"/>
      <c r="I8" s="15"/>
      <c r="K8" s="105" t="s">
        <v>22</v>
      </c>
      <c r="L8" s="102">
        <f t="shared" ref="L8:L27" si="0">SUMIFS($G$5:$G$351,$D$5:$D$351,K8)</f>
        <v>0.16659999999999997</v>
      </c>
    </row>
    <row r="9" spans="1:13" s="77" customFormat="1" ht="12.75" customHeight="1" x14ac:dyDescent="0.2">
      <c r="A9" s="77">
        <f>+MAX($A$7:A8)+1</f>
        <v>1</v>
      </c>
      <c r="B9" s="77" t="s">
        <v>542</v>
      </c>
      <c r="C9" s="77" t="s">
        <v>543</v>
      </c>
      <c r="D9" s="77" t="s">
        <v>22</v>
      </c>
      <c r="E9" s="74">
        <v>10500</v>
      </c>
      <c r="F9" s="79">
        <v>86.950500000000005</v>
      </c>
      <c r="G9" s="76">
        <f>+ROUND(F9/VLOOKUP("Grand Total",$B$4:$F$251,5,0),4)</f>
        <v>7.0199999999999999E-2</v>
      </c>
      <c r="H9" s="76"/>
      <c r="I9" s="103"/>
      <c r="J9" s="104"/>
      <c r="K9" s="105" t="s">
        <v>21</v>
      </c>
      <c r="L9" s="102">
        <f t="shared" si="0"/>
        <v>9.5000000000000001E-2</v>
      </c>
      <c r="M9" s="75"/>
    </row>
    <row r="10" spans="1:13" s="65" customFormat="1" ht="12.75" customHeight="1" x14ac:dyDescent="0.2">
      <c r="A10" s="77">
        <f>+A9+1</f>
        <v>2</v>
      </c>
      <c r="B10" s="77" t="s">
        <v>542</v>
      </c>
      <c r="C10" s="131" t="s">
        <v>787</v>
      </c>
      <c r="D10" s="77" t="s">
        <v>282</v>
      </c>
      <c r="E10" s="74">
        <v>-10500</v>
      </c>
      <c r="F10" s="75">
        <v>-87.669749999999993</v>
      </c>
      <c r="G10" s="76"/>
      <c r="H10" s="76">
        <f>+ROUND(F10/VLOOKUP("Grand Total",$B$4:$F$277,5,0),4)</f>
        <v>-7.0800000000000002E-2</v>
      </c>
      <c r="I10" s="88">
        <v>43370</v>
      </c>
      <c r="K10" s="83" t="s">
        <v>279</v>
      </c>
      <c r="L10" s="102">
        <f t="shared" si="0"/>
        <v>9.11E-2</v>
      </c>
    </row>
    <row r="11" spans="1:13" s="77" customFormat="1" ht="12.75" customHeight="1" x14ac:dyDescent="0.2">
      <c r="A11" s="77">
        <f t="shared" ref="A11:A54" si="1">+A10+1</f>
        <v>3</v>
      </c>
      <c r="B11" s="77" t="s">
        <v>192</v>
      </c>
      <c r="C11" s="77" t="s">
        <v>63</v>
      </c>
      <c r="D11" s="77" t="s">
        <v>32</v>
      </c>
      <c r="E11" s="74">
        <v>17000</v>
      </c>
      <c r="F11" s="79">
        <v>65.254499999999993</v>
      </c>
      <c r="G11" s="76">
        <f>+ROUND(F11/VLOOKUP("Grand Total",$B$4:$F$251,5,0),4)</f>
        <v>5.2699999999999997E-2</v>
      </c>
      <c r="H11" s="76"/>
      <c r="I11" s="103"/>
      <c r="J11" s="104"/>
      <c r="K11" s="83" t="s">
        <v>9</v>
      </c>
      <c r="L11" s="102">
        <f t="shared" si="0"/>
        <v>8.9300000000000004E-2</v>
      </c>
      <c r="M11" s="75"/>
    </row>
    <row r="12" spans="1:13" s="65" customFormat="1" ht="12.75" customHeight="1" x14ac:dyDescent="0.2">
      <c r="A12" s="77">
        <f t="shared" si="1"/>
        <v>4</v>
      </c>
      <c r="B12" s="77" t="s">
        <v>192</v>
      </c>
      <c r="C12" s="131" t="s">
        <v>787</v>
      </c>
      <c r="D12" s="77" t="s">
        <v>282</v>
      </c>
      <c r="E12" s="74">
        <v>-17000</v>
      </c>
      <c r="F12" s="75">
        <v>-65.534999999999997</v>
      </c>
      <c r="G12" s="76"/>
      <c r="H12" s="76">
        <f>+ROUND(F12/VLOOKUP("Grand Total",$B$4:$F$277,5,0),4)</f>
        <v>-5.2900000000000003E-2</v>
      </c>
      <c r="I12" s="88">
        <v>43370</v>
      </c>
      <c r="K12" s="105" t="s">
        <v>149</v>
      </c>
      <c r="L12" s="102">
        <f t="shared" si="0"/>
        <v>6.4500000000000002E-2</v>
      </c>
    </row>
    <row r="13" spans="1:13" s="77" customFormat="1" ht="12.75" customHeight="1" x14ac:dyDescent="0.2">
      <c r="A13" s="77">
        <f t="shared" si="1"/>
        <v>5</v>
      </c>
      <c r="B13" s="77" t="s">
        <v>287</v>
      </c>
      <c r="C13" s="77" t="s">
        <v>288</v>
      </c>
      <c r="D13" s="77" t="s">
        <v>22</v>
      </c>
      <c r="E13" s="74">
        <v>118800</v>
      </c>
      <c r="F13" s="79">
        <v>62.548200000000001</v>
      </c>
      <c r="G13" s="76">
        <f>+ROUND(F13/VLOOKUP("Grand Total",$B$4:$F$251,5,0),4)</f>
        <v>5.0500000000000003E-2</v>
      </c>
      <c r="H13" s="76"/>
      <c r="I13" s="103"/>
      <c r="J13" s="104"/>
      <c r="K13" s="83" t="s">
        <v>32</v>
      </c>
      <c r="L13" s="102">
        <f t="shared" si="0"/>
        <v>5.2699999999999997E-2</v>
      </c>
      <c r="M13" s="75"/>
    </row>
    <row r="14" spans="1:13" s="65" customFormat="1" ht="12.75" customHeight="1" x14ac:dyDescent="0.2">
      <c r="A14" s="77">
        <f t="shared" si="1"/>
        <v>6</v>
      </c>
      <c r="B14" s="77" t="s">
        <v>287</v>
      </c>
      <c r="C14" s="131" t="s">
        <v>787</v>
      </c>
      <c r="D14" s="77" t="s">
        <v>282</v>
      </c>
      <c r="E14" s="74">
        <v>-118800</v>
      </c>
      <c r="F14" s="75">
        <v>-63.023400000000002</v>
      </c>
      <c r="G14" s="76"/>
      <c r="H14" s="76">
        <f>+ROUND(F14/VLOOKUP("Grand Total",$B$4:$F$277,5,0),4)</f>
        <v>-5.0900000000000001E-2</v>
      </c>
      <c r="I14" s="88">
        <v>43370</v>
      </c>
      <c r="K14" s="105" t="s">
        <v>733</v>
      </c>
      <c r="L14" s="102">
        <f t="shared" si="0"/>
        <v>4.3700000000000003E-2</v>
      </c>
    </row>
    <row r="15" spans="1:13" s="77" customFormat="1" ht="12.75" customHeight="1" x14ac:dyDescent="0.2">
      <c r="A15" s="77">
        <f t="shared" si="1"/>
        <v>7</v>
      </c>
      <c r="B15" s="77" t="s">
        <v>193</v>
      </c>
      <c r="C15" s="77" t="s">
        <v>59</v>
      </c>
      <c r="D15" s="77" t="s">
        <v>21</v>
      </c>
      <c r="E15" s="74">
        <v>8000</v>
      </c>
      <c r="F15" s="79">
        <v>57.02</v>
      </c>
      <c r="G15" s="76">
        <f>+ROUND(F15/VLOOKUP("Grand Total",$B$4:$F$251,5,0),4)</f>
        <v>4.5999999999999999E-2</v>
      </c>
      <c r="H15" s="76"/>
      <c r="I15" s="103"/>
      <c r="J15" s="104"/>
      <c r="K15" s="83" t="s">
        <v>34</v>
      </c>
      <c r="L15" s="102">
        <f t="shared" si="0"/>
        <v>4.1000000000000002E-2</v>
      </c>
      <c r="M15" s="75"/>
    </row>
    <row r="16" spans="1:13" s="65" customFormat="1" ht="12.75" customHeight="1" x14ac:dyDescent="0.2">
      <c r="A16" s="77">
        <f t="shared" si="1"/>
        <v>8</v>
      </c>
      <c r="B16" s="77" t="s">
        <v>193</v>
      </c>
      <c r="C16" s="131" t="s">
        <v>787</v>
      </c>
      <c r="D16" s="77" t="s">
        <v>282</v>
      </c>
      <c r="E16" s="74">
        <v>-8000</v>
      </c>
      <c r="F16" s="75">
        <v>-57.475999999999999</v>
      </c>
      <c r="G16" s="76"/>
      <c r="H16" s="76">
        <f>+ROUND(F16/VLOOKUP("Grand Total",$B$4:$F$277,5,0),4)</f>
        <v>-4.6399999999999997E-2</v>
      </c>
      <c r="I16" s="88">
        <v>43370</v>
      </c>
      <c r="K16" s="83" t="s">
        <v>255</v>
      </c>
      <c r="L16" s="102">
        <f t="shared" si="0"/>
        <v>4.0099999999999997E-2</v>
      </c>
    </row>
    <row r="17" spans="1:13" s="77" customFormat="1" ht="12.75" customHeight="1" x14ac:dyDescent="0.2">
      <c r="A17" s="77">
        <f t="shared" si="1"/>
        <v>9</v>
      </c>
      <c r="B17" s="77" t="s">
        <v>173</v>
      </c>
      <c r="C17" s="77" t="s">
        <v>10</v>
      </c>
      <c r="D17" s="77" t="s">
        <v>9</v>
      </c>
      <c r="E17" s="74">
        <v>16500</v>
      </c>
      <c r="F17" s="79">
        <v>56.529000000000003</v>
      </c>
      <c r="G17" s="76">
        <f>+ROUND(F17/VLOOKUP("Grand Total",$B$4:$F$251,5,0),4)</f>
        <v>4.5600000000000002E-2</v>
      </c>
      <c r="H17" s="76"/>
      <c r="I17" s="103"/>
      <c r="J17" s="104"/>
      <c r="K17" s="83" t="s">
        <v>102</v>
      </c>
      <c r="L17" s="102">
        <f t="shared" si="0"/>
        <v>3.8699999999999998E-2</v>
      </c>
      <c r="M17" s="75"/>
    </row>
    <row r="18" spans="1:13" s="65" customFormat="1" ht="12.75" customHeight="1" x14ac:dyDescent="0.2">
      <c r="A18" s="77">
        <f t="shared" si="1"/>
        <v>10</v>
      </c>
      <c r="B18" s="77" t="s">
        <v>173</v>
      </c>
      <c r="C18" s="131" t="s">
        <v>787</v>
      </c>
      <c r="D18" s="77" t="s">
        <v>282</v>
      </c>
      <c r="E18" s="74">
        <v>-16500</v>
      </c>
      <c r="F18" s="75">
        <v>-56.661000000000001</v>
      </c>
      <c r="G18" s="76"/>
      <c r="H18" s="76">
        <f>+ROUND(F18/VLOOKUP("Grand Total",$B$4:$F$277,5,0),4)</f>
        <v>-4.58E-2</v>
      </c>
      <c r="I18" s="88">
        <v>43370</v>
      </c>
      <c r="K18" s="105" t="s">
        <v>17</v>
      </c>
      <c r="L18" s="102">
        <f t="shared" si="0"/>
        <v>3.5700000000000003E-2</v>
      </c>
    </row>
    <row r="19" spans="1:13" s="77" customFormat="1" ht="12.75" customHeight="1" x14ac:dyDescent="0.2">
      <c r="A19" s="77">
        <f t="shared" si="1"/>
        <v>11</v>
      </c>
      <c r="B19" s="77" t="s">
        <v>222</v>
      </c>
      <c r="C19" s="77" t="s">
        <v>431</v>
      </c>
      <c r="D19" s="77" t="s">
        <v>9</v>
      </c>
      <c r="E19" s="74">
        <v>15750</v>
      </c>
      <c r="F19" s="79">
        <v>54.10125</v>
      </c>
      <c r="G19" s="76">
        <f>+ROUND(F19/VLOOKUP("Grand Total",$B$4:$F$251,5,0),4)</f>
        <v>4.3700000000000003E-2</v>
      </c>
      <c r="H19" s="76"/>
      <c r="I19" s="103"/>
      <c r="J19" s="104"/>
      <c r="K19" s="105" t="s">
        <v>449</v>
      </c>
      <c r="L19" s="102">
        <f t="shared" si="0"/>
        <v>3.2300000000000002E-2</v>
      </c>
      <c r="M19" s="75"/>
    </row>
    <row r="20" spans="1:13" s="65" customFormat="1" ht="12.75" customHeight="1" x14ac:dyDescent="0.2">
      <c r="A20" s="77">
        <f t="shared" si="1"/>
        <v>12</v>
      </c>
      <c r="B20" s="77" t="s">
        <v>222</v>
      </c>
      <c r="C20" s="131" t="s">
        <v>787</v>
      </c>
      <c r="D20" s="77" t="s">
        <v>282</v>
      </c>
      <c r="E20" s="74">
        <v>-15750</v>
      </c>
      <c r="F20" s="75">
        <v>-54.550125000000001</v>
      </c>
      <c r="G20" s="76"/>
      <c r="H20" s="76">
        <f>+ROUND(F20/VLOOKUP("Grand Total",$B$4:$F$277,5,0),4)</f>
        <v>-4.3999999999999997E-2</v>
      </c>
      <c r="I20" s="88">
        <v>43370</v>
      </c>
      <c r="K20" s="83" t="s">
        <v>445</v>
      </c>
      <c r="L20" s="102">
        <f t="shared" si="0"/>
        <v>3.2099999999999997E-2</v>
      </c>
    </row>
    <row r="21" spans="1:13" s="77" customFormat="1" ht="12.75" customHeight="1" x14ac:dyDescent="0.2">
      <c r="A21" s="77">
        <f t="shared" si="1"/>
        <v>13</v>
      </c>
      <c r="B21" s="77" t="s">
        <v>731</v>
      </c>
      <c r="C21" s="77" t="s">
        <v>732</v>
      </c>
      <c r="D21" s="77" t="s">
        <v>733</v>
      </c>
      <c r="E21" s="74">
        <v>24000</v>
      </c>
      <c r="F21" s="79">
        <v>54.06</v>
      </c>
      <c r="G21" s="76">
        <f>+ROUND(F21/VLOOKUP("Grand Total",$B$4:$F$251,5,0),4)</f>
        <v>4.3700000000000003E-2</v>
      </c>
      <c r="H21" s="76"/>
      <c r="I21" s="103"/>
      <c r="J21" s="104"/>
      <c r="K21" s="83" t="s">
        <v>19</v>
      </c>
      <c r="L21" s="102">
        <f t="shared" si="0"/>
        <v>3.1699999999999999E-2</v>
      </c>
      <c r="M21" s="75"/>
    </row>
    <row r="22" spans="1:13" s="65" customFormat="1" ht="12.75" customHeight="1" x14ac:dyDescent="0.2">
      <c r="A22" s="77">
        <f t="shared" si="1"/>
        <v>14</v>
      </c>
      <c r="B22" s="77" t="s">
        <v>731</v>
      </c>
      <c r="C22" s="131" t="s">
        <v>787</v>
      </c>
      <c r="D22" s="77" t="s">
        <v>282</v>
      </c>
      <c r="E22" s="74">
        <v>-24000</v>
      </c>
      <c r="F22" s="75">
        <v>-54.276000000000003</v>
      </c>
      <c r="G22" s="76"/>
      <c r="H22" s="76">
        <f>+ROUND(F22/VLOOKUP("Grand Total",$B$4:$F$277,5,0),4)</f>
        <v>-4.3799999999999999E-2</v>
      </c>
      <c r="I22" s="88">
        <v>43370</v>
      </c>
      <c r="K22" s="105" t="s">
        <v>30</v>
      </c>
      <c r="L22" s="102">
        <f t="shared" si="0"/>
        <v>2.69E-2</v>
      </c>
    </row>
    <row r="23" spans="1:13" s="77" customFormat="1" ht="12.75" customHeight="1" x14ac:dyDescent="0.2">
      <c r="A23" s="77">
        <f t="shared" si="1"/>
        <v>15</v>
      </c>
      <c r="B23" s="77" t="s">
        <v>456</v>
      </c>
      <c r="C23" s="77" t="s">
        <v>457</v>
      </c>
      <c r="D23" s="77" t="s">
        <v>102</v>
      </c>
      <c r="E23" s="74">
        <v>60000</v>
      </c>
      <c r="F23" s="79">
        <v>47.91</v>
      </c>
      <c r="G23" s="76">
        <f>+ROUND(F23/VLOOKUP("Grand Total",$B$4:$F$251,5,0),4)</f>
        <v>3.8699999999999998E-2</v>
      </c>
      <c r="H23" s="76"/>
      <c r="I23" s="103"/>
      <c r="J23" s="104"/>
      <c r="K23" s="105" t="s">
        <v>45</v>
      </c>
      <c r="L23" s="102">
        <f t="shared" si="0"/>
        <v>1.2E-2</v>
      </c>
      <c r="M23" s="75"/>
    </row>
    <row r="24" spans="1:13" s="65" customFormat="1" ht="12.75" customHeight="1" x14ac:dyDescent="0.2">
      <c r="A24" s="77">
        <f t="shared" si="1"/>
        <v>16</v>
      </c>
      <c r="B24" s="77" t="s">
        <v>456</v>
      </c>
      <c r="C24" s="131" t="s">
        <v>787</v>
      </c>
      <c r="D24" s="77" t="s">
        <v>282</v>
      </c>
      <c r="E24" s="74">
        <v>-60000</v>
      </c>
      <c r="F24" s="75">
        <v>-48.3</v>
      </c>
      <c r="G24" s="76"/>
      <c r="H24" s="76">
        <f>+ROUND(F24/VLOOKUP("Grand Total",$B$4:$F$277,5,0),4)</f>
        <v>-3.9E-2</v>
      </c>
      <c r="I24" s="88">
        <v>43370</v>
      </c>
      <c r="K24" s="83" t="s">
        <v>35</v>
      </c>
      <c r="L24" s="102">
        <f t="shared" si="0"/>
        <v>1.0999999999999999E-2</v>
      </c>
    </row>
    <row r="25" spans="1:13" s="77" customFormat="1" ht="12.75" customHeight="1" x14ac:dyDescent="0.2">
      <c r="A25" s="77">
        <f t="shared" si="1"/>
        <v>17</v>
      </c>
      <c r="B25" s="77" t="s">
        <v>271</v>
      </c>
      <c r="C25" s="77" t="s">
        <v>65</v>
      </c>
      <c r="D25" s="77" t="s">
        <v>17</v>
      </c>
      <c r="E25" s="74">
        <v>35000</v>
      </c>
      <c r="F25" s="79">
        <v>44.24</v>
      </c>
      <c r="G25" s="76">
        <f>+ROUND(F25/VLOOKUP("Grand Total",$B$4:$F$251,5,0),4)</f>
        <v>3.5700000000000003E-2</v>
      </c>
      <c r="H25" s="76"/>
      <c r="I25" s="103"/>
      <c r="J25" s="104"/>
      <c r="K25" s="105" t="s">
        <v>101</v>
      </c>
      <c r="L25" s="102">
        <f t="shared" si="0"/>
        <v>6.7999999999999996E-3</v>
      </c>
      <c r="M25" s="75"/>
    </row>
    <row r="26" spans="1:13" s="65" customFormat="1" ht="12.75" customHeight="1" x14ac:dyDescent="0.2">
      <c r="A26" s="77">
        <f t="shared" si="1"/>
        <v>18</v>
      </c>
      <c r="B26" s="77" t="s">
        <v>271</v>
      </c>
      <c r="C26" s="131" t="s">
        <v>787</v>
      </c>
      <c r="D26" s="77" t="s">
        <v>282</v>
      </c>
      <c r="E26" s="74">
        <v>-35000</v>
      </c>
      <c r="F26" s="75">
        <v>-44.274999999999999</v>
      </c>
      <c r="G26" s="76"/>
      <c r="H26" s="76">
        <f>+ROUND(F26/VLOOKUP("Grand Total",$B$4:$F$277,5,0),4)</f>
        <v>-3.5799999999999998E-2</v>
      </c>
      <c r="I26" s="88">
        <v>43370</v>
      </c>
      <c r="K26" s="83" t="s">
        <v>98</v>
      </c>
      <c r="L26" s="102">
        <f t="shared" si="0"/>
        <v>6.3E-3</v>
      </c>
    </row>
    <row r="27" spans="1:13" s="77" customFormat="1" ht="12.75" customHeight="1" x14ac:dyDescent="0.2">
      <c r="A27" s="77">
        <f t="shared" si="1"/>
        <v>19</v>
      </c>
      <c r="B27" s="77" t="s">
        <v>489</v>
      </c>
      <c r="C27" s="77" t="s">
        <v>490</v>
      </c>
      <c r="D27" s="77" t="s">
        <v>34</v>
      </c>
      <c r="E27" s="74">
        <v>4400</v>
      </c>
      <c r="F27" s="79">
        <v>43.819600000000001</v>
      </c>
      <c r="G27" s="76">
        <f>+ROUND(F27/VLOOKUP("Grand Total",$B$4:$F$251,5,0),4)</f>
        <v>3.5400000000000001E-2</v>
      </c>
      <c r="H27" s="76"/>
      <c r="I27" s="103"/>
      <c r="J27" s="104"/>
      <c r="K27" s="105" t="s">
        <v>345</v>
      </c>
      <c r="L27" s="102">
        <f t="shared" si="0"/>
        <v>8.0000000000000004E-4</v>
      </c>
      <c r="M27" s="75"/>
    </row>
    <row r="28" spans="1:13" s="65" customFormat="1" ht="12.75" customHeight="1" x14ac:dyDescent="0.2">
      <c r="A28" s="77">
        <f t="shared" si="1"/>
        <v>20</v>
      </c>
      <c r="B28" s="77" t="s">
        <v>489</v>
      </c>
      <c r="C28" s="131" t="s">
        <v>787</v>
      </c>
      <c r="D28" s="77" t="s">
        <v>282</v>
      </c>
      <c r="E28" s="74">
        <v>-4400</v>
      </c>
      <c r="F28" s="75">
        <v>-44.1584</v>
      </c>
      <c r="G28" s="76"/>
      <c r="H28" s="76">
        <f>+ROUND(F28/VLOOKUP("Grand Total",$B$4:$F$277,5,0),4)</f>
        <v>-3.5700000000000003E-2</v>
      </c>
      <c r="I28" s="88">
        <v>43370</v>
      </c>
      <c r="K28" s="14" t="s">
        <v>62</v>
      </c>
      <c r="L28" s="48">
        <f>+SUMIFS($G$5:$G$1002,$B$5:$B$1002,"CBLO / Reverse Repo")+SUMIFS($G$5:$G$1002,$B$5:$B$1002,"Net Receivable/Payable")</f>
        <v>8.1699999999999995E-2</v>
      </c>
    </row>
    <row r="29" spans="1:13" s="77" customFormat="1" ht="12.75" customHeight="1" x14ac:dyDescent="0.2">
      <c r="A29" s="77">
        <f t="shared" si="1"/>
        <v>21</v>
      </c>
      <c r="B29" s="77" t="s">
        <v>213</v>
      </c>
      <c r="C29" s="77" t="s">
        <v>100</v>
      </c>
      <c r="D29" s="77" t="s">
        <v>21</v>
      </c>
      <c r="E29" s="74">
        <v>4200</v>
      </c>
      <c r="F29" s="79">
        <v>39.120899999999999</v>
      </c>
      <c r="G29" s="76">
        <f>+ROUND(F29/VLOOKUP("Grand Total",$B$4:$F$251,5,0),4)</f>
        <v>3.1600000000000003E-2</v>
      </c>
      <c r="H29" s="76"/>
      <c r="I29" s="103"/>
      <c r="J29" s="104"/>
      <c r="K29" s="105"/>
      <c r="L29" s="102"/>
      <c r="M29" s="75"/>
    </row>
    <row r="30" spans="1:13" s="65" customFormat="1" ht="12.75" customHeight="1" x14ac:dyDescent="0.2">
      <c r="A30" s="77">
        <f t="shared" si="1"/>
        <v>22</v>
      </c>
      <c r="B30" s="77" t="s">
        <v>213</v>
      </c>
      <c r="C30" s="131" t="s">
        <v>787</v>
      </c>
      <c r="D30" s="77" t="s">
        <v>282</v>
      </c>
      <c r="E30" s="74">
        <v>-4200</v>
      </c>
      <c r="F30" s="75">
        <v>-39.3855</v>
      </c>
      <c r="G30" s="76"/>
      <c r="H30" s="76">
        <f>+ROUND(F30/VLOOKUP("Grand Total",$B$4:$F$277,5,0),4)</f>
        <v>-3.1800000000000002E-2</v>
      </c>
      <c r="I30" s="88">
        <v>43370</v>
      </c>
      <c r="K30" s="83"/>
    </row>
    <row r="31" spans="1:13" s="77" customFormat="1" ht="12.75" customHeight="1" x14ac:dyDescent="0.2">
      <c r="A31" s="77">
        <f t="shared" si="1"/>
        <v>23</v>
      </c>
      <c r="B31" s="77" t="s">
        <v>196</v>
      </c>
      <c r="C31" s="77" t="s">
        <v>71</v>
      </c>
      <c r="D31" s="77" t="s">
        <v>30</v>
      </c>
      <c r="E31" s="74">
        <v>17500</v>
      </c>
      <c r="F31" s="79">
        <v>33.302500000000002</v>
      </c>
      <c r="G31" s="76">
        <f>+ROUND(F31/VLOOKUP("Grand Total",$B$4:$F$251,5,0),4)</f>
        <v>2.69E-2</v>
      </c>
      <c r="H31" s="76"/>
      <c r="I31" s="103"/>
      <c r="J31" s="104"/>
      <c r="K31" s="105"/>
      <c r="L31" s="102"/>
      <c r="M31" s="75"/>
    </row>
    <row r="32" spans="1:13" s="65" customFormat="1" ht="12.75" customHeight="1" x14ac:dyDescent="0.2">
      <c r="A32" s="77">
        <f t="shared" si="1"/>
        <v>24</v>
      </c>
      <c r="B32" s="77" t="s">
        <v>196</v>
      </c>
      <c r="C32" s="131" t="s">
        <v>787</v>
      </c>
      <c r="D32" s="77" t="s">
        <v>282</v>
      </c>
      <c r="E32" s="74">
        <v>-17500</v>
      </c>
      <c r="F32" s="75">
        <v>-33.564999999999998</v>
      </c>
      <c r="G32" s="76"/>
      <c r="H32" s="76">
        <f>+ROUND(F32/VLOOKUP("Grand Total",$B$4:$F$277,5,0),4)</f>
        <v>-2.7099999999999999E-2</v>
      </c>
      <c r="I32" s="88">
        <v>43370</v>
      </c>
      <c r="K32" s="83"/>
    </row>
    <row r="33" spans="1:13" s="77" customFormat="1" ht="12.75" customHeight="1" x14ac:dyDescent="0.2">
      <c r="A33" s="77">
        <f t="shared" si="1"/>
        <v>25</v>
      </c>
      <c r="B33" s="77" t="s">
        <v>180</v>
      </c>
      <c r="C33" s="77" t="s">
        <v>42</v>
      </c>
      <c r="D33" s="77" t="s">
        <v>22</v>
      </c>
      <c r="E33" s="74">
        <v>4500</v>
      </c>
      <c r="F33" s="79">
        <v>30.044250000000002</v>
      </c>
      <c r="G33" s="76">
        <f>+ROUND(F33/VLOOKUP("Grand Total",$B$4:$F$251,5,0),4)</f>
        <v>2.4299999999999999E-2</v>
      </c>
      <c r="H33" s="76"/>
      <c r="I33" s="103"/>
      <c r="J33" s="104"/>
      <c r="K33" s="105"/>
      <c r="L33" s="102"/>
      <c r="M33" s="75"/>
    </row>
    <row r="34" spans="1:13" s="65" customFormat="1" ht="12.75" customHeight="1" x14ac:dyDescent="0.2">
      <c r="A34" s="77">
        <f t="shared" si="1"/>
        <v>26</v>
      </c>
      <c r="B34" s="77" t="s">
        <v>180</v>
      </c>
      <c r="C34" s="131" t="s">
        <v>787</v>
      </c>
      <c r="D34" s="77" t="s">
        <v>282</v>
      </c>
      <c r="E34" s="74">
        <v>-4500</v>
      </c>
      <c r="F34" s="75">
        <v>-30.143249999999998</v>
      </c>
      <c r="G34" s="76"/>
      <c r="H34" s="76">
        <f>+ROUND(F34/VLOOKUP("Grand Total",$B$4:$F$277,5,0),4)</f>
        <v>-2.4299999999999999E-2</v>
      </c>
      <c r="I34" s="88">
        <v>43370</v>
      </c>
      <c r="K34" s="83"/>
    </row>
    <row r="35" spans="1:13" s="77" customFormat="1" ht="12.75" customHeight="1" x14ac:dyDescent="0.2">
      <c r="A35" s="77">
        <f t="shared" si="1"/>
        <v>27</v>
      </c>
      <c r="B35" s="77" t="s">
        <v>354</v>
      </c>
      <c r="C35" s="77" t="s">
        <v>66</v>
      </c>
      <c r="D35" s="77" t="s">
        <v>21</v>
      </c>
      <c r="E35" s="74">
        <v>3300</v>
      </c>
      <c r="F35" s="79">
        <v>21.544049999999999</v>
      </c>
      <c r="G35" s="76">
        <f>+ROUND(F35/VLOOKUP("Grand Total",$B$4:$F$251,5,0),4)</f>
        <v>1.7399999999999999E-2</v>
      </c>
      <c r="H35" s="76"/>
      <c r="I35" s="103"/>
      <c r="J35" s="104"/>
      <c r="K35" s="105"/>
      <c r="L35" s="102"/>
      <c r="M35" s="75"/>
    </row>
    <row r="36" spans="1:13" s="65" customFormat="1" ht="12.75" customHeight="1" x14ac:dyDescent="0.2">
      <c r="A36" s="77">
        <f t="shared" si="1"/>
        <v>28</v>
      </c>
      <c r="B36" s="77" t="s">
        <v>354</v>
      </c>
      <c r="C36" s="131" t="s">
        <v>787</v>
      </c>
      <c r="D36" s="77" t="s">
        <v>282</v>
      </c>
      <c r="E36" s="74">
        <v>-3300</v>
      </c>
      <c r="F36" s="75">
        <v>-21.57705</v>
      </c>
      <c r="G36" s="76"/>
      <c r="H36" s="76">
        <f>+ROUND(F36/VLOOKUP("Grand Total",$B$4:$F$277,5,0),4)</f>
        <v>-1.7399999999999999E-2</v>
      </c>
      <c r="I36" s="88">
        <v>43370</v>
      </c>
      <c r="K36" s="83"/>
    </row>
    <row r="37" spans="1:13" s="77" customFormat="1" ht="12.75" customHeight="1" x14ac:dyDescent="0.2">
      <c r="A37" s="77">
        <f t="shared" si="1"/>
        <v>29</v>
      </c>
      <c r="B37" s="77" t="s">
        <v>174</v>
      </c>
      <c r="C37" s="77" t="s">
        <v>20</v>
      </c>
      <c r="D37" s="77" t="s">
        <v>19</v>
      </c>
      <c r="E37" s="74">
        <v>7500</v>
      </c>
      <c r="F37" s="79">
        <v>20.0625</v>
      </c>
      <c r="G37" s="76">
        <f>+ROUND(F37/VLOOKUP("Grand Total",$B$4:$F$251,5,0),4)</f>
        <v>1.6199999999999999E-2</v>
      </c>
      <c r="H37" s="76"/>
      <c r="I37" s="103"/>
      <c r="J37" s="104"/>
      <c r="K37" s="105"/>
      <c r="L37" s="102"/>
      <c r="M37" s="75"/>
    </row>
    <row r="38" spans="1:13" s="65" customFormat="1" ht="12.75" customHeight="1" x14ac:dyDescent="0.2">
      <c r="A38" s="77">
        <f t="shared" si="1"/>
        <v>30</v>
      </c>
      <c r="B38" s="77" t="s">
        <v>174</v>
      </c>
      <c r="C38" s="131" t="s">
        <v>787</v>
      </c>
      <c r="D38" s="77" t="s">
        <v>282</v>
      </c>
      <c r="E38" s="74">
        <v>-7500</v>
      </c>
      <c r="F38" s="75">
        <v>-20.193750000000001</v>
      </c>
      <c r="G38" s="76"/>
      <c r="H38" s="76">
        <f>+ROUND(F38/VLOOKUP("Grand Total",$B$4:$F$277,5,0),4)</f>
        <v>-1.6299999999999999E-2</v>
      </c>
      <c r="I38" s="88">
        <v>43370</v>
      </c>
      <c r="K38" s="83"/>
    </row>
    <row r="39" spans="1:13" s="77" customFormat="1" ht="12.75" customHeight="1" x14ac:dyDescent="0.2">
      <c r="A39" s="77">
        <f t="shared" si="1"/>
        <v>31</v>
      </c>
      <c r="B39" s="77" t="s">
        <v>391</v>
      </c>
      <c r="C39" s="77" t="s">
        <v>392</v>
      </c>
      <c r="D39" s="77" t="s">
        <v>19</v>
      </c>
      <c r="E39" s="74">
        <v>2200</v>
      </c>
      <c r="F39" s="79">
        <v>19.134499999999999</v>
      </c>
      <c r="G39" s="76">
        <f>+ROUND(F39/VLOOKUP("Grand Total",$B$4:$F$251,5,0),4)</f>
        <v>1.55E-2</v>
      </c>
      <c r="H39" s="76"/>
      <c r="I39" s="103"/>
      <c r="J39" s="104"/>
      <c r="K39" s="105"/>
      <c r="L39" s="102"/>
      <c r="M39" s="75"/>
    </row>
    <row r="40" spans="1:13" s="65" customFormat="1" ht="12.75" customHeight="1" x14ac:dyDescent="0.2">
      <c r="A40" s="77">
        <f t="shared" si="1"/>
        <v>32</v>
      </c>
      <c r="B40" s="77" t="s">
        <v>391</v>
      </c>
      <c r="C40" s="131" t="s">
        <v>787</v>
      </c>
      <c r="D40" s="77" t="s">
        <v>282</v>
      </c>
      <c r="E40" s="74">
        <v>-2200</v>
      </c>
      <c r="F40" s="75">
        <v>-19.2896</v>
      </c>
      <c r="G40" s="76"/>
      <c r="H40" s="76">
        <f>+ROUND(F40/VLOOKUP("Grand Total",$B$4:$F$277,5,0),4)</f>
        <v>-1.5599999999999999E-2</v>
      </c>
      <c r="I40" s="88">
        <v>43370</v>
      </c>
      <c r="K40" s="83"/>
    </row>
    <row r="41" spans="1:13" s="77" customFormat="1" ht="12.75" customHeight="1" x14ac:dyDescent="0.2">
      <c r="A41" s="77">
        <f t="shared" si="1"/>
        <v>33</v>
      </c>
      <c r="B41" s="77" t="s">
        <v>251</v>
      </c>
      <c r="C41" s="77" t="s">
        <v>157</v>
      </c>
      <c r="D41" s="77" t="s">
        <v>45</v>
      </c>
      <c r="E41" s="74">
        <v>6000</v>
      </c>
      <c r="F41" s="79">
        <v>14.882999999999999</v>
      </c>
      <c r="G41" s="76">
        <f>+ROUND(F41/VLOOKUP("Grand Total",$B$4:$F$251,5,0),4)</f>
        <v>1.2E-2</v>
      </c>
      <c r="H41" s="76"/>
      <c r="I41" s="103"/>
      <c r="J41" s="104"/>
      <c r="K41" s="105"/>
      <c r="L41" s="102"/>
      <c r="M41" s="75"/>
    </row>
    <row r="42" spans="1:13" s="65" customFormat="1" ht="12.75" customHeight="1" x14ac:dyDescent="0.2">
      <c r="A42" s="77">
        <f t="shared" si="1"/>
        <v>34</v>
      </c>
      <c r="B42" s="77" t="s">
        <v>251</v>
      </c>
      <c r="C42" s="131" t="s">
        <v>787</v>
      </c>
      <c r="D42" s="77" t="s">
        <v>282</v>
      </c>
      <c r="E42" s="74">
        <v>-6000</v>
      </c>
      <c r="F42" s="75">
        <v>-14.691000000000001</v>
      </c>
      <c r="G42" s="76"/>
      <c r="H42" s="76">
        <f>+ROUND(F42/VLOOKUP("Grand Total",$B$4:$F$277,5,0),4)</f>
        <v>-1.1900000000000001E-2</v>
      </c>
      <c r="I42" s="88">
        <v>43370</v>
      </c>
      <c r="K42" s="83"/>
    </row>
    <row r="43" spans="1:13" s="77" customFormat="1" ht="12.75" customHeight="1" x14ac:dyDescent="0.2">
      <c r="A43" s="77">
        <f t="shared" si="1"/>
        <v>35</v>
      </c>
      <c r="B43" s="77" t="s">
        <v>477</v>
      </c>
      <c r="C43" s="77" t="s">
        <v>478</v>
      </c>
      <c r="D43" s="77" t="s">
        <v>22</v>
      </c>
      <c r="E43" s="74">
        <v>3000</v>
      </c>
      <c r="F43" s="79">
        <v>14.166</v>
      </c>
      <c r="G43" s="76">
        <f>+ROUND(F43/VLOOKUP("Grand Total",$B$4:$F$251,5,0),4)</f>
        <v>1.14E-2</v>
      </c>
      <c r="H43" s="76"/>
      <c r="I43" s="103"/>
      <c r="J43" s="104"/>
      <c r="K43" s="105"/>
      <c r="L43" s="102"/>
      <c r="M43" s="75"/>
    </row>
    <row r="44" spans="1:13" s="65" customFormat="1" ht="12.75" customHeight="1" x14ac:dyDescent="0.2">
      <c r="A44" s="77">
        <f t="shared" si="1"/>
        <v>36</v>
      </c>
      <c r="B44" s="77" t="s">
        <v>477</v>
      </c>
      <c r="C44" s="131" t="s">
        <v>787</v>
      </c>
      <c r="D44" s="77" t="s">
        <v>282</v>
      </c>
      <c r="E44" s="74">
        <v>-3000</v>
      </c>
      <c r="F44" s="75">
        <v>-13.907999999999999</v>
      </c>
      <c r="G44" s="76"/>
      <c r="H44" s="76">
        <f>+ROUND(F44/VLOOKUP("Grand Total",$B$4:$F$277,5,0),4)</f>
        <v>-1.12E-2</v>
      </c>
      <c r="I44" s="88">
        <v>43370</v>
      </c>
      <c r="K44" s="83"/>
    </row>
    <row r="45" spans="1:13" s="77" customFormat="1" ht="12.75" customHeight="1" x14ac:dyDescent="0.2">
      <c r="A45" s="77">
        <f t="shared" si="1"/>
        <v>37</v>
      </c>
      <c r="B45" s="77" t="s">
        <v>199</v>
      </c>
      <c r="C45" s="77" t="s">
        <v>200</v>
      </c>
      <c r="D45" s="77" t="s">
        <v>35</v>
      </c>
      <c r="E45" s="74">
        <v>4800</v>
      </c>
      <c r="F45" s="79">
        <v>13.5624</v>
      </c>
      <c r="G45" s="76">
        <f>+ROUND(F45/VLOOKUP("Grand Total",$B$4:$F$251,5,0),4)</f>
        <v>1.0999999999999999E-2</v>
      </c>
      <c r="H45" s="76"/>
      <c r="I45" s="103"/>
      <c r="J45" s="104"/>
      <c r="K45" s="105"/>
      <c r="L45" s="102"/>
      <c r="M45" s="75"/>
    </row>
    <row r="46" spans="1:13" s="65" customFormat="1" ht="12.75" customHeight="1" x14ac:dyDescent="0.2">
      <c r="A46" s="77">
        <f t="shared" si="1"/>
        <v>38</v>
      </c>
      <c r="B46" s="77" t="s">
        <v>199</v>
      </c>
      <c r="C46" s="131" t="s">
        <v>787</v>
      </c>
      <c r="D46" s="77" t="s">
        <v>282</v>
      </c>
      <c r="E46" s="74">
        <v>-4800</v>
      </c>
      <c r="F46" s="75">
        <v>-13.653600000000001</v>
      </c>
      <c r="G46" s="76"/>
      <c r="H46" s="76">
        <f>+ROUND(F46/VLOOKUP("Grand Total",$B$4:$F$277,5,0),4)</f>
        <v>-1.0999999999999999E-2</v>
      </c>
      <c r="I46" s="88">
        <v>43370</v>
      </c>
      <c r="K46" s="83"/>
    </row>
    <row r="47" spans="1:13" s="77" customFormat="1" ht="12.75" customHeight="1" x14ac:dyDescent="0.2">
      <c r="A47" s="77">
        <f t="shared" si="1"/>
        <v>39</v>
      </c>
      <c r="B47" s="77" t="s">
        <v>297</v>
      </c>
      <c r="C47" s="77" t="s">
        <v>298</v>
      </c>
      <c r="D47" s="77" t="s">
        <v>22</v>
      </c>
      <c r="E47" s="74">
        <v>1000</v>
      </c>
      <c r="F47" s="79">
        <v>12.592499999999999</v>
      </c>
      <c r="G47" s="76">
        <f>+ROUND(F47/VLOOKUP("Grand Total",$B$4:$F$251,5,0),4)</f>
        <v>1.0200000000000001E-2</v>
      </c>
      <c r="H47" s="76"/>
      <c r="I47" s="103"/>
      <c r="J47" s="104"/>
      <c r="K47" s="105"/>
      <c r="L47" s="102"/>
      <c r="M47" s="75"/>
    </row>
    <row r="48" spans="1:13" s="65" customFormat="1" ht="12.75" customHeight="1" x14ac:dyDescent="0.2">
      <c r="A48" s="77">
        <f t="shared" si="1"/>
        <v>40</v>
      </c>
      <c r="B48" s="77" t="s">
        <v>297</v>
      </c>
      <c r="C48" s="131" t="s">
        <v>787</v>
      </c>
      <c r="D48" s="77" t="s">
        <v>282</v>
      </c>
      <c r="E48" s="74">
        <v>-1000</v>
      </c>
      <c r="F48" s="75">
        <v>-12.680999999999999</v>
      </c>
      <c r="G48" s="76"/>
      <c r="H48" s="76">
        <f>+ROUND(F48/VLOOKUP("Grand Total",$B$4:$F$277,5,0),4)</f>
        <v>-1.0200000000000001E-2</v>
      </c>
      <c r="I48" s="88">
        <v>43370</v>
      </c>
      <c r="K48" s="83"/>
    </row>
    <row r="49" spans="1:13" s="77" customFormat="1" ht="12.75" customHeight="1" x14ac:dyDescent="0.2">
      <c r="A49" s="77">
        <f t="shared" si="1"/>
        <v>41</v>
      </c>
      <c r="B49" s="77" t="s">
        <v>384</v>
      </c>
      <c r="C49" s="77" t="s">
        <v>385</v>
      </c>
      <c r="D49" s="77" t="s">
        <v>101</v>
      </c>
      <c r="E49" s="74">
        <v>1000</v>
      </c>
      <c r="F49" s="79">
        <v>8.4039999999999999</v>
      </c>
      <c r="G49" s="76">
        <f>+ROUND(F49/VLOOKUP("Grand Total",$B$4:$F$251,5,0),4)</f>
        <v>6.7999999999999996E-3</v>
      </c>
      <c r="H49" s="76"/>
      <c r="I49" s="103"/>
      <c r="J49" s="104"/>
      <c r="K49" s="89"/>
      <c r="L49" s="102"/>
      <c r="M49" s="75"/>
    </row>
    <row r="50" spans="1:13" s="65" customFormat="1" ht="12.75" customHeight="1" x14ac:dyDescent="0.2">
      <c r="A50" s="77">
        <f t="shared" si="1"/>
        <v>42</v>
      </c>
      <c r="B50" s="77" t="s">
        <v>384</v>
      </c>
      <c r="C50" s="131" t="s">
        <v>787</v>
      </c>
      <c r="D50" s="77" t="s">
        <v>282</v>
      </c>
      <c r="E50" s="74">
        <v>-1000</v>
      </c>
      <c r="F50" s="75">
        <v>-8.4049999999999994</v>
      </c>
      <c r="G50" s="76"/>
      <c r="H50" s="76">
        <f>+ROUND(F50/VLOOKUP("Grand Total",$B$4:$F$277,5,0),4)</f>
        <v>-6.7999999999999996E-3</v>
      </c>
      <c r="I50" s="88">
        <v>43370</v>
      </c>
      <c r="K50" s="83"/>
    </row>
    <row r="51" spans="1:13" s="77" customFormat="1" ht="12.75" customHeight="1" x14ac:dyDescent="0.2">
      <c r="A51" s="77">
        <f t="shared" si="1"/>
        <v>43</v>
      </c>
      <c r="B51" s="77" t="s">
        <v>544</v>
      </c>
      <c r="C51" s="77" t="s">
        <v>545</v>
      </c>
      <c r="D51" s="77" t="s">
        <v>98</v>
      </c>
      <c r="E51" s="74">
        <v>17000</v>
      </c>
      <c r="F51" s="79">
        <v>7.8285</v>
      </c>
      <c r="G51" s="76">
        <f>+ROUND(F51/VLOOKUP("Grand Total",$B$4:$F$251,5,0),4)</f>
        <v>6.3E-3</v>
      </c>
      <c r="H51" s="76"/>
      <c r="I51" s="103"/>
      <c r="J51" s="104"/>
      <c r="K51" s="105"/>
      <c r="L51" s="102"/>
      <c r="M51" s="75"/>
    </row>
    <row r="52" spans="1:13" s="65" customFormat="1" ht="12.75" customHeight="1" x14ac:dyDescent="0.2">
      <c r="A52" s="77">
        <f t="shared" si="1"/>
        <v>44</v>
      </c>
      <c r="B52" s="77" t="s">
        <v>544</v>
      </c>
      <c r="C52" s="131" t="s">
        <v>787</v>
      </c>
      <c r="D52" s="77" t="s">
        <v>282</v>
      </c>
      <c r="E52" s="74">
        <v>-17000</v>
      </c>
      <c r="F52" s="75">
        <v>-7.9050000000000002</v>
      </c>
      <c r="G52" s="76"/>
      <c r="H52" s="76">
        <f>+ROUND(F52/VLOOKUP("Grand Total",$B$4:$F$277,5,0),4)</f>
        <v>-6.4000000000000003E-3</v>
      </c>
      <c r="I52" s="88">
        <v>43370</v>
      </c>
      <c r="K52" s="83"/>
    </row>
    <row r="53" spans="1:13" s="77" customFormat="1" ht="12.75" customHeight="1" x14ac:dyDescent="0.2">
      <c r="A53" s="77">
        <f t="shared" si="1"/>
        <v>45</v>
      </c>
      <c r="B53" s="77" t="s">
        <v>452</v>
      </c>
      <c r="C53" s="77" t="s">
        <v>453</v>
      </c>
      <c r="D53" s="77" t="s">
        <v>34</v>
      </c>
      <c r="E53" s="74">
        <v>9000</v>
      </c>
      <c r="F53" s="79">
        <v>6.9029999999999996</v>
      </c>
      <c r="G53" s="76">
        <f>+ROUND(F53/VLOOKUP("Grand Total",$B$4:$F$251,5,0),4)</f>
        <v>5.5999999999999999E-3</v>
      </c>
      <c r="H53" s="76"/>
      <c r="I53" s="103"/>
      <c r="J53" s="104"/>
      <c r="K53" s="105"/>
      <c r="L53" s="102"/>
      <c r="M53" s="75"/>
    </row>
    <row r="54" spans="1:13" s="65" customFormat="1" ht="12.75" customHeight="1" x14ac:dyDescent="0.2">
      <c r="A54" s="77">
        <f t="shared" si="1"/>
        <v>46</v>
      </c>
      <c r="B54" s="77" t="s">
        <v>452</v>
      </c>
      <c r="C54" s="131" t="s">
        <v>787</v>
      </c>
      <c r="D54" s="77" t="s">
        <v>282</v>
      </c>
      <c r="E54" s="74">
        <v>-9000</v>
      </c>
      <c r="F54" s="75">
        <v>-6.9524999999999997</v>
      </c>
      <c r="G54" s="76"/>
      <c r="H54" s="76">
        <f>+ROUND(F54/VLOOKUP("Grand Total",$B$4:$F$277,5,0),4)</f>
        <v>-5.5999999999999999E-3</v>
      </c>
      <c r="I54" s="88">
        <v>43370</v>
      </c>
      <c r="K54" s="83"/>
    </row>
    <row r="55" spans="1:13" ht="12.75" customHeight="1" x14ac:dyDescent="0.2">
      <c r="B55" s="18" t="s">
        <v>82</v>
      </c>
      <c r="C55" s="18"/>
      <c r="D55" s="18"/>
      <c r="E55" s="19"/>
      <c r="F55" s="19">
        <f>+F9+F11+F13+F15+F17+F19+F21+F23+F25+F27+F29+F31+F33+F35+F37+F39+F41+F43+F45+F47+F49+F51+F53</f>
        <v>813.98115000000007</v>
      </c>
      <c r="G55" s="20">
        <f>+G9+G11+G13+G15+G17+G19+G21+G23+G25+G27+G29+G31+G33+G35+G37+G39+G41+G43+G45+G47+G49+G51+G53</f>
        <v>0.65739999999999998</v>
      </c>
      <c r="H55" s="20">
        <f>SUM(H8:H54)</f>
        <v>-0.66069999999999984</v>
      </c>
      <c r="I55" s="21"/>
      <c r="J55" s="55"/>
      <c r="K55" s="46"/>
      <c r="L55" s="48"/>
    </row>
    <row r="56" spans="1:13" s="46" customFormat="1" ht="12.75" customHeight="1" x14ac:dyDescent="0.2">
      <c r="B56" s="67"/>
      <c r="C56" s="67"/>
      <c r="D56" s="67"/>
      <c r="E56" s="68"/>
      <c r="F56" s="69"/>
      <c r="G56" s="70"/>
      <c r="H56" s="70"/>
      <c r="I56" s="33"/>
      <c r="K56" s="14"/>
      <c r="L56" s="48"/>
    </row>
    <row r="57" spans="1:13" ht="12.75" customHeight="1" x14ac:dyDescent="0.2">
      <c r="B57" s="16" t="s">
        <v>88</v>
      </c>
      <c r="C57" s="16"/>
      <c r="F57" s="13"/>
      <c r="G57" s="14"/>
      <c r="H57" s="14"/>
      <c r="I57" s="33"/>
      <c r="J57"/>
      <c r="K57" s="36"/>
      <c r="L57"/>
    </row>
    <row r="58" spans="1:13" ht="12.75" customHeight="1" x14ac:dyDescent="0.2">
      <c r="B58" s="16" t="s">
        <v>267</v>
      </c>
      <c r="C58" s="16"/>
      <c r="F58" s="13"/>
      <c r="G58" s="14"/>
      <c r="H58" s="14"/>
      <c r="I58" s="33"/>
      <c r="J58"/>
      <c r="K58" s="36"/>
      <c r="L58"/>
    </row>
    <row r="59" spans="1:13" ht="12.75" customHeight="1" x14ac:dyDescent="0.2">
      <c r="A59">
        <f>+MAX($A$7:A58)+1</f>
        <v>47</v>
      </c>
      <c r="B59" s="65" t="s">
        <v>504</v>
      </c>
      <c r="C59" t="s">
        <v>505</v>
      </c>
      <c r="D59" t="s">
        <v>149</v>
      </c>
      <c r="E59" s="28">
        <v>10</v>
      </c>
      <c r="F59" s="13">
        <v>49.973100000000002</v>
      </c>
      <c r="G59" s="14">
        <f>+ROUND(F59/VLOOKUP("Grand Total",$B$4:$F$277,5,0),4)</f>
        <v>4.0399999999999998E-2</v>
      </c>
      <c r="H59" s="14"/>
      <c r="I59" s="15">
        <v>43347</v>
      </c>
      <c r="J59"/>
      <c r="K59" s="36"/>
      <c r="L59"/>
    </row>
    <row r="60" spans="1:13" ht="12.75" customHeight="1" x14ac:dyDescent="0.2">
      <c r="A60">
        <f>+MAX($A$7:A59)+1</f>
        <v>48</v>
      </c>
      <c r="B60" s="65" t="s">
        <v>517</v>
      </c>
      <c r="C60" t="s">
        <v>650</v>
      </c>
      <c r="D60" t="s">
        <v>255</v>
      </c>
      <c r="E60" s="28">
        <v>10</v>
      </c>
      <c r="F60" s="13">
        <v>49.70955</v>
      </c>
      <c r="G60" s="14">
        <f>+ROUND(F60/VLOOKUP("Grand Total",$B$4:$F$277,5,0),4)</f>
        <v>4.0099999999999997E-2</v>
      </c>
      <c r="H60" s="14"/>
      <c r="I60" s="15">
        <v>43367</v>
      </c>
      <c r="J60"/>
      <c r="K60" s="36"/>
      <c r="L60"/>
    </row>
    <row r="61" spans="1:13" ht="12.75" customHeight="1" x14ac:dyDescent="0.2">
      <c r="A61">
        <f>+MAX($A$7:A60)+1</f>
        <v>49</v>
      </c>
      <c r="B61" s="65" t="s">
        <v>256</v>
      </c>
      <c r="C61" t="s">
        <v>443</v>
      </c>
      <c r="D61" t="s">
        <v>449</v>
      </c>
      <c r="E61" s="28">
        <v>8</v>
      </c>
      <c r="F61" s="13">
        <v>39.947960000000002</v>
      </c>
      <c r="G61" s="14">
        <f>+ROUND(F61/VLOOKUP("Grand Total",$B$4:$F$277,5,0),4)</f>
        <v>3.2300000000000002E-2</v>
      </c>
      <c r="H61" s="14"/>
      <c r="I61" s="15">
        <v>43350</v>
      </c>
      <c r="J61"/>
      <c r="K61" s="36"/>
      <c r="L61"/>
    </row>
    <row r="62" spans="1:13" ht="12.75" customHeight="1" x14ac:dyDescent="0.2">
      <c r="A62">
        <f>+MAX($A$7:A61)+1</f>
        <v>50</v>
      </c>
      <c r="B62" s="65" t="s">
        <v>444</v>
      </c>
      <c r="C62" t="s">
        <v>652</v>
      </c>
      <c r="D62" t="s">
        <v>445</v>
      </c>
      <c r="E62" s="28">
        <v>8</v>
      </c>
      <c r="F62" s="13">
        <v>39.808239999999998</v>
      </c>
      <c r="G62" s="14">
        <f>+ROUND(F62/VLOOKUP("Grand Total",$B$4:$F$277,5,0),4)</f>
        <v>3.2099999999999997E-2</v>
      </c>
      <c r="H62" s="14"/>
      <c r="I62" s="15">
        <v>43362</v>
      </c>
      <c r="J62"/>
      <c r="K62" s="36"/>
      <c r="L62"/>
    </row>
    <row r="63" spans="1:13" ht="12.75" customHeight="1" x14ac:dyDescent="0.2">
      <c r="A63">
        <f>+MAX($A$7:A62)+1</f>
        <v>51</v>
      </c>
      <c r="B63" s="65" t="s">
        <v>498</v>
      </c>
      <c r="C63" t="s">
        <v>669</v>
      </c>
      <c r="D63" t="s">
        <v>149</v>
      </c>
      <c r="E63" s="28">
        <v>6</v>
      </c>
      <c r="F63" s="13">
        <v>29.878350000000001</v>
      </c>
      <c r="G63" s="14">
        <f>+ROUND(F63/VLOOKUP("Grand Total",$B$4:$F$277,5,0),4)</f>
        <v>2.41E-2</v>
      </c>
      <c r="H63" s="14"/>
      <c r="I63" s="15">
        <v>43362</v>
      </c>
      <c r="J63"/>
      <c r="K63" s="36"/>
      <c r="L63"/>
    </row>
    <row r="64" spans="1:13" ht="12.75" customHeight="1" x14ac:dyDescent="0.2">
      <c r="B64" s="18" t="s">
        <v>82</v>
      </c>
      <c r="C64" s="18"/>
      <c r="D64" s="18"/>
      <c r="E64" s="29"/>
      <c r="F64" s="19">
        <f>SUM(F59:F63)</f>
        <v>209.31720000000001</v>
      </c>
      <c r="G64" s="20">
        <f>SUM(G59:G63)</f>
        <v>0.16899999999999998</v>
      </c>
      <c r="H64" s="20"/>
      <c r="I64" s="21"/>
      <c r="J64"/>
      <c r="K64" s="36"/>
      <c r="L64"/>
    </row>
    <row r="65" spans="1:12" s="46" customFormat="1" ht="12.75" customHeight="1" x14ac:dyDescent="0.2">
      <c r="B65" s="67"/>
      <c r="C65" s="67"/>
      <c r="D65" s="67"/>
      <c r="E65" s="68"/>
      <c r="F65" s="69"/>
      <c r="G65" s="70"/>
      <c r="H65" s="70"/>
      <c r="I65" s="33"/>
      <c r="K65" s="48"/>
    </row>
    <row r="66" spans="1:12" ht="12.75" customHeight="1" x14ac:dyDescent="0.2">
      <c r="B66" s="16" t="s">
        <v>153</v>
      </c>
      <c r="C66" s="16"/>
      <c r="F66" s="13"/>
      <c r="G66" s="14"/>
      <c r="H66" s="14"/>
      <c r="I66" s="33"/>
      <c r="J66"/>
      <c r="K66" s="36"/>
      <c r="L66"/>
    </row>
    <row r="67" spans="1:12" ht="12.75" customHeight="1" x14ac:dyDescent="0.2">
      <c r="A67">
        <f>+MAX($A$7:A66)+1</f>
        <v>52</v>
      </c>
      <c r="B67" s="65" t="s">
        <v>450</v>
      </c>
      <c r="C67" t="s">
        <v>672</v>
      </c>
      <c r="D67" t="s">
        <v>345</v>
      </c>
      <c r="E67" s="28">
        <v>1000</v>
      </c>
      <c r="F67" s="13">
        <v>0.98631999999999997</v>
      </c>
      <c r="G67" s="14">
        <f>+ROUND(F67/VLOOKUP("Grand Total",$B$4:$F$277,5,0),4)</f>
        <v>8.0000000000000004E-4</v>
      </c>
      <c r="H67" s="14"/>
      <c r="I67" s="15">
        <v>43419</v>
      </c>
      <c r="J67"/>
      <c r="K67" s="36"/>
      <c r="L67"/>
    </row>
    <row r="68" spans="1:12" ht="12.75" customHeight="1" x14ac:dyDescent="0.2">
      <c r="B68" s="18" t="s">
        <v>82</v>
      </c>
      <c r="C68" s="18"/>
      <c r="D68" s="18"/>
      <c r="E68" s="29"/>
      <c r="F68" s="19">
        <f>SUM(F67:F67)</f>
        <v>0.98631999999999997</v>
      </c>
      <c r="G68" s="20">
        <f>SUM(G67:G67)</f>
        <v>8.0000000000000004E-4</v>
      </c>
      <c r="H68" s="20"/>
      <c r="I68" s="21"/>
      <c r="J68"/>
      <c r="K68" s="36"/>
      <c r="L68"/>
    </row>
    <row r="69" spans="1:12" s="46" customFormat="1" ht="12.75" customHeight="1" x14ac:dyDescent="0.2">
      <c r="B69" s="67"/>
      <c r="C69" s="67"/>
      <c r="D69" s="67"/>
      <c r="E69" s="68"/>
      <c r="F69" s="69"/>
      <c r="G69" s="70"/>
      <c r="H69" s="70"/>
      <c r="I69" s="33"/>
      <c r="K69" s="48"/>
    </row>
    <row r="70" spans="1:12" ht="12.75" customHeight="1" x14ac:dyDescent="0.2">
      <c r="B70" s="16" t="s">
        <v>89</v>
      </c>
      <c r="C70" s="16"/>
      <c r="F70" s="13"/>
      <c r="G70" s="14"/>
      <c r="H70" s="14"/>
      <c r="I70" s="33"/>
      <c r="J70"/>
      <c r="K70" s="36"/>
      <c r="L70"/>
    </row>
    <row r="71" spans="1:12" ht="12.75" customHeight="1" x14ac:dyDescent="0.2">
      <c r="A71">
        <f>+MAX($A$7:A70)+1</f>
        <v>53</v>
      </c>
      <c r="B71" t="s">
        <v>368</v>
      </c>
      <c r="C71" t="s">
        <v>299</v>
      </c>
      <c r="D71" t="s">
        <v>279</v>
      </c>
      <c r="E71" s="28">
        <v>6489.9966000000004</v>
      </c>
      <c r="F71" s="13">
        <v>112.78073369999998</v>
      </c>
      <c r="G71" s="14">
        <f>+ROUND(F71/VLOOKUP("Grand Total",$B$4:$F$286,5,0),4)</f>
        <v>9.11E-2</v>
      </c>
      <c r="H71" s="14"/>
      <c r="I71" s="33" t="s">
        <v>313</v>
      </c>
      <c r="J71"/>
      <c r="K71" s="36"/>
      <c r="L71"/>
    </row>
    <row r="72" spans="1:12" ht="12.75" customHeight="1" x14ac:dyDescent="0.2">
      <c r="B72" s="18" t="s">
        <v>82</v>
      </c>
      <c r="C72" s="18"/>
      <c r="D72" s="18"/>
      <c r="E72" s="29"/>
      <c r="F72" s="19">
        <f>SUM(F71)</f>
        <v>112.78073369999998</v>
      </c>
      <c r="G72" s="20">
        <f>SUM(G71)</f>
        <v>9.11E-2</v>
      </c>
      <c r="H72" s="20"/>
      <c r="I72" s="21"/>
      <c r="J72"/>
      <c r="K72" s="36"/>
      <c r="L72"/>
    </row>
    <row r="73" spans="1:12" s="46" customFormat="1" ht="12.75" customHeight="1" x14ac:dyDescent="0.2">
      <c r="B73" s="67"/>
      <c r="C73" s="67"/>
      <c r="D73" s="67"/>
      <c r="E73" s="68"/>
      <c r="F73" s="69"/>
      <c r="G73" s="70"/>
      <c r="H73" s="70"/>
      <c r="I73" s="33"/>
      <c r="K73" s="48"/>
    </row>
    <row r="74" spans="1:12" ht="12.75" customHeight="1" x14ac:dyDescent="0.2">
      <c r="B74" s="16" t="s">
        <v>91</v>
      </c>
      <c r="C74" s="16"/>
      <c r="F74" s="13"/>
      <c r="G74" s="14"/>
      <c r="H74" s="14"/>
      <c r="I74" s="15"/>
      <c r="J74" s="56"/>
      <c r="K74" s="46"/>
      <c r="L74" s="74"/>
    </row>
    <row r="75" spans="1:12" ht="12.75" customHeight="1" x14ac:dyDescent="0.2">
      <c r="A75" s="94" t="s">
        <v>312</v>
      </c>
      <c r="B75" s="16" t="s">
        <v>633</v>
      </c>
      <c r="C75" s="16"/>
      <c r="F75" s="13">
        <v>19.228259900000001</v>
      </c>
      <c r="G75" s="14">
        <f>+ROUND(F75/VLOOKUP("Grand Total",$B$4:$F$251,5,0),4)</f>
        <v>1.55E-2</v>
      </c>
      <c r="H75" s="14"/>
      <c r="I75" s="15">
        <v>43346</v>
      </c>
      <c r="J75" s="56"/>
      <c r="K75" s="46"/>
      <c r="L75" s="74"/>
    </row>
    <row r="76" spans="1:12" ht="12.75" customHeight="1" x14ac:dyDescent="0.2">
      <c r="B76" s="16" t="s">
        <v>92</v>
      </c>
      <c r="C76" s="16"/>
      <c r="F76" s="44">
        <f>+F78-SUMIF($B$5:B74,"Total",$F$5:F74)-VLOOKUP(B75,$B$7:F76,5,0)</f>
        <v>82.111721199999707</v>
      </c>
      <c r="G76" s="45">
        <f>+ROUND(F76/VLOOKUP("Grand Total",$B$4:$F$251,5,0),4)-0.01%</f>
        <v>6.6199999999999995E-2</v>
      </c>
      <c r="H76" s="45"/>
      <c r="I76" s="15"/>
      <c r="J76" s="56"/>
      <c r="K76" s="46"/>
      <c r="L76" s="74"/>
    </row>
    <row r="77" spans="1:12" ht="12.75" customHeight="1" x14ac:dyDescent="0.2">
      <c r="B77" s="18" t="s">
        <v>82</v>
      </c>
      <c r="C77" s="18"/>
      <c r="D77" s="18"/>
      <c r="E77" s="29"/>
      <c r="F77" s="19">
        <f>SUM(F75:F76)</f>
        <v>101.3399810999997</v>
      </c>
      <c r="G77" s="20">
        <f>SUM(G75:G76)</f>
        <v>8.1699999999999995E-2</v>
      </c>
      <c r="H77" s="20"/>
      <c r="I77" s="21"/>
      <c r="J77" s="55"/>
      <c r="K77" s="46"/>
      <c r="L77" s="74"/>
    </row>
    <row r="78" spans="1:12" ht="12.75" customHeight="1" x14ac:dyDescent="0.2">
      <c r="B78" s="22" t="s">
        <v>93</v>
      </c>
      <c r="C78" s="22"/>
      <c r="D78" s="22"/>
      <c r="E78" s="30"/>
      <c r="F78" s="23">
        <v>1238.4053847999996</v>
      </c>
      <c r="G78" s="24">
        <f>+SUMIF($B$5:B77,"Total",$G$5:G77)</f>
        <v>1</v>
      </c>
      <c r="H78" s="24"/>
      <c r="I78" s="25"/>
      <c r="J78" s="39"/>
      <c r="K78" s="46"/>
      <c r="L78" s="74"/>
    </row>
    <row r="79" spans="1:12" ht="12.75" customHeight="1" x14ac:dyDescent="0.2">
      <c r="F79" s="40"/>
      <c r="K79" s="46"/>
      <c r="L79" s="74"/>
    </row>
    <row r="80" spans="1:12" ht="12.75" customHeight="1" x14ac:dyDescent="0.2">
      <c r="B80" s="16" t="s">
        <v>483</v>
      </c>
      <c r="C80" s="16"/>
      <c r="K80" s="46"/>
      <c r="L80" s="74"/>
    </row>
    <row r="81" spans="2:12" ht="12.75" customHeight="1" x14ac:dyDescent="0.2">
      <c r="B81" s="16" t="s">
        <v>166</v>
      </c>
      <c r="C81" s="16"/>
      <c r="G81" s="14"/>
      <c r="H81" s="14"/>
    </row>
    <row r="82" spans="2:12" ht="12.75" customHeight="1" x14ac:dyDescent="0.2">
      <c r="B82" s="16"/>
      <c r="C82" s="16"/>
    </row>
    <row r="83" spans="2:12" ht="12.75" customHeight="1" x14ac:dyDescent="0.2">
      <c r="B83" s="16"/>
      <c r="C83" s="16"/>
      <c r="K83" s="46"/>
      <c r="L83" s="48"/>
    </row>
    <row r="84" spans="2:12" x14ac:dyDescent="0.2">
      <c r="E84"/>
      <c r="F84" s="99"/>
      <c r="J84"/>
      <c r="K84" s="46"/>
      <c r="L84" s="48"/>
    </row>
    <row r="85" spans="2:12" x14ac:dyDescent="0.2">
      <c r="E85"/>
      <c r="J85"/>
    </row>
    <row r="86" spans="2:12" x14ac:dyDescent="0.2">
      <c r="E86"/>
      <c r="J86"/>
    </row>
    <row r="87" spans="2:12" x14ac:dyDescent="0.2">
      <c r="E87"/>
      <c r="J87"/>
    </row>
    <row r="88" spans="2:12" x14ac:dyDescent="0.2">
      <c r="E88"/>
      <c r="J88"/>
      <c r="K88" s="36"/>
      <c r="L88"/>
    </row>
    <row r="89" spans="2:12" x14ac:dyDescent="0.2">
      <c r="E89"/>
      <c r="J89"/>
      <c r="K89" s="36"/>
      <c r="L89"/>
    </row>
    <row r="90" spans="2:12" x14ac:dyDescent="0.2">
      <c r="E90"/>
      <c r="J90"/>
      <c r="K90" s="36"/>
      <c r="L90"/>
    </row>
    <row r="91" spans="2:12" x14ac:dyDescent="0.2">
      <c r="E91"/>
      <c r="J91"/>
      <c r="K91" s="36"/>
      <c r="L91"/>
    </row>
    <row r="92" spans="2:12" x14ac:dyDescent="0.2">
      <c r="E92"/>
      <c r="J92"/>
      <c r="K92" s="36"/>
      <c r="L92"/>
    </row>
    <row r="93" spans="2:12" x14ac:dyDescent="0.2">
      <c r="E93"/>
      <c r="J93"/>
      <c r="K93" s="36"/>
      <c r="L93"/>
    </row>
    <row r="94" spans="2:12" x14ac:dyDescent="0.2">
      <c r="E94"/>
      <c r="J94"/>
      <c r="K94" s="36"/>
      <c r="L94"/>
    </row>
    <row r="95" spans="2:12" x14ac:dyDescent="0.2">
      <c r="E95"/>
      <c r="J95"/>
      <c r="K95" s="36"/>
      <c r="L95"/>
    </row>
    <row r="96" spans="2:12" x14ac:dyDescent="0.2">
      <c r="E96"/>
      <c r="J96"/>
      <c r="K96" s="36"/>
      <c r="L96"/>
    </row>
    <row r="97" spans="5:12" x14ac:dyDescent="0.2">
      <c r="E97"/>
      <c r="J97"/>
      <c r="K97" s="36"/>
      <c r="L97"/>
    </row>
    <row r="98" spans="5:12" x14ac:dyDescent="0.2">
      <c r="E98"/>
      <c r="J98"/>
      <c r="K98" s="36"/>
      <c r="L98"/>
    </row>
    <row r="99" spans="5:12" x14ac:dyDescent="0.2">
      <c r="E99"/>
      <c r="J99"/>
      <c r="K99" s="36"/>
      <c r="L99"/>
    </row>
    <row r="100" spans="5:12" x14ac:dyDescent="0.2">
      <c r="E100"/>
      <c r="J100"/>
      <c r="K100" s="36"/>
      <c r="L100"/>
    </row>
    <row r="101" spans="5:12" x14ac:dyDescent="0.2">
      <c r="E101"/>
      <c r="J101"/>
    </row>
    <row r="102" spans="5:12" x14ac:dyDescent="0.2">
      <c r="E102"/>
      <c r="J102"/>
    </row>
    <row r="103" spans="5:12" x14ac:dyDescent="0.2">
      <c r="E103"/>
      <c r="J103"/>
    </row>
    <row r="104" spans="5:12" x14ac:dyDescent="0.2">
      <c r="E104"/>
      <c r="J104"/>
    </row>
    <row r="105" spans="5:12" x14ac:dyDescent="0.2">
      <c r="E105"/>
      <c r="J105"/>
    </row>
    <row r="106" spans="5:12" x14ac:dyDescent="0.2">
      <c r="E106"/>
      <c r="J106"/>
    </row>
    <row r="107" spans="5:12" x14ac:dyDescent="0.2">
      <c r="E107"/>
      <c r="J107"/>
    </row>
    <row r="108" spans="5:12" x14ac:dyDescent="0.2">
      <c r="E108"/>
      <c r="J108"/>
    </row>
    <row r="109" spans="5:12" x14ac:dyDescent="0.2">
      <c r="E109"/>
      <c r="J109"/>
    </row>
    <row r="110" spans="5:12" x14ac:dyDescent="0.2">
      <c r="E110"/>
      <c r="J110"/>
    </row>
    <row r="111" spans="5:12" x14ac:dyDescent="0.2">
      <c r="E111"/>
      <c r="J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L122"/>
    </row>
    <row r="123" spans="5:12" x14ac:dyDescent="0.2">
      <c r="L123"/>
    </row>
    <row r="124" spans="5:12" x14ac:dyDescent="0.2">
      <c r="L124"/>
    </row>
    <row r="125" spans="5:12" x14ac:dyDescent="0.2">
      <c r="L125"/>
    </row>
    <row r="126" spans="5:12" x14ac:dyDescent="0.2">
      <c r="L126"/>
    </row>
    <row r="127" spans="5:12" x14ac:dyDescent="0.2">
      <c r="L127"/>
    </row>
    <row r="128" spans="5:12" x14ac:dyDescent="0.2">
      <c r="L128"/>
    </row>
    <row r="129" spans="5:12" x14ac:dyDescent="0.2">
      <c r="E129"/>
      <c r="J129"/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</sheetData>
  <sortState ref="K8:L28">
    <sortCondition descending="1" ref="L8:L28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315</v>
      </c>
      <c r="B1" s="128" t="s">
        <v>735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106268</v>
      </c>
      <c r="F9" s="13">
        <v>2190.3960160000001</v>
      </c>
      <c r="G9" s="14">
        <f t="shared" ref="G9:G38" si="0">+ROUND(F9/VLOOKUP("Grand Total",$B$4:$F$269,5,0),4)</f>
        <v>6.7699999999999996E-2</v>
      </c>
      <c r="H9" s="15"/>
      <c r="J9" s="14" t="s">
        <v>9</v>
      </c>
      <c r="K9" s="48">
        <f t="shared" ref="K9:K26" si="1">SUMIFS($G$5:$G$302,$D$5:$D$302,J9)</f>
        <v>0.20150000000000001</v>
      </c>
    </row>
    <row r="10" spans="1:16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155446</v>
      </c>
      <c r="F10" s="13">
        <v>1930.0952590000002</v>
      </c>
      <c r="G10" s="14">
        <f t="shared" si="0"/>
        <v>5.96E-2</v>
      </c>
      <c r="H10" s="15"/>
      <c r="J10" s="14" t="s">
        <v>24</v>
      </c>
      <c r="K10" s="48">
        <f t="shared" si="1"/>
        <v>0.13140000000000002</v>
      </c>
    </row>
    <row r="11" spans="1:16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477900</v>
      </c>
      <c r="F11" s="13">
        <v>1528.56315</v>
      </c>
      <c r="G11" s="14">
        <f t="shared" si="0"/>
        <v>4.7199999999999999E-2</v>
      </c>
      <c r="H11" s="15"/>
      <c r="J11" s="14" t="s">
        <v>13</v>
      </c>
      <c r="K11" s="48">
        <f t="shared" si="1"/>
        <v>0.13009999999999999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173</v>
      </c>
      <c r="C12" t="s">
        <v>10</v>
      </c>
      <c r="D12" t="s">
        <v>9</v>
      </c>
      <c r="E12" s="28">
        <v>429708</v>
      </c>
      <c r="F12" s="13">
        <v>1472.1796080000001</v>
      </c>
      <c r="G12" s="14">
        <f t="shared" si="0"/>
        <v>4.5499999999999999E-2</v>
      </c>
      <c r="H12" s="15"/>
      <c r="J12" s="14" t="s">
        <v>19</v>
      </c>
      <c r="K12" s="48">
        <f t="shared" si="1"/>
        <v>7.2899999999999993E-2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210</v>
      </c>
      <c r="C13" t="s">
        <v>97</v>
      </c>
      <c r="D13" t="s">
        <v>24</v>
      </c>
      <c r="E13" s="28">
        <v>81582</v>
      </c>
      <c r="F13" s="13">
        <v>1452.241182</v>
      </c>
      <c r="G13" s="14">
        <f t="shared" si="0"/>
        <v>4.4900000000000002E-2</v>
      </c>
      <c r="H13" s="15"/>
      <c r="J13" s="14" t="s">
        <v>22</v>
      </c>
      <c r="K13" s="48">
        <f t="shared" si="1"/>
        <v>6.6900000000000001E-2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176</v>
      </c>
      <c r="C14" t="s">
        <v>25</v>
      </c>
      <c r="D14" t="s">
        <v>22</v>
      </c>
      <c r="E14" s="28">
        <v>74227</v>
      </c>
      <c r="F14" s="13">
        <v>1436.9976065000001</v>
      </c>
      <c r="G14" s="14">
        <f t="shared" si="0"/>
        <v>4.4400000000000002E-2</v>
      </c>
      <c r="H14" s="15"/>
      <c r="J14" s="14" t="s">
        <v>28</v>
      </c>
      <c r="K14" s="48">
        <f t="shared" si="1"/>
        <v>5.96E-2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171</v>
      </c>
      <c r="C15" t="s">
        <v>14</v>
      </c>
      <c r="D15" t="s">
        <v>13</v>
      </c>
      <c r="E15" s="28">
        <v>96900</v>
      </c>
      <c r="F15" s="13">
        <v>1396.4259</v>
      </c>
      <c r="G15" s="14">
        <f t="shared" si="0"/>
        <v>4.3099999999999999E-2</v>
      </c>
      <c r="H15" s="15"/>
      <c r="J15" s="14" t="s">
        <v>126</v>
      </c>
      <c r="K15" s="48">
        <f t="shared" si="1"/>
        <v>4.4899999999999995E-2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181</v>
      </c>
      <c r="C16" t="s">
        <v>46</v>
      </c>
      <c r="D16" t="s">
        <v>24</v>
      </c>
      <c r="E16" s="28">
        <v>18900</v>
      </c>
      <c r="F16" s="13">
        <v>1273.24575</v>
      </c>
      <c r="G16" s="14">
        <f t="shared" si="0"/>
        <v>3.9300000000000002E-2</v>
      </c>
      <c r="H16" s="15"/>
      <c r="J16" s="14" t="s">
        <v>17</v>
      </c>
      <c r="K16" s="48">
        <f t="shared" si="1"/>
        <v>3.6799999999999999E-2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190</v>
      </c>
      <c r="C17" t="s">
        <v>94</v>
      </c>
      <c r="D17" t="s">
        <v>9</v>
      </c>
      <c r="E17" s="28">
        <v>96900</v>
      </c>
      <c r="F17" s="13">
        <v>1247.3452500000001</v>
      </c>
      <c r="G17" s="14">
        <f t="shared" si="0"/>
        <v>3.85E-2</v>
      </c>
      <c r="H17" s="15"/>
      <c r="J17" s="14" t="s">
        <v>26</v>
      </c>
      <c r="K17" s="48">
        <f t="shared" si="1"/>
        <v>3.0800000000000001E-2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484</v>
      </c>
      <c r="C18" t="s">
        <v>121</v>
      </c>
      <c r="D18" t="s">
        <v>17</v>
      </c>
      <c r="E18" s="28">
        <v>6300</v>
      </c>
      <c r="F18" s="13">
        <v>1192.3253999999999</v>
      </c>
      <c r="G18" s="14">
        <f t="shared" si="0"/>
        <v>3.6799999999999999E-2</v>
      </c>
      <c r="H18" s="15"/>
      <c r="J18" s="14" t="s">
        <v>21</v>
      </c>
      <c r="K18" s="48">
        <f t="shared" si="1"/>
        <v>2.5499999999999998E-2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194</v>
      </c>
      <c r="C19" t="s">
        <v>18</v>
      </c>
      <c r="D19" t="s">
        <v>13</v>
      </c>
      <c r="E19" s="28">
        <v>53160</v>
      </c>
      <c r="F19" s="13">
        <v>1104.87744</v>
      </c>
      <c r="G19" s="14">
        <f t="shared" si="0"/>
        <v>3.4099999999999998E-2</v>
      </c>
      <c r="H19" s="15"/>
      <c r="J19" s="14" t="s">
        <v>39</v>
      </c>
      <c r="K19" s="48">
        <f t="shared" si="1"/>
        <v>2.4400000000000002E-2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15</v>
      </c>
      <c r="C20" t="s">
        <v>16</v>
      </c>
      <c r="D20" t="s">
        <v>9</v>
      </c>
      <c r="E20" s="28">
        <v>324000</v>
      </c>
      <c r="F20" s="13">
        <v>1003.104</v>
      </c>
      <c r="G20" s="14">
        <f t="shared" si="0"/>
        <v>3.1E-2</v>
      </c>
      <c r="H20" s="15"/>
      <c r="J20" s="14" t="s">
        <v>294</v>
      </c>
      <c r="K20" s="48">
        <f t="shared" si="1"/>
        <v>2.29E-2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203</v>
      </c>
      <c r="C21" t="s">
        <v>69</v>
      </c>
      <c r="D21" t="s">
        <v>26</v>
      </c>
      <c r="E21" s="28">
        <v>72900</v>
      </c>
      <c r="F21" s="13">
        <v>998.40195000000006</v>
      </c>
      <c r="G21" s="14">
        <f t="shared" si="0"/>
        <v>3.0800000000000001E-2</v>
      </c>
      <c r="H21" s="15"/>
      <c r="J21" s="14" t="s">
        <v>45</v>
      </c>
      <c r="K21" s="48">
        <f t="shared" si="1"/>
        <v>2.0299999999999999E-2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187</v>
      </c>
      <c r="C22" t="s">
        <v>47</v>
      </c>
      <c r="D22" t="s">
        <v>19</v>
      </c>
      <c r="E22" s="28">
        <v>10350</v>
      </c>
      <c r="F22" s="13">
        <v>941.47739999999999</v>
      </c>
      <c r="G22" s="14">
        <f t="shared" si="0"/>
        <v>2.9100000000000001E-2</v>
      </c>
      <c r="H22" s="15"/>
      <c r="J22" s="14" t="s">
        <v>36</v>
      </c>
      <c r="K22" s="48">
        <f t="shared" si="1"/>
        <v>0.02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219</v>
      </c>
      <c r="C23" t="s">
        <v>108</v>
      </c>
      <c r="D23" t="s">
        <v>19</v>
      </c>
      <c r="E23" s="28">
        <v>27660</v>
      </c>
      <c r="F23" s="13">
        <v>900.00108</v>
      </c>
      <c r="G23" s="14">
        <f t="shared" si="0"/>
        <v>2.7799999999999998E-2</v>
      </c>
      <c r="H23" s="15"/>
      <c r="J23" s="14" t="s">
        <v>43</v>
      </c>
      <c r="K23" s="48">
        <f t="shared" si="1"/>
        <v>1.9800000000000002E-2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400</v>
      </c>
      <c r="C24" t="s">
        <v>401</v>
      </c>
      <c r="D24" t="s">
        <v>13</v>
      </c>
      <c r="E24" s="28">
        <v>51000</v>
      </c>
      <c r="F24" s="13">
        <v>898.44150000000002</v>
      </c>
      <c r="G24" s="14">
        <f t="shared" si="0"/>
        <v>2.7799999999999998E-2</v>
      </c>
      <c r="H24" s="15"/>
      <c r="J24" s="14" t="s">
        <v>98</v>
      </c>
      <c r="K24" s="48">
        <f t="shared" si="1"/>
        <v>1.9599999999999999E-2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183</v>
      </c>
      <c r="C25" t="s">
        <v>48</v>
      </c>
      <c r="D25" t="s">
        <v>21</v>
      </c>
      <c r="E25" s="28">
        <v>9900</v>
      </c>
      <c r="F25" s="13">
        <v>824.74424999999997</v>
      </c>
      <c r="G25" s="14">
        <f t="shared" si="0"/>
        <v>2.5499999999999998E-2</v>
      </c>
      <c r="H25" s="15"/>
      <c r="J25" s="14" t="s">
        <v>102</v>
      </c>
      <c r="K25" s="48">
        <f t="shared" si="1"/>
        <v>1.32E-2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636</v>
      </c>
      <c r="C26" t="s">
        <v>637</v>
      </c>
      <c r="D26" t="s">
        <v>13</v>
      </c>
      <c r="E26" s="28">
        <v>846900</v>
      </c>
      <c r="F26" s="13">
        <v>812.1771</v>
      </c>
      <c r="G26" s="14">
        <f t="shared" si="0"/>
        <v>2.5100000000000001E-2</v>
      </c>
      <c r="H26" s="15"/>
      <c r="J26" s="14" t="s">
        <v>345</v>
      </c>
      <c r="K26" s="48">
        <f t="shared" si="1"/>
        <v>1E-3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249</v>
      </c>
      <c r="C27" t="s">
        <v>146</v>
      </c>
      <c r="D27" t="s">
        <v>39</v>
      </c>
      <c r="E27" s="28">
        <v>45000</v>
      </c>
      <c r="F27" s="13">
        <v>791.4375</v>
      </c>
      <c r="G27" s="14">
        <f t="shared" si="0"/>
        <v>2.4400000000000002E-2</v>
      </c>
      <c r="H27" s="15"/>
      <c r="J27" s="14" t="s">
        <v>62</v>
      </c>
      <c r="K27" s="48">
        <f>+SUMIFS($G$5:$G$1002,$B$5:$B$1002,"CBLO / Reverse Repo")+SUMIFS($G$5:$G$1002,$B$5:$B$1002,"Net Receivable/Payable")</f>
        <v>5.8400000000000001E-2</v>
      </c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273</v>
      </c>
      <c r="C28" t="s">
        <v>404</v>
      </c>
      <c r="D28" t="s">
        <v>126</v>
      </c>
      <c r="E28" s="28">
        <v>108000</v>
      </c>
      <c r="F28" s="13">
        <v>743.904</v>
      </c>
      <c r="G28" s="14">
        <f t="shared" si="0"/>
        <v>2.3E-2</v>
      </c>
      <c r="H28" s="15"/>
      <c r="K28" s="48"/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496</v>
      </c>
      <c r="C29" t="s">
        <v>497</v>
      </c>
      <c r="D29" t="s">
        <v>294</v>
      </c>
      <c r="E29" s="28">
        <v>204000</v>
      </c>
      <c r="F29" s="13">
        <v>739.80600000000004</v>
      </c>
      <c r="G29" s="14">
        <f t="shared" si="0"/>
        <v>2.29E-2</v>
      </c>
      <c r="H29" s="15"/>
      <c r="J29" s="14"/>
      <c r="K29" s="48"/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416</v>
      </c>
      <c r="C30" t="s">
        <v>417</v>
      </c>
      <c r="D30" t="s">
        <v>22</v>
      </c>
      <c r="E30" s="28">
        <v>10800</v>
      </c>
      <c r="F30" s="13">
        <v>728.76239999999996</v>
      </c>
      <c r="G30" s="14">
        <f t="shared" si="0"/>
        <v>2.2499999999999999E-2</v>
      </c>
      <c r="H30" s="15"/>
      <c r="J30" s="14"/>
      <c r="K30" s="48"/>
      <c r="N30" s="36"/>
      <c r="P30" s="14"/>
    </row>
    <row r="31" spans="1:16" ht="12.75" customHeight="1" x14ac:dyDescent="0.2">
      <c r="A31">
        <f>+MAX($A$8:A30)+1</f>
        <v>23</v>
      </c>
      <c r="B31" t="s">
        <v>673</v>
      </c>
      <c r="C31" t="s">
        <v>674</v>
      </c>
      <c r="D31" t="s">
        <v>126</v>
      </c>
      <c r="E31" s="28">
        <v>396900</v>
      </c>
      <c r="F31" s="13">
        <v>707.87114999999994</v>
      </c>
      <c r="G31" s="14">
        <f t="shared" si="0"/>
        <v>2.1899999999999999E-2</v>
      </c>
      <c r="H31" s="15"/>
      <c r="J31" s="14"/>
      <c r="K31" s="48"/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226</v>
      </c>
      <c r="C32" t="s">
        <v>115</v>
      </c>
      <c r="D32" t="s">
        <v>45</v>
      </c>
      <c r="E32" s="28">
        <v>177000</v>
      </c>
      <c r="F32" s="13">
        <v>658.79399999999998</v>
      </c>
      <c r="G32" s="14">
        <f t="shared" si="0"/>
        <v>2.0299999999999999E-2</v>
      </c>
      <c r="H32" s="15"/>
      <c r="J32" s="14"/>
      <c r="K32" s="48"/>
    </row>
    <row r="33" spans="1:11" ht="12.75" customHeight="1" x14ac:dyDescent="0.2">
      <c r="A33">
        <f>+MAX($A$8:A32)+1</f>
        <v>25</v>
      </c>
      <c r="B33" t="s">
        <v>405</v>
      </c>
      <c r="C33" t="s">
        <v>406</v>
      </c>
      <c r="D33" t="s">
        <v>36</v>
      </c>
      <c r="E33" s="28">
        <v>258000</v>
      </c>
      <c r="F33" s="13">
        <v>648.61199999999997</v>
      </c>
      <c r="G33" s="14">
        <f t="shared" si="0"/>
        <v>0.02</v>
      </c>
      <c r="H33" s="15"/>
    </row>
    <row r="34" spans="1:11" ht="12.75" customHeight="1" x14ac:dyDescent="0.2">
      <c r="A34">
        <f>+MAX($A$8:A33)+1</f>
        <v>26</v>
      </c>
      <c r="B34" t="s">
        <v>363</v>
      </c>
      <c r="C34" t="s">
        <v>364</v>
      </c>
      <c r="D34" t="s">
        <v>43</v>
      </c>
      <c r="E34" s="28">
        <v>281100</v>
      </c>
      <c r="F34" s="13">
        <v>640.06470000000002</v>
      </c>
      <c r="G34" s="14">
        <f t="shared" si="0"/>
        <v>1.9800000000000002E-2</v>
      </c>
      <c r="H34" s="15"/>
    </row>
    <row r="35" spans="1:11" ht="12.75" customHeight="1" x14ac:dyDescent="0.2">
      <c r="A35">
        <f>+MAX($A$8:A34)+1</f>
        <v>27</v>
      </c>
      <c r="B35" t="s">
        <v>224</v>
      </c>
      <c r="C35" t="s">
        <v>114</v>
      </c>
      <c r="D35" t="s">
        <v>98</v>
      </c>
      <c r="E35" s="28">
        <v>126900</v>
      </c>
      <c r="F35" s="13">
        <v>634.43655000000001</v>
      </c>
      <c r="G35" s="14">
        <f t="shared" si="0"/>
        <v>1.9599999999999999E-2</v>
      </c>
      <c r="H35" s="15"/>
    </row>
    <row r="36" spans="1:11" ht="12.75" customHeight="1" x14ac:dyDescent="0.2">
      <c r="A36">
        <f>+MAX($A$8:A35)+1</f>
        <v>28</v>
      </c>
      <c r="B36" t="s">
        <v>222</v>
      </c>
      <c r="C36" t="s">
        <v>431</v>
      </c>
      <c r="D36" t="s">
        <v>9</v>
      </c>
      <c r="E36" s="28">
        <v>177000</v>
      </c>
      <c r="F36" s="13">
        <v>607.995</v>
      </c>
      <c r="G36" s="14">
        <f t="shared" si="0"/>
        <v>1.8800000000000001E-2</v>
      </c>
      <c r="H36" s="15"/>
    </row>
    <row r="37" spans="1:11" ht="12.75" customHeight="1" x14ac:dyDescent="0.2">
      <c r="A37">
        <f>+MAX($A$8:A36)+1</f>
        <v>29</v>
      </c>
      <c r="B37" t="s">
        <v>177</v>
      </c>
      <c r="C37" t="s">
        <v>37</v>
      </c>
      <c r="D37" t="s">
        <v>19</v>
      </c>
      <c r="E37" s="28">
        <v>18900</v>
      </c>
      <c r="F37" s="13">
        <v>518.77665000000002</v>
      </c>
      <c r="G37" s="14">
        <f t="shared" si="0"/>
        <v>1.6E-2</v>
      </c>
      <c r="H37" s="15"/>
    </row>
    <row r="38" spans="1:11" ht="12.75" customHeight="1" x14ac:dyDescent="0.2">
      <c r="A38">
        <f>+MAX($A$8:A37)+1</f>
        <v>30</v>
      </c>
      <c r="B38" s="1" t="s">
        <v>358</v>
      </c>
      <c r="C38" t="s">
        <v>359</v>
      </c>
      <c r="D38" t="s">
        <v>102</v>
      </c>
      <c r="E38" s="28">
        <v>108000</v>
      </c>
      <c r="F38" s="13">
        <v>428.05799999999999</v>
      </c>
      <c r="G38" s="14">
        <f t="shared" si="0"/>
        <v>1.32E-2</v>
      </c>
      <c r="H38" s="15"/>
    </row>
    <row r="39" spans="1:11" ht="12.75" customHeight="1" x14ac:dyDescent="0.2">
      <c r="B39" s="18" t="s">
        <v>82</v>
      </c>
      <c r="C39" s="18"/>
      <c r="D39" s="18"/>
      <c r="E39" s="29"/>
      <c r="F39" s="19">
        <f>SUM(F9:F38)</f>
        <v>30451.557791499996</v>
      </c>
      <c r="G39" s="20">
        <f>SUM(G9:G38)</f>
        <v>0.9406000000000001</v>
      </c>
      <c r="H39" s="21"/>
      <c r="I39" s="35"/>
    </row>
    <row r="40" spans="1:11" s="46" customFormat="1" ht="12.75" customHeight="1" x14ac:dyDescent="0.2">
      <c r="B40" s="67"/>
      <c r="C40" s="67"/>
      <c r="D40" s="67"/>
      <c r="E40" s="68"/>
      <c r="F40" s="69"/>
      <c r="G40" s="70"/>
      <c r="H40" s="71"/>
      <c r="I40" s="35"/>
      <c r="K40" s="48"/>
    </row>
    <row r="41" spans="1:11" s="46" customFormat="1" ht="12.75" customHeight="1" x14ac:dyDescent="0.2">
      <c r="B41" s="16" t="s">
        <v>88</v>
      </c>
      <c r="C41" s="67"/>
      <c r="D41" s="67"/>
      <c r="E41" s="68"/>
      <c r="F41" s="69"/>
      <c r="G41" s="70"/>
      <c r="H41" s="71"/>
      <c r="I41" s="35"/>
      <c r="K41" s="48"/>
    </row>
    <row r="42" spans="1:11" ht="12.75" customHeight="1" x14ac:dyDescent="0.2">
      <c r="B42" s="16" t="s">
        <v>153</v>
      </c>
      <c r="C42" s="16"/>
      <c r="F42" s="13"/>
      <c r="G42" s="14"/>
      <c r="H42" s="15"/>
      <c r="J42" s="17"/>
      <c r="K42" s="37"/>
    </row>
    <row r="43" spans="1:11" ht="12.75" customHeight="1" x14ac:dyDescent="0.2">
      <c r="A43">
        <f>+MAX($A$8:A42)+1</f>
        <v>31</v>
      </c>
      <c r="B43" t="s">
        <v>450</v>
      </c>
      <c r="C43" s="120" t="s">
        <v>672</v>
      </c>
      <c r="D43" t="s">
        <v>345</v>
      </c>
      <c r="E43" s="28">
        <v>32000</v>
      </c>
      <c r="F43" s="13">
        <v>31.562239999999999</v>
      </c>
      <c r="G43" s="14">
        <f>+ROUND(F43/VLOOKUP("Grand Total",$B$4:$F$269,5,0),4)</f>
        <v>1E-3</v>
      </c>
      <c r="H43" s="15">
        <v>43419</v>
      </c>
      <c r="J43" s="14"/>
      <c r="K43" s="48"/>
    </row>
    <row r="44" spans="1:11" ht="12.75" customHeight="1" x14ac:dyDescent="0.2">
      <c r="B44" s="18" t="s">
        <v>82</v>
      </c>
      <c r="C44" s="18"/>
      <c r="D44" s="18"/>
      <c r="E44" s="29"/>
      <c r="F44" s="19">
        <f>SUM(F43:F43)</f>
        <v>31.562239999999999</v>
      </c>
      <c r="G44" s="20">
        <f>SUM(G43:G43)</f>
        <v>1E-3</v>
      </c>
      <c r="H44" s="21"/>
      <c r="I44" s="35"/>
    </row>
    <row r="45" spans="1:11" s="46" customFormat="1" ht="12.75" customHeight="1" x14ac:dyDescent="0.2">
      <c r="B45" s="67"/>
      <c r="C45" s="67"/>
      <c r="D45" s="67"/>
      <c r="E45" s="68"/>
      <c r="F45" s="69"/>
      <c r="G45" s="70"/>
      <c r="H45" s="71"/>
      <c r="I45" s="35"/>
      <c r="K45" s="48"/>
    </row>
    <row r="46" spans="1:11" ht="12.75" customHeight="1" x14ac:dyDescent="0.2">
      <c r="B46" s="16" t="s">
        <v>91</v>
      </c>
      <c r="C46" s="16"/>
      <c r="F46" s="13"/>
      <c r="G46" s="14"/>
      <c r="H46" s="15"/>
      <c r="I46" s="35"/>
    </row>
    <row r="47" spans="1:11" ht="12.75" customHeight="1" x14ac:dyDescent="0.2">
      <c r="A47" s="94" t="s">
        <v>312</v>
      </c>
      <c r="B47" s="16" t="s">
        <v>633</v>
      </c>
      <c r="C47" s="16"/>
      <c r="F47" s="13">
        <v>1892.7382188999998</v>
      </c>
      <c r="G47" s="14">
        <f>+ROUND(F47/VLOOKUP("Grand Total",$B$4:$F$269,5,0),4)</f>
        <v>5.8500000000000003E-2</v>
      </c>
      <c r="H47" s="15">
        <v>43346</v>
      </c>
    </row>
    <row r="48" spans="1:11" ht="12.75" customHeight="1" x14ac:dyDescent="0.2">
      <c r="B48" s="16" t="s">
        <v>92</v>
      </c>
      <c r="C48" s="16"/>
      <c r="F48" s="13">
        <v>-0.75626219999685418</v>
      </c>
      <c r="G48" s="14">
        <f>+ROUND(F48/VLOOKUP("Grand Total",$B$4:$F$269,5,0),4)-0.01%</f>
        <v>-1E-4</v>
      </c>
      <c r="H48" s="15"/>
    </row>
    <row r="49" spans="2:11" ht="12.75" customHeight="1" x14ac:dyDescent="0.2">
      <c r="B49" s="18" t="s">
        <v>82</v>
      </c>
      <c r="C49" s="18"/>
      <c r="D49" s="18"/>
      <c r="E49" s="29"/>
      <c r="F49" s="19">
        <f>SUM(F47:F48)</f>
        <v>1891.9819567000029</v>
      </c>
      <c r="G49" s="20">
        <f>SUM(G47:G48)</f>
        <v>5.8400000000000001E-2</v>
      </c>
      <c r="H49" s="21"/>
    </row>
    <row r="50" spans="2:11" ht="12.75" customHeight="1" x14ac:dyDescent="0.2">
      <c r="B50" s="22" t="s">
        <v>93</v>
      </c>
      <c r="C50" s="22"/>
      <c r="D50" s="22"/>
      <c r="E50" s="30"/>
      <c r="F50" s="23">
        <f>+SUMIF($B$5:B49,"Total",$F$5:F49)</f>
        <v>32375.101988199996</v>
      </c>
      <c r="G50" s="24">
        <f>+SUMIF($B$5:B49,"Total",$G$5:G49)</f>
        <v>1</v>
      </c>
      <c r="H50" s="25"/>
    </row>
    <row r="51" spans="2:11" ht="12.75" customHeight="1" x14ac:dyDescent="0.2">
      <c r="I51"/>
      <c r="K51"/>
    </row>
    <row r="52" spans="2:11" ht="12.75" customHeight="1" x14ac:dyDescent="0.2">
      <c r="B52" s="16"/>
      <c r="C52" s="16"/>
      <c r="F52" s="13"/>
      <c r="G52" s="14"/>
      <c r="I52"/>
      <c r="K52"/>
    </row>
    <row r="53" spans="2:11" ht="12.75" customHeight="1" x14ac:dyDescent="0.2">
      <c r="B53" s="16"/>
      <c r="C53" s="16"/>
      <c r="F53" s="13"/>
      <c r="G53" s="14"/>
      <c r="I53"/>
      <c r="K53"/>
    </row>
    <row r="54" spans="2:11" ht="12.75" customHeight="1" x14ac:dyDescent="0.2">
      <c r="B54" s="16"/>
      <c r="C54" s="16"/>
      <c r="F54" s="13"/>
      <c r="G54" s="14"/>
      <c r="I54"/>
      <c r="K54"/>
    </row>
    <row r="55" spans="2:11" ht="12.75" customHeight="1" x14ac:dyDescent="0.2">
      <c r="I55"/>
      <c r="K55"/>
    </row>
    <row r="56" spans="2:11" ht="12.75" customHeight="1" x14ac:dyDescent="0.2">
      <c r="F56" s="13"/>
      <c r="I56"/>
      <c r="K56"/>
    </row>
    <row r="57" spans="2:11" ht="12.75" customHeight="1" x14ac:dyDescent="0.2">
      <c r="I57"/>
      <c r="K57"/>
    </row>
    <row r="58" spans="2:11" ht="12.75" customHeight="1" x14ac:dyDescent="0.2">
      <c r="I58"/>
      <c r="K58"/>
    </row>
    <row r="59" spans="2:11" ht="12.75" customHeight="1" x14ac:dyDescent="0.2">
      <c r="I59"/>
      <c r="K59"/>
    </row>
    <row r="60" spans="2:11" ht="12.75" customHeight="1" x14ac:dyDescent="0.2">
      <c r="I60"/>
      <c r="K60"/>
    </row>
    <row r="61" spans="2:11" ht="12.75" customHeight="1" x14ac:dyDescent="0.2">
      <c r="I61"/>
      <c r="K61"/>
    </row>
    <row r="62" spans="2:11" ht="12.75" customHeight="1" x14ac:dyDescent="0.2">
      <c r="I62"/>
      <c r="K62"/>
    </row>
    <row r="63" spans="2:11" ht="12.75" customHeight="1" x14ac:dyDescent="0.2">
      <c r="I63"/>
      <c r="K63"/>
    </row>
    <row r="64" spans="2:11" ht="12.75" customHeight="1" x14ac:dyDescent="0.2"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</sheetData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5703125" bestFit="1" customWidth="1"/>
    <col min="11" max="11" width="8" style="36" customWidth="1"/>
  </cols>
  <sheetData>
    <row r="1" spans="1:16" ht="18.75" x14ac:dyDescent="0.2">
      <c r="A1" s="93" t="s">
        <v>316</v>
      </c>
      <c r="B1" s="128" t="s">
        <v>736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+MAX($A$7:A8)+1</f>
        <v>1</v>
      </c>
      <c r="B9" t="s">
        <v>210</v>
      </c>
      <c r="C9" t="s">
        <v>97</v>
      </c>
      <c r="D9" t="s">
        <v>24</v>
      </c>
      <c r="E9" s="28">
        <v>75280</v>
      </c>
      <c r="F9" s="13">
        <v>1340.0592799999999</v>
      </c>
      <c r="G9" s="14">
        <f t="shared" ref="G9:G40" si="0">+ROUND(F9/VLOOKUP("Grand Total",$B$4:$F$306,5,0),4)</f>
        <v>7.17E-2</v>
      </c>
      <c r="H9" s="15"/>
      <c r="J9" s="65" t="s">
        <v>13</v>
      </c>
      <c r="K9" s="102">
        <f t="shared" ref="K9:K35" si="1">SUMIFS($G$5:$G$330,$D$5:$D$330,J9)</f>
        <v>0.17330000000000001</v>
      </c>
    </row>
    <row r="10" spans="1:16" s="65" customFormat="1" ht="12.75" customHeight="1" x14ac:dyDescent="0.2">
      <c r="A10" s="65">
        <f>+MAX($A$7:A9)+1</f>
        <v>2</v>
      </c>
      <c r="B10" s="65" t="s">
        <v>179</v>
      </c>
      <c r="C10" s="65" t="s">
        <v>44</v>
      </c>
      <c r="D10" s="65" t="s">
        <v>24</v>
      </c>
      <c r="E10" s="84">
        <v>360108</v>
      </c>
      <c r="F10" s="85">
        <v>1151.8054379999999</v>
      </c>
      <c r="G10" s="89">
        <f t="shared" si="0"/>
        <v>6.1600000000000002E-2</v>
      </c>
      <c r="H10" s="88"/>
      <c r="I10" s="73"/>
      <c r="J10" s="14" t="s">
        <v>24</v>
      </c>
      <c r="K10" s="102">
        <f t="shared" si="1"/>
        <v>0.1648</v>
      </c>
      <c r="L10" s="83"/>
      <c r="M10" s="89"/>
    </row>
    <row r="11" spans="1:16" ht="12.75" customHeight="1" x14ac:dyDescent="0.2">
      <c r="A11">
        <f>+MAX($A$7:A10)+1</f>
        <v>3</v>
      </c>
      <c r="B11" t="s">
        <v>171</v>
      </c>
      <c r="C11" t="s">
        <v>14</v>
      </c>
      <c r="D11" t="s">
        <v>13</v>
      </c>
      <c r="E11" s="28">
        <v>50850</v>
      </c>
      <c r="F11" s="13">
        <v>732.79935</v>
      </c>
      <c r="G11" s="14">
        <f t="shared" si="0"/>
        <v>3.9199999999999999E-2</v>
      </c>
      <c r="H11" s="15"/>
      <c r="J11" s="14" t="s">
        <v>9</v>
      </c>
      <c r="K11" s="102">
        <f t="shared" si="1"/>
        <v>0.1024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172</v>
      </c>
      <c r="C12" t="s">
        <v>29</v>
      </c>
      <c r="D12" t="s">
        <v>28</v>
      </c>
      <c r="E12" s="28">
        <v>57690</v>
      </c>
      <c r="F12" s="13">
        <v>716.30788500000006</v>
      </c>
      <c r="G12" s="14">
        <f t="shared" si="0"/>
        <v>3.8300000000000001E-2</v>
      </c>
      <c r="H12" s="15"/>
      <c r="J12" s="14" t="s">
        <v>19</v>
      </c>
      <c r="K12" s="102">
        <f t="shared" si="1"/>
        <v>7.9000000000000001E-2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194</v>
      </c>
      <c r="C13" t="s">
        <v>18</v>
      </c>
      <c r="D13" t="s">
        <v>13</v>
      </c>
      <c r="E13" s="28">
        <v>30900</v>
      </c>
      <c r="F13" s="13">
        <v>642.22559999999999</v>
      </c>
      <c r="G13" s="14">
        <f t="shared" si="0"/>
        <v>3.44E-2</v>
      </c>
      <c r="H13" s="15"/>
      <c r="J13" s="14" t="s">
        <v>28</v>
      </c>
      <c r="K13" s="102">
        <f t="shared" si="1"/>
        <v>5.4800000000000001E-2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175</v>
      </c>
      <c r="C14" t="s">
        <v>23</v>
      </c>
      <c r="D14" t="s">
        <v>13</v>
      </c>
      <c r="E14" s="28">
        <v>48900</v>
      </c>
      <c r="F14" s="13">
        <v>511.71404999999999</v>
      </c>
      <c r="G14" s="14">
        <f t="shared" si="0"/>
        <v>2.7400000000000001E-2</v>
      </c>
      <c r="H14" s="15"/>
      <c r="J14" s="14" t="s">
        <v>126</v>
      </c>
      <c r="K14" s="102">
        <f t="shared" si="1"/>
        <v>4.3299999999999998E-2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170</v>
      </c>
      <c r="C15" t="s">
        <v>12</v>
      </c>
      <c r="D15" t="s">
        <v>9</v>
      </c>
      <c r="E15" s="28">
        <v>24800</v>
      </c>
      <c r="F15" s="13">
        <v>511.17759999999998</v>
      </c>
      <c r="G15" s="14">
        <f t="shared" si="0"/>
        <v>2.7300000000000001E-2</v>
      </c>
      <c r="H15" s="15"/>
      <c r="J15" s="14" t="s">
        <v>45</v>
      </c>
      <c r="K15" s="102">
        <f t="shared" si="1"/>
        <v>4.1200000000000001E-2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173</v>
      </c>
      <c r="C16" t="s">
        <v>10</v>
      </c>
      <c r="D16" t="s">
        <v>9</v>
      </c>
      <c r="E16" s="28">
        <v>135000</v>
      </c>
      <c r="F16" s="13">
        <v>462.51</v>
      </c>
      <c r="G16" s="14">
        <f t="shared" si="0"/>
        <v>2.47E-2</v>
      </c>
      <c r="H16" s="15"/>
      <c r="J16" s="14" t="s">
        <v>17</v>
      </c>
      <c r="K16" s="102">
        <f t="shared" si="1"/>
        <v>3.7699999999999997E-2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187</v>
      </c>
      <c r="C17" t="s">
        <v>47</v>
      </c>
      <c r="D17" t="s">
        <v>19</v>
      </c>
      <c r="E17" s="28">
        <v>4980</v>
      </c>
      <c r="F17" s="13">
        <v>453.00072</v>
      </c>
      <c r="G17" s="14">
        <f t="shared" si="0"/>
        <v>2.4199999999999999E-2</v>
      </c>
      <c r="H17" s="15"/>
      <c r="J17" s="14" t="s">
        <v>36</v>
      </c>
      <c r="K17" s="102">
        <f t="shared" si="1"/>
        <v>3.27E-2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219</v>
      </c>
      <c r="C18" t="s">
        <v>108</v>
      </c>
      <c r="D18" t="s">
        <v>19</v>
      </c>
      <c r="E18" s="28">
        <v>13800</v>
      </c>
      <c r="F18" s="13">
        <v>449.02440000000001</v>
      </c>
      <c r="G18" s="14">
        <f t="shared" si="0"/>
        <v>2.4E-2</v>
      </c>
      <c r="H18" s="15"/>
      <c r="J18" s="14" t="s">
        <v>39</v>
      </c>
      <c r="K18" s="102">
        <f t="shared" si="1"/>
        <v>3.1600000000000003E-2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177</v>
      </c>
      <c r="C19" t="s">
        <v>37</v>
      </c>
      <c r="D19" t="s">
        <v>19</v>
      </c>
      <c r="E19" s="28">
        <v>15990</v>
      </c>
      <c r="F19" s="13">
        <v>438.90151500000002</v>
      </c>
      <c r="G19" s="14">
        <f t="shared" si="0"/>
        <v>2.35E-2</v>
      </c>
      <c r="H19" s="15"/>
      <c r="J19" s="14" t="s">
        <v>407</v>
      </c>
      <c r="K19" s="102">
        <f t="shared" si="1"/>
        <v>2.29E-2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15</v>
      </c>
      <c r="C20" t="s">
        <v>16</v>
      </c>
      <c r="D20" t="s">
        <v>9</v>
      </c>
      <c r="E20" s="28">
        <v>132000</v>
      </c>
      <c r="F20" s="13">
        <v>408.67200000000003</v>
      </c>
      <c r="G20" s="14">
        <f t="shared" si="0"/>
        <v>2.1899999999999999E-2</v>
      </c>
      <c r="H20" s="15"/>
      <c r="J20" s="14" t="s">
        <v>21</v>
      </c>
      <c r="K20" s="102">
        <f t="shared" si="1"/>
        <v>2.0400000000000001E-2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238</v>
      </c>
      <c r="C21" t="s">
        <v>79</v>
      </c>
      <c r="D21" t="s">
        <v>13</v>
      </c>
      <c r="E21" s="28">
        <v>54000</v>
      </c>
      <c r="F21" s="13">
        <v>393.60599999999999</v>
      </c>
      <c r="G21" s="14">
        <f t="shared" si="0"/>
        <v>2.1100000000000001E-2</v>
      </c>
      <c r="H21" s="15"/>
      <c r="J21" s="14" t="s">
        <v>26</v>
      </c>
      <c r="K21" s="102">
        <f t="shared" si="1"/>
        <v>1.9900000000000001E-2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226</v>
      </c>
      <c r="C22" t="s">
        <v>115</v>
      </c>
      <c r="D22" t="s">
        <v>45</v>
      </c>
      <c r="E22" s="28">
        <v>96690</v>
      </c>
      <c r="F22" s="13">
        <v>359.88018</v>
      </c>
      <c r="G22" s="14">
        <f t="shared" si="0"/>
        <v>1.9300000000000001E-2</v>
      </c>
      <c r="H22" s="15"/>
      <c r="J22" s="14" t="s">
        <v>43</v>
      </c>
      <c r="K22" s="102">
        <f t="shared" si="1"/>
        <v>1.8599999999999998E-2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233</v>
      </c>
      <c r="C23" t="s">
        <v>127</v>
      </c>
      <c r="D23" t="s">
        <v>17</v>
      </c>
      <c r="E23" s="28">
        <v>13569</v>
      </c>
      <c r="F23" s="13">
        <v>355.98271499999998</v>
      </c>
      <c r="G23" s="14">
        <f t="shared" si="0"/>
        <v>1.9E-2</v>
      </c>
      <c r="H23" s="15"/>
      <c r="J23" s="14" t="s">
        <v>41</v>
      </c>
      <c r="K23" s="102">
        <f t="shared" si="1"/>
        <v>1.7600000000000001E-2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182</v>
      </c>
      <c r="C24" t="s">
        <v>51</v>
      </c>
      <c r="D24" t="s">
        <v>17</v>
      </c>
      <c r="E24" s="28">
        <v>7800</v>
      </c>
      <c r="F24" s="13">
        <v>349.089</v>
      </c>
      <c r="G24" s="14">
        <f t="shared" si="0"/>
        <v>1.8700000000000001E-2</v>
      </c>
      <c r="H24" s="15"/>
      <c r="J24" s="14" t="s">
        <v>102</v>
      </c>
      <c r="K24" s="102">
        <f t="shared" si="1"/>
        <v>1.6E-2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636</v>
      </c>
      <c r="C25" t="s">
        <v>637</v>
      </c>
      <c r="D25" t="s">
        <v>13</v>
      </c>
      <c r="E25" s="28">
        <v>360000</v>
      </c>
      <c r="F25" s="13">
        <v>345.24</v>
      </c>
      <c r="G25" s="14">
        <f t="shared" si="0"/>
        <v>1.8499999999999999E-2</v>
      </c>
      <c r="H25" s="15"/>
      <c r="J25" s="14" t="s">
        <v>22</v>
      </c>
      <c r="K25" s="102">
        <f t="shared" si="1"/>
        <v>1.15E-2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234</v>
      </c>
      <c r="C26" t="s">
        <v>128</v>
      </c>
      <c r="D26" t="s">
        <v>24</v>
      </c>
      <c r="E26" s="28">
        <v>10080</v>
      </c>
      <c r="F26" s="13">
        <v>332.4384</v>
      </c>
      <c r="G26" s="14">
        <f t="shared" si="0"/>
        <v>1.78E-2</v>
      </c>
      <c r="H26" s="15"/>
      <c r="J26" s="14" t="s">
        <v>125</v>
      </c>
      <c r="K26" s="102">
        <f t="shared" si="1"/>
        <v>9.9000000000000008E-3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470</v>
      </c>
      <c r="C27" t="s">
        <v>471</v>
      </c>
      <c r="D27" t="s">
        <v>13</v>
      </c>
      <c r="E27" s="28">
        <v>32400</v>
      </c>
      <c r="F27" s="13">
        <v>320.63040000000001</v>
      </c>
      <c r="G27" s="14">
        <f t="shared" si="0"/>
        <v>1.72E-2</v>
      </c>
      <c r="H27" s="15"/>
      <c r="J27" s="14" t="s">
        <v>49</v>
      </c>
      <c r="K27" s="102">
        <f t="shared" si="1"/>
        <v>9.7999999999999997E-3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220</v>
      </c>
      <c r="C28" t="s">
        <v>109</v>
      </c>
      <c r="D28" t="s">
        <v>13</v>
      </c>
      <c r="E28" s="28">
        <v>37800</v>
      </c>
      <c r="F28" s="13">
        <v>289.47239999999999</v>
      </c>
      <c r="G28" s="14">
        <f t="shared" si="0"/>
        <v>1.55E-2</v>
      </c>
      <c r="H28" s="15"/>
      <c r="J28" s="14" t="s">
        <v>34</v>
      </c>
      <c r="K28" s="102">
        <f t="shared" si="1"/>
        <v>9.2999999999999992E-3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339</v>
      </c>
      <c r="C29" t="s">
        <v>340</v>
      </c>
      <c r="D29" t="s">
        <v>126</v>
      </c>
      <c r="E29" s="28">
        <v>19608</v>
      </c>
      <c r="F29" s="13">
        <v>269.61</v>
      </c>
      <c r="G29" s="14">
        <f t="shared" si="0"/>
        <v>1.44E-2</v>
      </c>
      <c r="H29" s="15"/>
      <c r="J29" t="s">
        <v>395</v>
      </c>
      <c r="K29" s="102">
        <f t="shared" si="1"/>
        <v>8.6999999999999994E-3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231</v>
      </c>
      <c r="C30" t="s">
        <v>122</v>
      </c>
      <c r="D30" t="s">
        <v>24</v>
      </c>
      <c r="E30" s="28">
        <v>21900</v>
      </c>
      <c r="F30" s="13">
        <v>256.01100000000002</v>
      </c>
      <c r="G30" s="14">
        <f t="shared" si="0"/>
        <v>1.37E-2</v>
      </c>
      <c r="H30" s="15"/>
      <c r="J30" s="14" t="s">
        <v>30</v>
      </c>
      <c r="K30" s="102">
        <f t="shared" si="1"/>
        <v>8.6999999999999994E-3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270</v>
      </c>
      <c r="C31" t="s">
        <v>74</v>
      </c>
      <c r="D31" t="s">
        <v>36</v>
      </c>
      <c r="E31" s="28">
        <v>73608</v>
      </c>
      <c r="F31" s="13">
        <v>251.04008399999998</v>
      </c>
      <c r="G31" s="14">
        <f t="shared" si="0"/>
        <v>1.34E-2</v>
      </c>
      <c r="H31" s="15"/>
      <c r="J31" s="14" t="s">
        <v>101</v>
      </c>
      <c r="K31" s="102">
        <f t="shared" si="1"/>
        <v>5.7999999999999996E-3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300</v>
      </c>
      <c r="C32" t="s">
        <v>301</v>
      </c>
      <c r="D32" t="s">
        <v>407</v>
      </c>
      <c r="E32" s="28">
        <v>540000</v>
      </c>
      <c r="F32" s="13">
        <v>243.54</v>
      </c>
      <c r="G32" s="14">
        <f t="shared" si="0"/>
        <v>1.2999999999999999E-2</v>
      </c>
      <c r="H32" s="15"/>
      <c r="J32" s="14" t="s">
        <v>135</v>
      </c>
      <c r="K32" s="102">
        <f t="shared" si="1"/>
        <v>2.8999999999999998E-3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249</v>
      </c>
      <c r="C33" t="s">
        <v>146</v>
      </c>
      <c r="D33" t="s">
        <v>39</v>
      </c>
      <c r="E33" s="28">
        <v>13500</v>
      </c>
      <c r="F33" s="13">
        <v>237.43125000000001</v>
      </c>
      <c r="G33" s="14">
        <f t="shared" si="0"/>
        <v>1.2699999999999999E-2</v>
      </c>
      <c r="H33" s="15"/>
      <c r="J33" s="14" t="s">
        <v>279</v>
      </c>
      <c r="K33" s="102">
        <f t="shared" si="1"/>
        <v>1.1999999999999999E-3</v>
      </c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675</v>
      </c>
      <c r="C34" t="s">
        <v>638</v>
      </c>
      <c r="D34" t="s">
        <v>126</v>
      </c>
      <c r="E34" s="28">
        <v>21900</v>
      </c>
      <c r="F34" s="13">
        <v>230.32230000000001</v>
      </c>
      <c r="G34" s="14">
        <f t="shared" si="0"/>
        <v>1.23E-2</v>
      </c>
      <c r="H34" s="15"/>
      <c r="J34" t="s">
        <v>345</v>
      </c>
      <c r="K34" s="102">
        <f t="shared" si="1"/>
        <v>5.0000000000000001E-4</v>
      </c>
    </row>
    <row r="35" spans="1:16" ht="12.75" customHeight="1" x14ac:dyDescent="0.2">
      <c r="A35">
        <f>+MAX($A$7:A34)+1</f>
        <v>27</v>
      </c>
      <c r="B35" t="s">
        <v>205</v>
      </c>
      <c r="C35" t="s">
        <v>458</v>
      </c>
      <c r="D35" t="s">
        <v>45</v>
      </c>
      <c r="E35" s="28">
        <v>78000</v>
      </c>
      <c r="F35" s="13">
        <v>226.512</v>
      </c>
      <c r="G35" s="14">
        <f t="shared" si="0"/>
        <v>1.21E-2</v>
      </c>
      <c r="H35" s="15"/>
      <c r="J35" s="14" t="s">
        <v>32</v>
      </c>
      <c r="K35" s="102">
        <f t="shared" si="1"/>
        <v>0</v>
      </c>
    </row>
    <row r="36" spans="1:16" ht="12.75" customHeight="1" x14ac:dyDescent="0.2">
      <c r="A36">
        <f>+MAX($A$7:A35)+1</f>
        <v>28</v>
      </c>
      <c r="B36" t="s">
        <v>203</v>
      </c>
      <c r="C36" t="s">
        <v>69</v>
      </c>
      <c r="D36" t="s">
        <v>26</v>
      </c>
      <c r="E36" s="28">
        <v>15750</v>
      </c>
      <c r="F36" s="13">
        <v>215.704125</v>
      </c>
      <c r="G36" s="14">
        <f t="shared" si="0"/>
        <v>1.15E-2</v>
      </c>
      <c r="H36" s="15"/>
      <c r="J36" s="14" t="s">
        <v>62</v>
      </c>
      <c r="K36" s="48">
        <f>+SUMIFS($G$5:$G$1002,$B$5:$B$1002,"CBLO / Reverse Repo")+SUMIFS($G$5:$G$1002,$B$5:$B$1002,"Net Receivable/Payable")</f>
        <v>5.5499999999999994E-2</v>
      </c>
    </row>
    <row r="37" spans="1:16" ht="12.75" customHeight="1" x14ac:dyDescent="0.2">
      <c r="A37">
        <f>+MAX($A$7:A36)+1</f>
        <v>29</v>
      </c>
      <c r="B37" t="s">
        <v>272</v>
      </c>
      <c r="C37" t="s">
        <v>124</v>
      </c>
      <c r="D37" t="s">
        <v>22</v>
      </c>
      <c r="E37" s="28">
        <v>6900</v>
      </c>
      <c r="F37" s="13">
        <v>215.09025</v>
      </c>
      <c r="G37" s="14">
        <f t="shared" si="0"/>
        <v>1.15E-2</v>
      </c>
      <c r="H37" s="15"/>
      <c r="J37" s="14"/>
      <c r="K37" s="48"/>
    </row>
    <row r="38" spans="1:16" ht="12.75" customHeight="1" x14ac:dyDescent="0.2">
      <c r="A38">
        <f>+MAX($A$7:A37)+1</f>
        <v>30</v>
      </c>
      <c r="B38" t="s">
        <v>435</v>
      </c>
      <c r="C38" t="s">
        <v>436</v>
      </c>
      <c r="D38" t="s">
        <v>43</v>
      </c>
      <c r="E38" s="28">
        <v>258000</v>
      </c>
      <c r="F38" s="13">
        <v>193.113</v>
      </c>
      <c r="G38" s="14">
        <f t="shared" si="0"/>
        <v>1.03E-2</v>
      </c>
      <c r="H38" s="15"/>
    </row>
    <row r="39" spans="1:16" ht="12.75" customHeight="1" x14ac:dyDescent="0.2">
      <c r="A39">
        <f>+MAX($A$7:A38)+1</f>
        <v>31</v>
      </c>
      <c r="B39" t="s">
        <v>193</v>
      </c>
      <c r="C39" t="s">
        <v>59</v>
      </c>
      <c r="D39" t="s">
        <v>21</v>
      </c>
      <c r="E39" s="28">
        <v>27000</v>
      </c>
      <c r="F39" s="13">
        <v>192.4425</v>
      </c>
      <c r="G39" s="14">
        <f t="shared" si="0"/>
        <v>1.03E-2</v>
      </c>
      <c r="H39" s="15"/>
    </row>
    <row r="40" spans="1:16" ht="12.75" customHeight="1" x14ac:dyDescent="0.2">
      <c r="A40">
        <f>+MAX($A$7:A39)+1</f>
        <v>32</v>
      </c>
      <c r="B40" t="s">
        <v>420</v>
      </c>
      <c r="C40" t="s">
        <v>421</v>
      </c>
      <c r="D40" t="s">
        <v>39</v>
      </c>
      <c r="E40" s="28">
        <v>4500</v>
      </c>
      <c r="F40" s="13">
        <v>190.82024999999999</v>
      </c>
      <c r="G40" s="14">
        <f t="shared" si="0"/>
        <v>1.0200000000000001E-2</v>
      </c>
      <c r="H40" s="15"/>
    </row>
    <row r="41" spans="1:16" ht="12.75" customHeight="1" x14ac:dyDescent="0.2">
      <c r="A41">
        <f>+MAX($A$7:A40)+1</f>
        <v>33</v>
      </c>
      <c r="B41" t="s">
        <v>432</v>
      </c>
      <c r="C41" t="s">
        <v>383</v>
      </c>
      <c r="D41" t="s">
        <v>21</v>
      </c>
      <c r="E41" s="28">
        <v>63900</v>
      </c>
      <c r="F41" s="13">
        <v>189.27180000000001</v>
      </c>
      <c r="G41" s="14">
        <f t="shared" ref="G41:G64" si="2">+ROUND(F41/VLOOKUP("Grand Total",$B$4:$F$306,5,0),4)</f>
        <v>1.01E-2</v>
      </c>
      <c r="H41" s="15"/>
    </row>
    <row r="42" spans="1:16" ht="12.75" customHeight="1" x14ac:dyDescent="0.2">
      <c r="A42">
        <f>+MAX($A$7:A41)+1</f>
        <v>34</v>
      </c>
      <c r="B42" t="s">
        <v>212</v>
      </c>
      <c r="C42" t="s">
        <v>99</v>
      </c>
      <c r="D42" t="s">
        <v>9</v>
      </c>
      <c r="E42" s="28">
        <v>9900</v>
      </c>
      <c r="F42" s="13">
        <v>188.7534</v>
      </c>
      <c r="G42" s="14">
        <f t="shared" si="2"/>
        <v>1.01E-2</v>
      </c>
      <c r="H42" s="15"/>
    </row>
    <row r="43" spans="1:16" ht="12.75" customHeight="1" x14ac:dyDescent="0.2">
      <c r="A43">
        <f>+MAX($A$7:A42)+1</f>
        <v>35</v>
      </c>
      <c r="B43" t="s">
        <v>341</v>
      </c>
      <c r="C43" t="s">
        <v>342</v>
      </c>
      <c r="D43" t="s">
        <v>41</v>
      </c>
      <c r="E43" s="28">
        <v>63900</v>
      </c>
      <c r="F43" s="13">
        <v>185.56559999999999</v>
      </c>
      <c r="G43" s="14">
        <f t="shared" si="2"/>
        <v>9.9000000000000008E-3</v>
      </c>
      <c r="H43" s="15"/>
    </row>
    <row r="44" spans="1:16" ht="12.75" customHeight="1" x14ac:dyDescent="0.2">
      <c r="A44">
        <f>+MAX($A$7:A43)+1</f>
        <v>36</v>
      </c>
      <c r="B44" t="s">
        <v>236</v>
      </c>
      <c r="C44" t="s">
        <v>130</v>
      </c>
      <c r="D44" t="s">
        <v>125</v>
      </c>
      <c r="E44" s="28">
        <v>24000</v>
      </c>
      <c r="F44" s="13">
        <v>185.184</v>
      </c>
      <c r="G44" s="14">
        <f t="shared" si="2"/>
        <v>9.9000000000000008E-3</v>
      </c>
      <c r="H44" s="15"/>
    </row>
    <row r="45" spans="1:16" ht="12.75" customHeight="1" x14ac:dyDescent="0.2">
      <c r="A45">
        <f>+MAX($A$7:A44)+1</f>
        <v>37</v>
      </c>
      <c r="B45" t="s">
        <v>676</v>
      </c>
      <c r="C45" t="s">
        <v>677</v>
      </c>
      <c r="D45" t="s">
        <v>407</v>
      </c>
      <c r="E45" s="28">
        <v>39171</v>
      </c>
      <c r="F45" s="13">
        <v>185.14173149999999</v>
      </c>
      <c r="G45" s="14">
        <f t="shared" si="2"/>
        <v>9.9000000000000008E-3</v>
      </c>
      <c r="H45" s="15"/>
    </row>
    <row r="46" spans="1:16" ht="12.75" customHeight="1" x14ac:dyDescent="0.2">
      <c r="A46">
        <f>+MAX($A$7:A45)+1</f>
        <v>38</v>
      </c>
      <c r="B46" t="s">
        <v>260</v>
      </c>
      <c r="C46" t="s">
        <v>158</v>
      </c>
      <c r="D46" t="s">
        <v>36</v>
      </c>
      <c r="E46" s="28">
        <v>64800</v>
      </c>
      <c r="F46" s="13">
        <v>184.7448</v>
      </c>
      <c r="G46" s="14">
        <f t="shared" si="2"/>
        <v>9.9000000000000008E-3</v>
      </c>
      <c r="H46" s="15"/>
    </row>
    <row r="47" spans="1:16" ht="12.75" customHeight="1" x14ac:dyDescent="0.2">
      <c r="A47">
        <f>+MAX($A$7:A46)+1</f>
        <v>39</v>
      </c>
      <c r="B47" t="s">
        <v>251</v>
      </c>
      <c r="C47" t="s">
        <v>157</v>
      </c>
      <c r="D47" t="s">
        <v>45</v>
      </c>
      <c r="E47" s="28">
        <v>73800</v>
      </c>
      <c r="F47" s="13">
        <v>183.0609</v>
      </c>
      <c r="G47" s="14">
        <f t="shared" si="2"/>
        <v>9.7999999999999997E-3</v>
      </c>
      <c r="H47" s="15"/>
    </row>
    <row r="48" spans="1:16" ht="12.75" customHeight="1" x14ac:dyDescent="0.2">
      <c r="A48">
        <f>+MAX($A$7:A47)+1</f>
        <v>40</v>
      </c>
      <c r="B48" t="s">
        <v>206</v>
      </c>
      <c r="C48" t="s">
        <v>76</v>
      </c>
      <c r="D48" t="s">
        <v>49</v>
      </c>
      <c r="E48" s="28">
        <v>63900</v>
      </c>
      <c r="F48" s="13">
        <v>182.72205</v>
      </c>
      <c r="G48" s="14">
        <f t="shared" si="2"/>
        <v>9.7999999999999997E-3</v>
      </c>
      <c r="H48" s="15"/>
    </row>
    <row r="49" spans="1:8" ht="12.75" customHeight="1" x14ac:dyDescent="0.2">
      <c r="A49">
        <f>+MAX($A$7:A48)+1</f>
        <v>41</v>
      </c>
      <c r="B49" t="s">
        <v>280</v>
      </c>
      <c r="C49" t="s">
        <v>281</v>
      </c>
      <c r="D49" t="s">
        <v>9</v>
      </c>
      <c r="E49" s="28">
        <v>89949</v>
      </c>
      <c r="F49" s="13">
        <v>182.1916995</v>
      </c>
      <c r="G49" s="14">
        <f t="shared" si="2"/>
        <v>9.7000000000000003E-3</v>
      </c>
      <c r="H49" s="15"/>
    </row>
    <row r="50" spans="1:8" ht="12.75" customHeight="1" x14ac:dyDescent="0.2">
      <c r="A50">
        <f>+MAX($A$7:A49)+1</f>
        <v>42</v>
      </c>
      <c r="B50" t="s">
        <v>242</v>
      </c>
      <c r="C50" t="s">
        <v>137</v>
      </c>
      <c r="D50" t="s">
        <v>36</v>
      </c>
      <c r="E50" s="28">
        <v>237</v>
      </c>
      <c r="F50" s="13">
        <v>175.4433975</v>
      </c>
      <c r="G50" s="14">
        <f t="shared" si="2"/>
        <v>9.4000000000000004E-3</v>
      </c>
      <c r="H50" s="15"/>
    </row>
    <row r="51" spans="1:8" ht="12.75" customHeight="1" x14ac:dyDescent="0.2">
      <c r="A51">
        <f>+MAX($A$7:A50)+1</f>
        <v>43</v>
      </c>
      <c r="B51" t="s">
        <v>221</v>
      </c>
      <c r="C51" t="s">
        <v>111</v>
      </c>
      <c r="D51" t="s">
        <v>34</v>
      </c>
      <c r="E51" s="28">
        <v>101700</v>
      </c>
      <c r="F51" s="13">
        <v>174.41550000000001</v>
      </c>
      <c r="G51" s="14">
        <f t="shared" si="2"/>
        <v>9.2999999999999992E-3</v>
      </c>
      <c r="H51" s="15"/>
    </row>
    <row r="52" spans="1:8" ht="12.75" customHeight="1" x14ac:dyDescent="0.2">
      <c r="A52">
        <f>+MAX($A$7:A51)+1</f>
        <v>44</v>
      </c>
      <c r="B52" t="s">
        <v>253</v>
      </c>
      <c r="C52" t="s">
        <v>156</v>
      </c>
      <c r="D52" t="s">
        <v>28</v>
      </c>
      <c r="E52" s="28">
        <v>108000</v>
      </c>
      <c r="F52" s="13">
        <v>167.994</v>
      </c>
      <c r="G52" s="14">
        <f t="shared" si="2"/>
        <v>8.9999999999999993E-3</v>
      </c>
      <c r="H52" s="15"/>
    </row>
    <row r="53" spans="1:8" ht="12.75" customHeight="1" x14ac:dyDescent="0.2">
      <c r="A53">
        <f>+MAX($A$7:A52)+1</f>
        <v>45</v>
      </c>
      <c r="B53" t="s">
        <v>189</v>
      </c>
      <c r="C53" t="s">
        <v>72</v>
      </c>
      <c r="D53" t="s">
        <v>395</v>
      </c>
      <c r="E53" s="28">
        <v>118800</v>
      </c>
      <c r="F53" s="13">
        <v>163.053</v>
      </c>
      <c r="G53" s="14">
        <f t="shared" si="2"/>
        <v>8.6999999999999994E-3</v>
      </c>
      <c r="H53" s="15"/>
    </row>
    <row r="54" spans="1:8" ht="12.75" customHeight="1" x14ac:dyDescent="0.2">
      <c r="A54">
        <f>+MAX($A$7:A53)+1</f>
        <v>46</v>
      </c>
      <c r="B54" t="s">
        <v>386</v>
      </c>
      <c r="C54" t="s">
        <v>387</v>
      </c>
      <c r="D54" t="s">
        <v>39</v>
      </c>
      <c r="E54" s="28">
        <v>54000</v>
      </c>
      <c r="F54" s="13">
        <v>162.32400000000001</v>
      </c>
      <c r="G54" s="14">
        <f t="shared" si="2"/>
        <v>8.6999999999999994E-3</v>
      </c>
      <c r="H54" s="15"/>
    </row>
    <row r="55" spans="1:8" ht="12.75" customHeight="1" x14ac:dyDescent="0.2">
      <c r="A55">
        <f>+MAX($A$7:A54)+1</f>
        <v>47</v>
      </c>
      <c r="B55" t="s">
        <v>190</v>
      </c>
      <c r="C55" t="s">
        <v>94</v>
      </c>
      <c r="D55" t="s">
        <v>9</v>
      </c>
      <c r="E55" s="28">
        <v>12600</v>
      </c>
      <c r="F55" s="13">
        <v>162.1935</v>
      </c>
      <c r="G55" s="14">
        <f t="shared" si="2"/>
        <v>8.6999999999999994E-3</v>
      </c>
      <c r="H55" s="15"/>
    </row>
    <row r="56" spans="1:8" ht="12.75" customHeight="1" x14ac:dyDescent="0.2">
      <c r="A56">
        <f>+MAX($A$7:A55)+1</f>
        <v>48</v>
      </c>
      <c r="B56" t="s">
        <v>291</v>
      </c>
      <c r="C56" t="s">
        <v>528</v>
      </c>
      <c r="D56" t="s">
        <v>30</v>
      </c>
      <c r="E56" s="28">
        <v>225000</v>
      </c>
      <c r="F56" s="13">
        <v>162.11250000000001</v>
      </c>
      <c r="G56" s="14">
        <f t="shared" si="2"/>
        <v>8.6999999999999994E-3</v>
      </c>
      <c r="H56" s="15"/>
    </row>
    <row r="57" spans="1:8" ht="12.75" customHeight="1" x14ac:dyDescent="0.2">
      <c r="A57">
        <f>+MAX($A$7:A56)+1</f>
        <v>49</v>
      </c>
      <c r="B57" t="s">
        <v>202</v>
      </c>
      <c r="C57" t="s">
        <v>64</v>
      </c>
      <c r="D57" t="s">
        <v>26</v>
      </c>
      <c r="E57" s="28">
        <v>51900</v>
      </c>
      <c r="F57" s="13">
        <v>156.738</v>
      </c>
      <c r="G57" s="14">
        <f t="shared" si="2"/>
        <v>8.3999999999999995E-3</v>
      </c>
      <c r="H57" s="15"/>
    </row>
    <row r="58" spans="1:8" ht="12.75" customHeight="1" x14ac:dyDescent="0.2">
      <c r="A58">
        <f>+MAX($A$7:A57)+1</f>
        <v>50</v>
      </c>
      <c r="B58" t="s">
        <v>295</v>
      </c>
      <c r="C58" t="s">
        <v>521</v>
      </c>
      <c r="D58" t="s">
        <v>126</v>
      </c>
      <c r="E58" s="28">
        <v>64800</v>
      </c>
      <c r="F58" s="13">
        <v>156.68639999999999</v>
      </c>
      <c r="G58" s="14">
        <f t="shared" si="2"/>
        <v>8.3999999999999995E-3</v>
      </c>
      <c r="H58" s="15"/>
    </row>
    <row r="59" spans="1:8" ht="12.75" customHeight="1" x14ac:dyDescent="0.2">
      <c r="A59">
        <f>+MAX($A$7:A58)+1</f>
        <v>51</v>
      </c>
      <c r="B59" t="s">
        <v>208</v>
      </c>
      <c r="C59" t="s">
        <v>78</v>
      </c>
      <c r="D59" t="s">
        <v>43</v>
      </c>
      <c r="E59" s="28">
        <v>51900</v>
      </c>
      <c r="F59" s="13">
        <v>155.46645000000001</v>
      </c>
      <c r="G59" s="14">
        <f t="shared" si="2"/>
        <v>8.3000000000000001E-3</v>
      </c>
      <c r="H59" s="15"/>
    </row>
    <row r="60" spans="1:8" ht="12.75" customHeight="1" x14ac:dyDescent="0.2">
      <c r="A60">
        <f>+MAX($A$7:A59)+1</f>
        <v>52</v>
      </c>
      <c r="B60" t="s">
        <v>366</v>
      </c>
      <c r="C60" t="s">
        <v>367</v>
      </c>
      <c r="D60" t="s">
        <v>126</v>
      </c>
      <c r="E60" s="28">
        <v>118800</v>
      </c>
      <c r="F60" s="13">
        <v>152.5986</v>
      </c>
      <c r="G60" s="14">
        <f t="shared" si="2"/>
        <v>8.2000000000000007E-3</v>
      </c>
      <c r="H60" s="15"/>
    </row>
    <row r="61" spans="1:8" ht="12.75" customHeight="1" x14ac:dyDescent="0.2">
      <c r="A61">
        <f>+MAX($A$7:A60)+1</f>
        <v>53</v>
      </c>
      <c r="B61" t="s">
        <v>468</v>
      </c>
      <c r="C61" t="s">
        <v>469</v>
      </c>
      <c r="D61" t="s">
        <v>102</v>
      </c>
      <c r="E61" s="28">
        <v>164936</v>
      </c>
      <c r="F61" s="13">
        <v>149.761888</v>
      </c>
      <c r="G61" s="14">
        <f t="shared" si="2"/>
        <v>8.0000000000000002E-3</v>
      </c>
      <c r="H61" s="15"/>
    </row>
    <row r="62" spans="1:8" ht="12.75" customHeight="1" x14ac:dyDescent="0.2">
      <c r="A62">
        <f>+MAX($A$7:A61)+1</f>
        <v>54</v>
      </c>
      <c r="B62" t="s">
        <v>639</v>
      </c>
      <c r="C62" t="s">
        <v>640</v>
      </c>
      <c r="D62" t="s">
        <v>102</v>
      </c>
      <c r="E62" s="28">
        <v>67800</v>
      </c>
      <c r="F62" s="13">
        <v>149.66849999999999</v>
      </c>
      <c r="G62" s="14">
        <f t="shared" si="2"/>
        <v>8.0000000000000002E-3</v>
      </c>
      <c r="H62" s="15"/>
    </row>
    <row r="63" spans="1:8" ht="12.75" customHeight="1" x14ac:dyDescent="0.2">
      <c r="A63">
        <f>+MAX($A$7:A62)+1</f>
        <v>55</v>
      </c>
      <c r="B63" t="s">
        <v>188</v>
      </c>
      <c r="C63" t="s">
        <v>53</v>
      </c>
      <c r="D63" t="s">
        <v>41</v>
      </c>
      <c r="E63" s="28">
        <v>7080</v>
      </c>
      <c r="F63" s="13">
        <v>143.18592000000001</v>
      </c>
      <c r="G63" s="14">
        <f t="shared" si="2"/>
        <v>7.7000000000000002E-3</v>
      </c>
      <c r="H63" s="15"/>
    </row>
    <row r="64" spans="1:8" ht="12.75" customHeight="1" x14ac:dyDescent="0.2">
      <c r="A64">
        <f>+MAX($A$7:A63)+1</f>
        <v>56</v>
      </c>
      <c r="B64" t="s">
        <v>207</v>
      </c>
      <c r="C64" t="s">
        <v>77</v>
      </c>
      <c r="D64" t="s">
        <v>28</v>
      </c>
      <c r="E64" s="28">
        <v>54900</v>
      </c>
      <c r="F64" s="13">
        <v>139.33619999999999</v>
      </c>
      <c r="G64" s="14">
        <f t="shared" si="2"/>
        <v>7.4999999999999997E-3</v>
      </c>
      <c r="H64" s="15"/>
    </row>
    <row r="65" spans="1:11" ht="12.75" customHeight="1" x14ac:dyDescent="0.2">
      <c r="A65">
        <f>+MAX($A$7:A64)+1</f>
        <v>57</v>
      </c>
      <c r="B65" t="s">
        <v>292</v>
      </c>
      <c r="C65" t="s">
        <v>293</v>
      </c>
      <c r="D65" t="s">
        <v>19</v>
      </c>
      <c r="E65" s="28">
        <v>105900</v>
      </c>
      <c r="F65" s="13">
        <v>136.66395</v>
      </c>
      <c r="G65" s="14">
        <f t="shared" ref="G65:G67" si="3">+ROUND(F65/VLOOKUP("Grand Total",$B$4:$F$306,5,0),4)</f>
        <v>7.3000000000000001E-3</v>
      </c>
      <c r="H65" s="15"/>
    </row>
    <row r="66" spans="1:11" ht="12.75" customHeight="1" x14ac:dyDescent="0.2">
      <c r="A66">
        <f>+MAX($A$7:A65)+1</f>
        <v>58</v>
      </c>
      <c r="B66" t="s">
        <v>485</v>
      </c>
      <c r="C66" t="s">
        <v>486</v>
      </c>
      <c r="D66" t="s">
        <v>101</v>
      </c>
      <c r="E66" s="28">
        <v>141300</v>
      </c>
      <c r="F66" s="13">
        <v>108.3771</v>
      </c>
      <c r="G66" s="14">
        <f t="shared" si="3"/>
        <v>5.7999999999999996E-3</v>
      </c>
      <c r="H66" s="15"/>
    </row>
    <row r="67" spans="1:11" ht="12.75" customHeight="1" x14ac:dyDescent="0.2">
      <c r="A67">
        <f>+MAX($A$7:A66)+1</f>
        <v>59</v>
      </c>
      <c r="B67" t="s">
        <v>678</v>
      </c>
      <c r="C67" t="s">
        <v>679</v>
      </c>
      <c r="D67" t="s">
        <v>135</v>
      </c>
      <c r="E67" s="28">
        <v>3285</v>
      </c>
      <c r="F67" s="13">
        <v>54.826650000000001</v>
      </c>
      <c r="G67" s="14">
        <f t="shared" si="3"/>
        <v>2.8999999999999998E-3</v>
      </c>
      <c r="H67" s="15"/>
    </row>
    <row r="68" spans="1:11" ht="12.75" customHeight="1" x14ac:dyDescent="0.2">
      <c r="A68">
        <f>+MAX($A$7:A67)+1</f>
        <v>60</v>
      </c>
      <c r="B68" t="s">
        <v>375</v>
      </c>
      <c r="C68" s="120" t="s">
        <v>787</v>
      </c>
      <c r="D68" t="s">
        <v>36</v>
      </c>
      <c r="E68" s="28">
        <v>16500</v>
      </c>
      <c r="F68" s="13">
        <v>0</v>
      </c>
      <c r="G68" s="107" t="s">
        <v>430</v>
      </c>
      <c r="H68" s="15"/>
    </row>
    <row r="69" spans="1:11" ht="12.75" customHeight="1" x14ac:dyDescent="0.2">
      <c r="B69" s="18" t="s">
        <v>82</v>
      </c>
      <c r="C69" s="18"/>
      <c r="D69" s="18"/>
      <c r="E69" s="29"/>
      <c r="F69" s="19">
        <f>SUM(F9:F68)</f>
        <v>17623.6552285</v>
      </c>
      <c r="G69" s="20">
        <f>SUM(G9:G68)</f>
        <v>0.94279999999999997</v>
      </c>
      <c r="H69" s="21"/>
      <c r="I69" s="49"/>
    </row>
    <row r="70" spans="1:11" ht="12.75" customHeight="1" x14ac:dyDescent="0.2">
      <c r="F70" s="13"/>
      <c r="G70" s="14"/>
      <c r="H70" s="15"/>
    </row>
    <row r="71" spans="1:11" ht="12.75" customHeight="1" x14ac:dyDescent="0.2">
      <c r="B71" s="16" t="s">
        <v>265</v>
      </c>
      <c r="C71" s="16"/>
      <c r="F71" s="13"/>
      <c r="G71" s="14"/>
      <c r="H71" s="15"/>
      <c r="J71" s="65"/>
    </row>
    <row r="72" spans="1:11" ht="12.75" customHeight="1" x14ac:dyDescent="0.2">
      <c r="A72">
        <f>+MAX($A$8:A71)+1</f>
        <v>61</v>
      </c>
      <c r="B72" s="65" t="s">
        <v>558</v>
      </c>
      <c r="C72" s="120" t="s">
        <v>787</v>
      </c>
      <c r="D72" t="s">
        <v>24</v>
      </c>
      <c r="E72" s="28">
        <v>50000</v>
      </c>
      <c r="F72" s="13">
        <v>0</v>
      </c>
      <c r="G72" s="107" t="s">
        <v>430</v>
      </c>
      <c r="H72" s="15"/>
    </row>
    <row r="73" spans="1:11" ht="12.75" customHeight="1" x14ac:dyDescent="0.2">
      <c r="A73">
        <f>+MAX($A$8:A72)+1</f>
        <v>62</v>
      </c>
      <c r="B73" s="65" t="s">
        <v>555</v>
      </c>
      <c r="C73" s="120" t="s">
        <v>787</v>
      </c>
      <c r="D73" t="s">
        <v>22</v>
      </c>
      <c r="E73" s="28">
        <v>20</v>
      </c>
      <c r="F73" s="13">
        <v>0</v>
      </c>
      <c r="G73" s="107" t="s">
        <v>430</v>
      </c>
      <c r="H73" s="15"/>
    </row>
    <row r="74" spans="1:11" ht="12.75" customHeight="1" x14ac:dyDescent="0.2">
      <c r="A74">
        <f>+MAX($A$8:A73)+1</f>
        <v>63</v>
      </c>
      <c r="B74" s="65" t="s">
        <v>556</v>
      </c>
      <c r="C74" t="s">
        <v>132</v>
      </c>
      <c r="D74" t="s">
        <v>32</v>
      </c>
      <c r="E74" s="28">
        <v>50000</v>
      </c>
      <c r="F74" s="13">
        <v>0</v>
      </c>
      <c r="G74" s="107" t="s">
        <v>430</v>
      </c>
      <c r="H74" s="15"/>
    </row>
    <row r="75" spans="1:11" ht="12.75" customHeight="1" x14ac:dyDescent="0.2">
      <c r="A75">
        <f>+MAX($A$8:A74)+1</f>
        <v>64</v>
      </c>
      <c r="B75" s="65" t="s">
        <v>554</v>
      </c>
      <c r="C75" s="120" t="s">
        <v>787</v>
      </c>
      <c r="D75" t="s">
        <v>30</v>
      </c>
      <c r="E75" s="28">
        <v>900</v>
      </c>
      <c r="F75" s="13">
        <v>0</v>
      </c>
      <c r="G75" s="107" t="s">
        <v>430</v>
      </c>
      <c r="H75" s="15"/>
    </row>
    <row r="76" spans="1:11" ht="12.75" customHeight="1" x14ac:dyDescent="0.2">
      <c r="A76">
        <f>+MAX($A$8:A75)+1</f>
        <v>65</v>
      </c>
      <c r="B76" s="65" t="s">
        <v>557</v>
      </c>
      <c r="C76" s="120" t="s">
        <v>787</v>
      </c>
      <c r="D76" t="s">
        <v>26</v>
      </c>
      <c r="E76" s="28">
        <v>200000</v>
      </c>
      <c r="F76" s="13">
        <v>0</v>
      </c>
      <c r="G76" s="107" t="s">
        <v>430</v>
      </c>
      <c r="H76" s="15"/>
    </row>
    <row r="77" spans="1:11" ht="12.75" customHeight="1" x14ac:dyDescent="0.2">
      <c r="B77" s="18" t="s">
        <v>82</v>
      </c>
      <c r="C77" s="18"/>
      <c r="D77" s="18"/>
      <c r="E77" s="29"/>
      <c r="F77" s="19">
        <f>SUM(F72:F76)</f>
        <v>0</v>
      </c>
      <c r="G77" s="51" t="s">
        <v>430</v>
      </c>
      <c r="H77" s="21"/>
      <c r="I77" s="49"/>
    </row>
    <row r="78" spans="1:11" ht="12.75" customHeight="1" x14ac:dyDescent="0.2">
      <c r="F78" s="13"/>
      <c r="G78" s="14"/>
      <c r="H78" s="15"/>
      <c r="J78" s="46"/>
      <c r="K78" s="48"/>
    </row>
    <row r="79" spans="1:11" ht="12.75" customHeight="1" x14ac:dyDescent="0.2">
      <c r="B79" s="16" t="s">
        <v>88</v>
      </c>
      <c r="F79" s="13"/>
      <c r="G79" s="14"/>
      <c r="H79" s="15"/>
      <c r="J79" s="46"/>
      <c r="K79" s="48"/>
    </row>
    <row r="80" spans="1:11" ht="12.75" customHeight="1" x14ac:dyDescent="0.2">
      <c r="B80" s="16" t="s">
        <v>153</v>
      </c>
      <c r="C80" s="16"/>
      <c r="F80" s="13"/>
      <c r="G80" s="14"/>
      <c r="H80" s="15"/>
      <c r="I80" s="73"/>
    </row>
    <row r="81" spans="1:12" ht="12.75" customHeight="1" x14ac:dyDescent="0.2">
      <c r="A81">
        <f>+MAX($A$8:A80)+1</f>
        <v>66</v>
      </c>
      <c r="B81" t="s">
        <v>450</v>
      </c>
      <c r="C81" s="120" t="s">
        <v>672</v>
      </c>
      <c r="D81" t="s">
        <v>345</v>
      </c>
      <c r="E81" s="28">
        <v>10000</v>
      </c>
      <c r="F81" s="13">
        <v>9.8632000000000009</v>
      </c>
      <c r="G81" s="14">
        <f>+ROUND(F81/VLOOKUP("Grand Total",$B$4:$F$297,5,0),4)</f>
        <v>5.0000000000000001E-4</v>
      </c>
      <c r="H81" s="15">
        <v>43419</v>
      </c>
      <c r="I81" s="73"/>
    </row>
    <row r="82" spans="1:12" ht="12.75" customHeight="1" x14ac:dyDescent="0.2">
      <c r="B82" s="18" t="s">
        <v>82</v>
      </c>
      <c r="C82" s="18"/>
      <c r="D82" s="18"/>
      <c r="E82" s="29"/>
      <c r="F82" s="19">
        <f>SUM(F81)</f>
        <v>9.8632000000000009</v>
      </c>
      <c r="G82" s="20">
        <f>SUM(G81)</f>
        <v>5.0000000000000001E-4</v>
      </c>
      <c r="H82" s="21"/>
      <c r="I82" s="35"/>
    </row>
    <row r="83" spans="1:12" ht="12.75" customHeight="1" x14ac:dyDescent="0.2">
      <c r="F83" s="13"/>
      <c r="G83" s="14"/>
      <c r="H83" s="15"/>
      <c r="J83" s="46"/>
      <c r="K83" s="48"/>
    </row>
    <row r="84" spans="1:12" ht="12.75" customHeight="1" x14ac:dyDescent="0.2">
      <c r="B84" s="16" t="s">
        <v>89</v>
      </c>
      <c r="C84" s="16"/>
      <c r="F84" s="13"/>
      <c r="G84" s="14"/>
      <c r="H84" s="15"/>
      <c r="I84" s="73"/>
    </row>
    <row r="85" spans="1:12" ht="12.75" customHeight="1" x14ac:dyDescent="0.2">
      <c r="A85">
        <f>+MAX($A$8:A84)+1</f>
        <v>67</v>
      </c>
      <c r="B85" t="s">
        <v>368</v>
      </c>
      <c r="C85" t="s">
        <v>299</v>
      </c>
      <c r="D85" t="s">
        <v>279</v>
      </c>
      <c r="E85" s="28">
        <v>1317.8731</v>
      </c>
      <c r="F85" s="13">
        <v>22.9015059</v>
      </c>
      <c r="G85" s="14">
        <f>+ROUND(F85/VLOOKUP("Grand Total",$B$4:$F$297,5,0),4)</f>
        <v>1.1999999999999999E-3</v>
      </c>
      <c r="H85" s="15" t="s">
        <v>313</v>
      </c>
      <c r="I85" s="73"/>
    </row>
    <row r="86" spans="1:12" ht="12.75" customHeight="1" x14ac:dyDescent="0.2">
      <c r="B86" s="18" t="s">
        <v>82</v>
      </c>
      <c r="C86" s="18"/>
      <c r="D86" s="18"/>
      <c r="E86" s="29"/>
      <c r="F86" s="19">
        <f>SUM(F85)</f>
        <v>22.9015059</v>
      </c>
      <c r="G86" s="20">
        <f>SUM(G85)</f>
        <v>1.1999999999999999E-3</v>
      </c>
      <c r="H86" s="21"/>
      <c r="I86" s="35"/>
    </row>
    <row r="87" spans="1:12" s="46" customFormat="1" ht="12.75" customHeight="1" x14ac:dyDescent="0.2">
      <c r="B87" s="67"/>
      <c r="C87" s="67"/>
      <c r="D87" s="67"/>
      <c r="E87" s="68"/>
      <c r="F87" s="69"/>
      <c r="G87" s="70"/>
      <c r="H87" s="35"/>
      <c r="I87" s="35"/>
      <c r="K87" s="48"/>
      <c r="L87"/>
    </row>
    <row r="88" spans="1:12" ht="12.75" customHeight="1" x14ac:dyDescent="0.2">
      <c r="B88" s="16" t="s">
        <v>91</v>
      </c>
      <c r="C88" s="16"/>
      <c r="F88" s="13"/>
      <c r="G88" s="14"/>
      <c r="H88" s="15"/>
    </row>
    <row r="89" spans="1:12" ht="12.75" customHeight="1" x14ac:dyDescent="0.2">
      <c r="A89" s="94" t="s">
        <v>312</v>
      </c>
      <c r="B89" s="16" t="s">
        <v>633</v>
      </c>
      <c r="C89" s="16"/>
      <c r="F89" s="13">
        <v>1548.3232330000001</v>
      </c>
      <c r="G89" s="14">
        <f>+ROUND(F89/VLOOKUP("Grand Total",$B$4:$F$306,5,0),4)</f>
        <v>8.2799999999999999E-2</v>
      </c>
      <c r="H89" s="15">
        <v>43346</v>
      </c>
      <c r="L89" s="46"/>
    </row>
    <row r="90" spans="1:12" ht="12.75" customHeight="1" x14ac:dyDescent="0.2">
      <c r="B90" s="16" t="s">
        <v>92</v>
      </c>
      <c r="C90" s="16"/>
      <c r="F90" s="13">
        <v>-512.73564289999922</v>
      </c>
      <c r="G90" s="14">
        <f>+ROUND(F90/VLOOKUP("Grand Total",$B$4:$F$306,5,0),4)+0.01%</f>
        <v>-2.7300000000000001E-2</v>
      </c>
      <c r="H90" s="15"/>
    </row>
    <row r="91" spans="1:12" ht="12.75" customHeight="1" x14ac:dyDescent="0.2">
      <c r="B91" s="18" t="s">
        <v>82</v>
      </c>
      <c r="C91" s="18"/>
      <c r="D91" s="18"/>
      <c r="E91" s="29"/>
      <c r="F91" s="19">
        <f>SUM(F89:F90)</f>
        <v>1035.5875901000009</v>
      </c>
      <c r="G91" s="20">
        <f>SUM(G89:G90)</f>
        <v>5.5499999999999994E-2</v>
      </c>
      <c r="H91" s="21"/>
      <c r="I91" s="49"/>
    </row>
    <row r="92" spans="1:12" ht="12.75" customHeight="1" x14ac:dyDescent="0.2">
      <c r="B92" s="22" t="s">
        <v>93</v>
      </c>
      <c r="C92" s="22"/>
      <c r="D92" s="22"/>
      <c r="E92" s="30"/>
      <c r="F92" s="23">
        <f>+SUMIF($B$5:B91,"Total",$F$5:F91)</f>
        <v>18692.007524500001</v>
      </c>
      <c r="G92" s="24">
        <f>+SUMIF($B$5:B91,"Total",$G$5:G91)</f>
        <v>0.99999999999999989</v>
      </c>
      <c r="H92" s="25"/>
      <c r="I92" s="49"/>
    </row>
    <row r="93" spans="1:12" ht="12.75" customHeight="1" x14ac:dyDescent="0.2">
      <c r="F93" s="13"/>
    </row>
    <row r="94" spans="1:12" ht="12.75" customHeight="1" x14ac:dyDescent="0.2">
      <c r="B94" s="16" t="s">
        <v>166</v>
      </c>
    </row>
    <row r="95" spans="1:12" ht="12.75" customHeight="1" x14ac:dyDescent="0.2">
      <c r="B95" s="16" t="s">
        <v>167</v>
      </c>
      <c r="C95" s="16"/>
    </row>
    <row r="96" spans="1:12" ht="12.75" customHeight="1" x14ac:dyDescent="0.2">
      <c r="B96" s="16" t="s">
        <v>168</v>
      </c>
      <c r="C96" s="16"/>
    </row>
    <row r="97" spans="2:3" ht="12.75" customHeight="1" x14ac:dyDescent="0.2">
      <c r="B97" s="16" t="s">
        <v>169</v>
      </c>
      <c r="C97" s="16"/>
    </row>
    <row r="98" spans="2:3" ht="12.75" customHeight="1" x14ac:dyDescent="0.2">
      <c r="B98" s="53"/>
      <c r="C98" s="16"/>
    </row>
    <row r="99" spans="2:3" ht="12.75" customHeight="1" x14ac:dyDescent="0.2">
      <c r="B99" s="16"/>
    </row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</sheetData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3" t="s">
        <v>317</v>
      </c>
      <c r="B1" s="128" t="s">
        <v>737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t="s">
        <v>181</v>
      </c>
      <c r="C9" t="s">
        <v>46</v>
      </c>
      <c r="D9" t="s">
        <v>24</v>
      </c>
      <c r="E9" s="28">
        <v>78900</v>
      </c>
      <c r="F9" s="13">
        <v>5315.2957500000002</v>
      </c>
      <c r="G9" s="14">
        <f t="shared" ref="G9:G40" si="0">+ROUND(F9/VLOOKUP("Grand Total",$B$4:$F$299,5,0),4)</f>
        <v>2.63E-2</v>
      </c>
      <c r="H9" s="15"/>
      <c r="J9" s="14" t="s">
        <v>9</v>
      </c>
      <c r="K9" s="48">
        <f t="shared" ref="K9:K42" si="1">SUMIFS($G$5:$G$331,$D$5:$D$331,J9)</f>
        <v>0.12229999999999999</v>
      </c>
    </row>
    <row r="10" spans="1:16" s="65" customFormat="1" ht="12.75" customHeight="1" x14ac:dyDescent="0.2">
      <c r="A10">
        <f>+MAX($A$8:A9)+1</f>
        <v>2</v>
      </c>
      <c r="B10" s="65" t="s">
        <v>239</v>
      </c>
      <c r="C10" s="65" t="s">
        <v>134</v>
      </c>
      <c r="D10" s="65" t="s">
        <v>19</v>
      </c>
      <c r="E10" s="84">
        <v>16989</v>
      </c>
      <c r="F10" s="85">
        <v>4767.0709274999999</v>
      </c>
      <c r="G10" s="14">
        <f t="shared" si="0"/>
        <v>2.3599999999999999E-2</v>
      </c>
      <c r="H10" s="90"/>
      <c r="I10" s="73"/>
      <c r="J10" s="14" t="s">
        <v>22</v>
      </c>
      <c r="K10" s="48">
        <f t="shared" si="1"/>
        <v>8.5900000000000004E-2</v>
      </c>
    </row>
    <row r="11" spans="1:16" ht="12.75" customHeight="1" x14ac:dyDescent="0.2">
      <c r="A11">
        <f>+MAX($A$8:A10)+1</f>
        <v>3</v>
      </c>
      <c r="B11" t="s">
        <v>241</v>
      </c>
      <c r="C11" t="s">
        <v>307</v>
      </c>
      <c r="D11" t="s">
        <v>22</v>
      </c>
      <c r="E11" s="28">
        <v>144900</v>
      </c>
      <c r="F11" s="13">
        <v>4139.2133999999996</v>
      </c>
      <c r="G11" s="14">
        <f t="shared" si="0"/>
        <v>2.0500000000000001E-2</v>
      </c>
      <c r="H11" s="15"/>
      <c r="J11" s="14" t="s">
        <v>24</v>
      </c>
      <c r="K11" s="48">
        <f t="shared" si="1"/>
        <v>8.0800000000000011E-2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249</v>
      </c>
      <c r="C12" t="s">
        <v>146</v>
      </c>
      <c r="D12" t="s">
        <v>39</v>
      </c>
      <c r="E12" s="28">
        <v>234000</v>
      </c>
      <c r="F12" s="13">
        <v>4115.4750000000004</v>
      </c>
      <c r="G12" s="14">
        <f t="shared" si="0"/>
        <v>2.0400000000000001E-2</v>
      </c>
      <c r="H12" s="15"/>
      <c r="J12" s="14" t="s">
        <v>13</v>
      </c>
      <c r="K12" s="48">
        <f t="shared" si="1"/>
        <v>7.4199999999999988E-2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172</v>
      </c>
      <c r="C13" t="s">
        <v>29</v>
      </c>
      <c r="D13" t="s">
        <v>28</v>
      </c>
      <c r="E13" s="28">
        <v>324000</v>
      </c>
      <c r="F13" s="13">
        <v>4022.9459999999999</v>
      </c>
      <c r="G13" s="14">
        <f t="shared" si="0"/>
        <v>1.9900000000000001E-2</v>
      </c>
      <c r="H13" s="15"/>
      <c r="J13" s="14" t="s">
        <v>39</v>
      </c>
      <c r="K13" s="48">
        <f t="shared" si="1"/>
        <v>6.3899999999999998E-2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173</v>
      </c>
      <c r="C14" t="s">
        <v>10</v>
      </c>
      <c r="D14" t="s">
        <v>9</v>
      </c>
      <c r="E14" s="28">
        <v>1126800</v>
      </c>
      <c r="F14" s="13">
        <v>3860.4168</v>
      </c>
      <c r="G14" s="14">
        <f t="shared" si="0"/>
        <v>1.9099999999999999E-2</v>
      </c>
      <c r="H14" s="15"/>
      <c r="J14" s="14" t="s">
        <v>36</v>
      </c>
      <c r="K14" s="48">
        <f t="shared" si="1"/>
        <v>5.6800000000000003E-2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170</v>
      </c>
      <c r="C15" t="s">
        <v>12</v>
      </c>
      <c r="D15" t="s">
        <v>9</v>
      </c>
      <c r="E15" s="28">
        <v>183900</v>
      </c>
      <c r="F15" s="13">
        <v>3790.5468000000001</v>
      </c>
      <c r="G15" s="14">
        <f t="shared" si="0"/>
        <v>1.8700000000000001E-2</v>
      </c>
      <c r="H15" s="15"/>
      <c r="J15" s="14" t="s">
        <v>126</v>
      </c>
      <c r="K15" s="48">
        <f t="shared" si="1"/>
        <v>5.4900000000000004E-2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194</v>
      </c>
      <c r="C16" t="s">
        <v>18</v>
      </c>
      <c r="D16" t="s">
        <v>13</v>
      </c>
      <c r="E16" s="28">
        <v>174900</v>
      </c>
      <c r="F16" s="13">
        <v>3635.1215999999999</v>
      </c>
      <c r="G16" s="14">
        <f t="shared" si="0"/>
        <v>1.7999999999999999E-2</v>
      </c>
      <c r="H16" s="15"/>
      <c r="J16" s="14" t="s">
        <v>21</v>
      </c>
      <c r="K16" s="48">
        <f t="shared" si="1"/>
        <v>5.3899999999999997E-2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260</v>
      </c>
      <c r="C17" t="s">
        <v>158</v>
      </c>
      <c r="D17" t="s">
        <v>36</v>
      </c>
      <c r="E17" s="28">
        <v>1215000</v>
      </c>
      <c r="F17" s="13">
        <v>3463.9650000000001</v>
      </c>
      <c r="G17" s="14">
        <f t="shared" si="0"/>
        <v>1.7100000000000001E-2</v>
      </c>
      <c r="H17" s="15"/>
      <c r="J17" s="14" t="s">
        <v>135</v>
      </c>
      <c r="K17" s="48">
        <f t="shared" si="1"/>
        <v>4.36E-2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240</v>
      </c>
      <c r="C18" t="s">
        <v>136</v>
      </c>
      <c r="D18" t="s">
        <v>21</v>
      </c>
      <c r="E18" s="28">
        <v>186900</v>
      </c>
      <c r="F18" s="13">
        <v>3388.1232</v>
      </c>
      <c r="G18" s="14">
        <f t="shared" si="0"/>
        <v>1.6799999999999999E-2</v>
      </c>
      <c r="H18" s="15"/>
      <c r="J18" s="14" t="s">
        <v>17</v>
      </c>
      <c r="K18" s="48">
        <f t="shared" si="1"/>
        <v>3.6400000000000002E-2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400</v>
      </c>
      <c r="C19" t="s">
        <v>401</v>
      </c>
      <c r="D19" t="s">
        <v>13</v>
      </c>
      <c r="E19" s="28">
        <v>177000</v>
      </c>
      <c r="F19" s="13">
        <v>3118.1205</v>
      </c>
      <c r="G19" s="14">
        <f t="shared" si="0"/>
        <v>1.54E-2</v>
      </c>
      <c r="H19" s="15"/>
      <c r="J19" s="14" t="s">
        <v>19</v>
      </c>
      <c r="K19" s="48">
        <f t="shared" si="1"/>
        <v>3.49E-2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171</v>
      </c>
      <c r="C20" t="s">
        <v>14</v>
      </c>
      <c r="D20" t="s">
        <v>13</v>
      </c>
      <c r="E20" s="28">
        <v>216108</v>
      </c>
      <c r="F20" s="13">
        <v>3114.3323880000003</v>
      </c>
      <c r="G20" s="14">
        <f t="shared" si="0"/>
        <v>1.54E-2</v>
      </c>
      <c r="H20" s="15"/>
      <c r="J20" s="14" t="s">
        <v>45</v>
      </c>
      <c r="K20" s="48">
        <f t="shared" si="1"/>
        <v>3.3699999999999994E-2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212</v>
      </c>
      <c r="C21" t="s">
        <v>99</v>
      </c>
      <c r="D21" t="s">
        <v>9</v>
      </c>
      <c r="E21" s="28">
        <v>159900</v>
      </c>
      <c r="F21" s="13">
        <v>3048.6534000000001</v>
      </c>
      <c r="G21" s="14">
        <f t="shared" si="0"/>
        <v>1.5100000000000001E-2</v>
      </c>
      <c r="H21" s="15"/>
      <c r="J21" s="14" t="s">
        <v>26</v>
      </c>
      <c r="K21" s="48">
        <f t="shared" si="1"/>
        <v>2.18E-2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484</v>
      </c>
      <c r="C22" t="s">
        <v>121</v>
      </c>
      <c r="D22" t="s">
        <v>17</v>
      </c>
      <c r="E22" s="28">
        <v>15708</v>
      </c>
      <c r="F22" s="13">
        <v>2972.8646639999997</v>
      </c>
      <c r="G22" s="14">
        <f t="shared" si="0"/>
        <v>1.47E-2</v>
      </c>
      <c r="H22" s="15"/>
      <c r="J22" s="14" t="s">
        <v>35</v>
      </c>
      <c r="K22" s="48">
        <f t="shared" si="1"/>
        <v>2.1100000000000001E-2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238</v>
      </c>
      <c r="C23" t="s">
        <v>79</v>
      </c>
      <c r="D23" t="s">
        <v>13</v>
      </c>
      <c r="E23" s="28">
        <v>399900</v>
      </c>
      <c r="F23" s="13">
        <v>2914.8710999999998</v>
      </c>
      <c r="G23" s="14">
        <f t="shared" si="0"/>
        <v>1.44E-2</v>
      </c>
      <c r="H23" s="15"/>
      <c r="J23" s="14" t="s">
        <v>28</v>
      </c>
      <c r="K23" s="48">
        <f t="shared" si="1"/>
        <v>1.9900000000000001E-2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190</v>
      </c>
      <c r="C24" t="s">
        <v>94</v>
      </c>
      <c r="D24" t="s">
        <v>9</v>
      </c>
      <c r="E24" s="28">
        <v>219900</v>
      </c>
      <c r="F24" s="13">
        <v>2830.66275</v>
      </c>
      <c r="G24" s="14">
        <f t="shared" si="0"/>
        <v>1.4E-2</v>
      </c>
      <c r="H24" s="15"/>
      <c r="J24" s="14" t="s">
        <v>98</v>
      </c>
      <c r="K24" s="48">
        <f t="shared" si="1"/>
        <v>1.8099999999999998E-2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233</v>
      </c>
      <c r="C25" t="s">
        <v>127</v>
      </c>
      <c r="D25" t="s">
        <v>17</v>
      </c>
      <c r="E25" s="28">
        <v>105108</v>
      </c>
      <c r="F25" s="13">
        <v>2757.5083800000002</v>
      </c>
      <c r="G25" s="14">
        <f t="shared" si="0"/>
        <v>1.3599999999999999E-2</v>
      </c>
      <c r="H25" s="15"/>
      <c r="J25" s="14" t="s">
        <v>41</v>
      </c>
      <c r="K25" s="48">
        <f t="shared" si="1"/>
        <v>1.7299999999999999E-2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242</v>
      </c>
      <c r="C26" t="s">
        <v>137</v>
      </c>
      <c r="D26" t="s">
        <v>36</v>
      </c>
      <c r="E26" s="28">
        <v>3678</v>
      </c>
      <c r="F26" s="13">
        <v>2722.703865</v>
      </c>
      <c r="G26" s="14">
        <f t="shared" si="0"/>
        <v>1.35E-2</v>
      </c>
      <c r="H26" s="15"/>
      <c r="J26" s="14" t="s">
        <v>30</v>
      </c>
      <c r="K26" s="48">
        <f t="shared" si="1"/>
        <v>1.72E-2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179</v>
      </c>
      <c r="C27" t="s">
        <v>44</v>
      </c>
      <c r="D27" t="s">
        <v>24</v>
      </c>
      <c r="E27" s="28">
        <v>849000</v>
      </c>
      <c r="F27" s="13">
        <v>2715.5264999999999</v>
      </c>
      <c r="G27" s="14">
        <f t="shared" si="0"/>
        <v>1.34E-2</v>
      </c>
      <c r="H27" s="15"/>
      <c r="J27" s="14" t="s">
        <v>101</v>
      </c>
      <c r="K27" s="48">
        <f t="shared" si="1"/>
        <v>1.6E-2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416</v>
      </c>
      <c r="C28" t="s">
        <v>417</v>
      </c>
      <c r="D28" t="s">
        <v>22</v>
      </c>
      <c r="E28" s="28">
        <v>39990</v>
      </c>
      <c r="F28" s="13">
        <v>2698.4452200000001</v>
      </c>
      <c r="G28" s="14">
        <f t="shared" si="0"/>
        <v>1.3299999999999999E-2</v>
      </c>
      <c r="H28" s="15"/>
      <c r="J28" s="14" t="s">
        <v>102</v>
      </c>
      <c r="K28" s="48">
        <f t="shared" si="1"/>
        <v>1.18E-2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244</v>
      </c>
      <c r="C29" t="s">
        <v>141</v>
      </c>
      <c r="D29" t="s">
        <v>26</v>
      </c>
      <c r="E29" s="28">
        <v>436800</v>
      </c>
      <c r="F29" s="13">
        <v>2685.4463999999998</v>
      </c>
      <c r="G29" s="14">
        <f t="shared" si="0"/>
        <v>1.3299999999999999E-2</v>
      </c>
      <c r="H29" s="15"/>
      <c r="J29" s="14" t="s">
        <v>294</v>
      </c>
      <c r="K29" s="48">
        <f t="shared" si="1"/>
        <v>1.11E-2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251</v>
      </c>
      <c r="C30" t="s">
        <v>157</v>
      </c>
      <c r="D30" t="s">
        <v>45</v>
      </c>
      <c r="E30" s="28">
        <v>1080000</v>
      </c>
      <c r="F30" s="13">
        <v>2678.94</v>
      </c>
      <c r="G30" s="14">
        <f t="shared" si="0"/>
        <v>1.32E-2</v>
      </c>
      <c r="H30" s="15"/>
      <c r="J30" s="14" t="s">
        <v>425</v>
      </c>
      <c r="K30" s="48">
        <f t="shared" si="1"/>
        <v>1.04E-2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247</v>
      </c>
      <c r="C31" t="s">
        <v>144</v>
      </c>
      <c r="D31" t="s">
        <v>135</v>
      </c>
      <c r="E31" s="28">
        <v>246900</v>
      </c>
      <c r="F31" s="13">
        <v>2672.4456</v>
      </c>
      <c r="G31" s="14">
        <f t="shared" si="0"/>
        <v>1.32E-2</v>
      </c>
      <c r="H31" s="15"/>
      <c r="J31" s="14" t="s">
        <v>34</v>
      </c>
      <c r="K31" s="48">
        <f t="shared" si="1"/>
        <v>1.03E-2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15</v>
      </c>
      <c r="C32" t="s">
        <v>16</v>
      </c>
      <c r="D32" t="s">
        <v>9</v>
      </c>
      <c r="E32" s="28">
        <v>855900</v>
      </c>
      <c r="F32" s="13">
        <v>2649.8663999999999</v>
      </c>
      <c r="G32" s="14">
        <f t="shared" si="0"/>
        <v>1.3100000000000001E-2</v>
      </c>
      <c r="H32" s="15"/>
      <c r="J32" s="14" t="s">
        <v>565</v>
      </c>
      <c r="K32" s="48">
        <f t="shared" si="1"/>
        <v>9.5999999999999992E-3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610</v>
      </c>
      <c r="C33" t="s">
        <v>611</v>
      </c>
      <c r="D33" t="s">
        <v>24</v>
      </c>
      <c r="E33" s="28">
        <v>166560</v>
      </c>
      <c r="F33" s="13">
        <v>2580.5973600000002</v>
      </c>
      <c r="G33" s="14">
        <f t="shared" si="0"/>
        <v>1.2800000000000001E-2</v>
      </c>
      <c r="H33" s="15"/>
      <c r="J33" s="14" t="s">
        <v>395</v>
      </c>
      <c r="K33" s="48">
        <f t="shared" si="1"/>
        <v>9.4000000000000004E-3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205</v>
      </c>
      <c r="C34" t="s">
        <v>458</v>
      </c>
      <c r="D34" t="s">
        <v>45</v>
      </c>
      <c r="E34" s="28">
        <v>861900</v>
      </c>
      <c r="F34" s="13">
        <v>2502.9576000000002</v>
      </c>
      <c r="G34" s="14">
        <f t="shared" si="0"/>
        <v>1.24E-2</v>
      </c>
      <c r="H34" s="15"/>
      <c r="J34" s="14" t="s">
        <v>125</v>
      </c>
      <c r="K34" s="48">
        <f t="shared" si="1"/>
        <v>9.4000000000000004E-3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408</v>
      </c>
      <c r="C35" t="s">
        <v>409</v>
      </c>
      <c r="D35" t="s">
        <v>22</v>
      </c>
      <c r="E35" s="28">
        <v>510900</v>
      </c>
      <c r="F35" s="13">
        <v>2499.0673499999998</v>
      </c>
      <c r="G35" s="14">
        <f t="shared" si="0"/>
        <v>1.24E-2</v>
      </c>
      <c r="H35" s="15"/>
      <c r="J35" s="14" t="s">
        <v>43</v>
      </c>
      <c r="K35" s="48">
        <f t="shared" si="1"/>
        <v>8.6E-3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273</v>
      </c>
      <c r="C36" t="s">
        <v>404</v>
      </c>
      <c r="D36" t="s">
        <v>126</v>
      </c>
      <c r="E36" s="28">
        <v>357900</v>
      </c>
      <c r="F36" s="13">
        <v>2465.2152000000001</v>
      </c>
      <c r="G36" s="14">
        <f t="shared" si="0"/>
        <v>1.2200000000000001E-2</v>
      </c>
      <c r="H36" s="15"/>
      <c r="J36" s="14" t="s">
        <v>614</v>
      </c>
      <c r="K36" s="48">
        <f t="shared" si="1"/>
        <v>7.9000000000000008E-3</v>
      </c>
      <c r="L36" s="54">
        <f>+SUM($K$9:K33)</f>
        <v>0.93530000000000002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675</v>
      </c>
      <c r="C37" t="s">
        <v>638</v>
      </c>
      <c r="D37" t="s">
        <v>126</v>
      </c>
      <c r="E37" s="28">
        <v>234000</v>
      </c>
      <c r="F37" s="13">
        <v>2460.9780000000001</v>
      </c>
      <c r="G37" s="14">
        <f t="shared" si="0"/>
        <v>1.2200000000000001E-2</v>
      </c>
      <c r="H37" s="15"/>
      <c r="J37" s="14" t="s">
        <v>139</v>
      </c>
      <c r="K37" s="48">
        <f t="shared" si="1"/>
        <v>7.6E-3</v>
      </c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639</v>
      </c>
      <c r="C38" t="s">
        <v>640</v>
      </c>
      <c r="D38" t="s">
        <v>102</v>
      </c>
      <c r="E38" s="28">
        <v>1080000</v>
      </c>
      <c r="F38" s="13">
        <v>2384.1</v>
      </c>
      <c r="G38" s="14">
        <f t="shared" si="0"/>
        <v>1.18E-2</v>
      </c>
      <c r="H38" s="15"/>
      <c r="J38" s="14" t="s">
        <v>390</v>
      </c>
      <c r="K38" s="48">
        <f t="shared" si="1"/>
        <v>6.3E-3</v>
      </c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237</v>
      </c>
      <c r="C39" t="s">
        <v>131</v>
      </c>
      <c r="D39" t="s">
        <v>126</v>
      </c>
      <c r="E39" s="28">
        <v>309000</v>
      </c>
      <c r="F39" s="13">
        <v>2347.3184999999999</v>
      </c>
      <c r="G39" s="14">
        <f t="shared" si="0"/>
        <v>1.1599999999999999E-2</v>
      </c>
      <c r="H39" s="15"/>
      <c r="J39" t="s">
        <v>282</v>
      </c>
      <c r="K39" s="48">
        <f t="shared" si="1"/>
        <v>4.7000000000000002E-3</v>
      </c>
    </row>
    <row r="40" spans="1:16" ht="12.75" customHeight="1" x14ac:dyDescent="0.2">
      <c r="A40">
        <f>+MAX($A$8:A39)+1</f>
        <v>32</v>
      </c>
      <c r="B40" t="s">
        <v>426</v>
      </c>
      <c r="C40" t="s">
        <v>635</v>
      </c>
      <c r="D40" t="s">
        <v>35</v>
      </c>
      <c r="E40" s="28">
        <v>357216</v>
      </c>
      <c r="F40" s="13">
        <v>2328.5124959999998</v>
      </c>
      <c r="G40" s="14">
        <f t="shared" si="0"/>
        <v>1.15E-2</v>
      </c>
      <c r="H40" s="15"/>
      <c r="J40" s="14" t="s">
        <v>279</v>
      </c>
      <c r="K40" s="48">
        <f t="shared" si="1"/>
        <v>3.5000000000000001E-3</v>
      </c>
    </row>
    <row r="41" spans="1:16" ht="12.75" customHeight="1" x14ac:dyDescent="0.2">
      <c r="A41">
        <f>+MAX($A$8:A40)+1</f>
        <v>33</v>
      </c>
      <c r="B41" t="s">
        <v>180</v>
      </c>
      <c r="C41" t="s">
        <v>42</v>
      </c>
      <c r="D41" t="s">
        <v>22</v>
      </c>
      <c r="E41" s="28">
        <v>345600</v>
      </c>
      <c r="F41" s="13">
        <v>2307.3984</v>
      </c>
      <c r="G41" s="14">
        <f t="shared" ref="G41:G72" si="2">+ROUND(F41/VLOOKUP("Grand Total",$B$4:$F$299,5,0),4)</f>
        <v>1.14E-2</v>
      </c>
      <c r="H41" s="15"/>
      <c r="J41" s="14" t="s">
        <v>407</v>
      </c>
      <c r="K41" s="48">
        <f t="shared" si="1"/>
        <v>3.0000000000000001E-3</v>
      </c>
    </row>
    <row r="42" spans="1:16" ht="12.75" customHeight="1" x14ac:dyDescent="0.2">
      <c r="A42">
        <f>+MAX($A$8:A41)+1</f>
        <v>34</v>
      </c>
      <c r="B42" t="s">
        <v>211</v>
      </c>
      <c r="C42" t="s">
        <v>96</v>
      </c>
      <c r="D42" t="s">
        <v>19</v>
      </c>
      <c r="E42" s="28">
        <v>237000</v>
      </c>
      <c r="F42" s="13">
        <v>2287.761</v>
      </c>
      <c r="G42" s="14">
        <f t="shared" si="2"/>
        <v>1.1299999999999999E-2</v>
      </c>
      <c r="H42" s="15"/>
      <c r="J42" t="s">
        <v>345</v>
      </c>
      <c r="K42" s="48">
        <f t="shared" si="1"/>
        <v>2.0000000000000001E-4</v>
      </c>
    </row>
    <row r="43" spans="1:16" ht="12.75" customHeight="1" x14ac:dyDescent="0.2">
      <c r="A43">
        <f>+MAX($A$8:A42)+1</f>
        <v>35</v>
      </c>
      <c r="B43" t="s">
        <v>441</v>
      </c>
      <c r="C43" t="s">
        <v>442</v>
      </c>
      <c r="D43" t="s">
        <v>135</v>
      </c>
      <c r="E43" s="28">
        <v>75900</v>
      </c>
      <c r="F43" s="13">
        <v>2283.5273999999999</v>
      </c>
      <c r="G43" s="14">
        <f t="shared" si="2"/>
        <v>1.1299999999999999E-2</v>
      </c>
      <c r="H43" s="15"/>
      <c r="J43" s="14" t="s">
        <v>62</v>
      </c>
      <c r="K43" s="48">
        <f>+SUMIFS($G$5:$G$1002,$B$5:$B$1002,"CBLO / Reverse Repo")+SUMIFS($G$5:$G$1002,$B$5:$B$1002,"Net Receivable/Payable")</f>
        <v>1.3499999999999998E-2</v>
      </c>
    </row>
    <row r="44" spans="1:16" ht="12.75" customHeight="1" x14ac:dyDescent="0.2">
      <c r="A44">
        <f>+MAX($A$8:A43)+1</f>
        <v>36</v>
      </c>
      <c r="B44" t="s">
        <v>296</v>
      </c>
      <c r="C44" t="s">
        <v>145</v>
      </c>
      <c r="D44" t="s">
        <v>22</v>
      </c>
      <c r="E44" s="28">
        <v>194670</v>
      </c>
      <c r="F44" s="13">
        <v>2263.23342</v>
      </c>
      <c r="G44" s="14">
        <f t="shared" si="2"/>
        <v>1.12E-2</v>
      </c>
      <c r="H44" s="15"/>
    </row>
    <row r="45" spans="1:16" ht="12.75" customHeight="1" x14ac:dyDescent="0.2">
      <c r="A45">
        <f>+MAX($A$8:A44)+1</f>
        <v>37</v>
      </c>
      <c r="B45" t="s">
        <v>201</v>
      </c>
      <c r="C45" t="s">
        <v>68</v>
      </c>
      <c r="D45" t="s">
        <v>9</v>
      </c>
      <c r="E45" s="28">
        <v>2790000</v>
      </c>
      <c r="F45" s="13">
        <v>2262.69</v>
      </c>
      <c r="G45" s="14">
        <f t="shared" si="2"/>
        <v>1.12E-2</v>
      </c>
      <c r="H45" s="15"/>
    </row>
    <row r="46" spans="1:16" ht="12.75" customHeight="1" x14ac:dyDescent="0.2">
      <c r="A46">
        <f>+MAX($A$8:A45)+1</f>
        <v>38</v>
      </c>
      <c r="B46" t="s">
        <v>496</v>
      </c>
      <c r="C46" t="s">
        <v>497</v>
      </c>
      <c r="D46" t="s">
        <v>294</v>
      </c>
      <c r="E46" s="28">
        <v>621480</v>
      </c>
      <c r="F46" s="13">
        <v>2253.7972199999999</v>
      </c>
      <c r="G46" s="14">
        <f t="shared" si="2"/>
        <v>1.11E-2</v>
      </c>
      <c r="H46" s="15"/>
    </row>
    <row r="47" spans="1:16" ht="12.75" customHeight="1" x14ac:dyDescent="0.2">
      <c r="A47">
        <f>+MAX($A$8:A46)+1</f>
        <v>39</v>
      </c>
      <c r="B47" t="s">
        <v>502</v>
      </c>
      <c r="C47" t="s">
        <v>503</v>
      </c>
      <c r="D47" t="s">
        <v>9</v>
      </c>
      <c r="E47" s="28">
        <v>324108</v>
      </c>
      <c r="F47" s="13">
        <v>2251.902384</v>
      </c>
      <c r="G47" s="14">
        <f t="shared" si="2"/>
        <v>1.11E-2</v>
      </c>
      <c r="H47" s="15"/>
    </row>
    <row r="48" spans="1:16" ht="12.75" customHeight="1" x14ac:dyDescent="0.2">
      <c r="A48">
        <f>+MAX($A$8:A47)+1</f>
        <v>40</v>
      </c>
      <c r="B48" t="s">
        <v>680</v>
      </c>
      <c r="C48" t="s">
        <v>681</v>
      </c>
      <c r="D48" t="s">
        <v>13</v>
      </c>
      <c r="E48" s="28">
        <v>199890</v>
      </c>
      <c r="F48" s="13">
        <v>2228.1738300000002</v>
      </c>
      <c r="G48" s="14">
        <f t="shared" si="2"/>
        <v>1.0999999999999999E-2</v>
      </c>
      <c r="H48" s="15"/>
    </row>
    <row r="49" spans="1:8" ht="12.75" customHeight="1" x14ac:dyDescent="0.2">
      <c r="A49">
        <f>+MAX($A$8:A48)+1</f>
        <v>41</v>
      </c>
      <c r="B49" t="s">
        <v>566</v>
      </c>
      <c r="C49" t="s">
        <v>567</v>
      </c>
      <c r="D49" t="s">
        <v>135</v>
      </c>
      <c r="E49" s="28">
        <v>300900</v>
      </c>
      <c r="F49" s="13">
        <v>2182.2772500000001</v>
      </c>
      <c r="G49" s="14">
        <f t="shared" si="2"/>
        <v>1.0800000000000001E-2</v>
      </c>
      <c r="H49" s="15"/>
    </row>
    <row r="50" spans="1:8" ht="12.75" customHeight="1" x14ac:dyDescent="0.2">
      <c r="A50">
        <f>+MAX($A$8:A49)+1</f>
        <v>42</v>
      </c>
      <c r="B50" t="s">
        <v>454</v>
      </c>
      <c r="C50" t="s">
        <v>455</v>
      </c>
      <c r="D50" t="s">
        <v>24</v>
      </c>
      <c r="E50" s="28">
        <v>27900</v>
      </c>
      <c r="F50" s="13">
        <v>2149.8205499999999</v>
      </c>
      <c r="G50" s="14">
        <f t="shared" si="2"/>
        <v>1.06E-2</v>
      </c>
      <c r="H50" s="15"/>
    </row>
    <row r="51" spans="1:8" ht="12.75" customHeight="1" x14ac:dyDescent="0.2">
      <c r="A51">
        <f>+MAX($A$8:A50)+1</f>
        <v>43</v>
      </c>
      <c r="B51" t="s">
        <v>526</v>
      </c>
      <c r="C51" t="s">
        <v>527</v>
      </c>
      <c r="D51" t="s">
        <v>21</v>
      </c>
      <c r="E51" s="28">
        <v>525900</v>
      </c>
      <c r="F51" s="13">
        <v>2118.0622499999999</v>
      </c>
      <c r="G51" s="14">
        <f t="shared" si="2"/>
        <v>1.0500000000000001E-2</v>
      </c>
      <c r="H51" s="15"/>
    </row>
    <row r="52" spans="1:8" ht="12.75" customHeight="1" x14ac:dyDescent="0.2">
      <c r="A52">
        <f>+MAX($A$8:A51)+1</f>
        <v>44</v>
      </c>
      <c r="B52" t="s">
        <v>423</v>
      </c>
      <c r="C52" t="s">
        <v>424</v>
      </c>
      <c r="D52" t="s">
        <v>425</v>
      </c>
      <c r="E52" s="28">
        <v>196800</v>
      </c>
      <c r="F52" s="13">
        <v>2106.9407999999999</v>
      </c>
      <c r="G52" s="14">
        <f t="shared" si="2"/>
        <v>1.04E-2</v>
      </c>
      <c r="H52" s="15"/>
    </row>
    <row r="53" spans="1:8" ht="12.75" customHeight="1" x14ac:dyDescent="0.2">
      <c r="A53">
        <f>+MAX($A$8:A52)+1</f>
        <v>45</v>
      </c>
      <c r="B53" t="s">
        <v>489</v>
      </c>
      <c r="C53" t="s">
        <v>490</v>
      </c>
      <c r="D53" t="s">
        <v>34</v>
      </c>
      <c r="E53" s="28">
        <v>210090</v>
      </c>
      <c r="F53" s="13">
        <v>2092.28631</v>
      </c>
      <c r="G53" s="14">
        <f t="shared" si="2"/>
        <v>1.03E-2</v>
      </c>
      <c r="H53" s="15"/>
    </row>
    <row r="54" spans="1:8" ht="12.75" customHeight="1" x14ac:dyDescent="0.2">
      <c r="A54">
        <f>+MAX($A$8:A53)+1</f>
        <v>46</v>
      </c>
      <c r="B54" t="s">
        <v>248</v>
      </c>
      <c r="C54" t="s">
        <v>142</v>
      </c>
      <c r="D54" t="s">
        <v>126</v>
      </c>
      <c r="E54" s="28">
        <v>64680</v>
      </c>
      <c r="F54" s="13">
        <v>2090.65164</v>
      </c>
      <c r="G54" s="14">
        <f t="shared" si="2"/>
        <v>1.03E-2</v>
      </c>
      <c r="H54" s="15"/>
    </row>
    <row r="55" spans="1:8" ht="12.75" customHeight="1" x14ac:dyDescent="0.2">
      <c r="A55">
        <f>+MAX($A$8:A54)+1</f>
        <v>47</v>
      </c>
      <c r="B55" t="s">
        <v>191</v>
      </c>
      <c r="C55" t="s">
        <v>57</v>
      </c>
      <c r="D55" t="s">
        <v>21</v>
      </c>
      <c r="E55" s="28">
        <v>267900</v>
      </c>
      <c r="F55" s="13">
        <v>2088.8163</v>
      </c>
      <c r="G55" s="14">
        <f t="shared" si="2"/>
        <v>1.03E-2</v>
      </c>
      <c r="H55" s="15"/>
    </row>
    <row r="56" spans="1:8" ht="12.75" customHeight="1" x14ac:dyDescent="0.2">
      <c r="A56">
        <f>+MAX($A$8:A55)+1</f>
        <v>48</v>
      </c>
      <c r="B56" t="s">
        <v>439</v>
      </c>
      <c r="C56" t="s">
        <v>440</v>
      </c>
      <c r="D56" t="s">
        <v>39</v>
      </c>
      <c r="E56" s="28">
        <v>203400</v>
      </c>
      <c r="F56" s="13">
        <v>2060.442</v>
      </c>
      <c r="G56" s="14">
        <f t="shared" si="2"/>
        <v>1.0200000000000001E-2</v>
      </c>
      <c r="H56" s="15"/>
    </row>
    <row r="57" spans="1:8" ht="12.75" customHeight="1" x14ac:dyDescent="0.2">
      <c r="A57">
        <f>+MAX($A$8:A56)+1</f>
        <v>49</v>
      </c>
      <c r="B57" t="s">
        <v>188</v>
      </c>
      <c r="C57" t="s">
        <v>53</v>
      </c>
      <c r="D57" t="s">
        <v>41</v>
      </c>
      <c r="E57" s="28">
        <v>101208</v>
      </c>
      <c r="F57" s="13">
        <v>2046.8305919999998</v>
      </c>
      <c r="G57" s="14">
        <f t="shared" si="2"/>
        <v>1.01E-2</v>
      </c>
      <c r="H57" s="15"/>
    </row>
    <row r="58" spans="1:8" ht="12.75" customHeight="1" x14ac:dyDescent="0.2">
      <c r="A58">
        <f>+MAX($A$8:A57)+1</f>
        <v>50</v>
      </c>
      <c r="B58" t="s">
        <v>280</v>
      </c>
      <c r="C58" t="s">
        <v>281</v>
      </c>
      <c r="D58" t="s">
        <v>9</v>
      </c>
      <c r="E58" s="28">
        <v>999990</v>
      </c>
      <c r="F58" s="13">
        <v>2025.4797450000001</v>
      </c>
      <c r="G58" s="14">
        <f t="shared" si="2"/>
        <v>0.01</v>
      </c>
      <c r="H58" s="15"/>
    </row>
    <row r="59" spans="1:8" ht="12.75" customHeight="1" x14ac:dyDescent="0.2">
      <c r="A59">
        <f>+MAX($A$8:A58)+1</f>
        <v>51</v>
      </c>
      <c r="B59" t="s">
        <v>222</v>
      </c>
      <c r="C59" t="s">
        <v>431</v>
      </c>
      <c r="D59" t="s">
        <v>9</v>
      </c>
      <c r="E59" s="28">
        <v>589500</v>
      </c>
      <c r="F59" s="13">
        <v>2024.9324999999999</v>
      </c>
      <c r="G59" s="14">
        <f t="shared" si="2"/>
        <v>0.01</v>
      </c>
      <c r="H59" s="15"/>
    </row>
    <row r="60" spans="1:8" ht="12.75" customHeight="1" x14ac:dyDescent="0.2">
      <c r="A60">
        <f>+MAX($A$8:A59)+1</f>
        <v>52</v>
      </c>
      <c r="B60" t="s">
        <v>343</v>
      </c>
      <c r="C60" t="s">
        <v>344</v>
      </c>
      <c r="D60" t="s">
        <v>98</v>
      </c>
      <c r="E60" s="28">
        <v>147000</v>
      </c>
      <c r="F60" s="13">
        <v>2017.9425000000001</v>
      </c>
      <c r="G60" s="14">
        <f t="shared" si="2"/>
        <v>0.01</v>
      </c>
      <c r="H60" s="15"/>
    </row>
    <row r="61" spans="1:8" ht="12.75" customHeight="1" x14ac:dyDescent="0.2">
      <c r="A61">
        <f>+MAX($A$8:A60)+1</f>
        <v>53</v>
      </c>
      <c r="B61" t="s">
        <v>641</v>
      </c>
      <c r="C61" t="s">
        <v>642</v>
      </c>
      <c r="D61" t="s">
        <v>565</v>
      </c>
      <c r="E61" s="28">
        <v>349800</v>
      </c>
      <c r="F61" s="13">
        <v>1947.6864</v>
      </c>
      <c r="G61" s="14">
        <f t="shared" si="2"/>
        <v>9.5999999999999992E-3</v>
      </c>
      <c r="H61" s="15"/>
    </row>
    <row r="62" spans="1:8" ht="12.75" customHeight="1" x14ac:dyDescent="0.2">
      <c r="A62">
        <f>+MAX($A$8:A61)+1</f>
        <v>54</v>
      </c>
      <c r="B62" t="s">
        <v>304</v>
      </c>
      <c r="C62" t="s">
        <v>308</v>
      </c>
      <c r="D62" t="s">
        <v>35</v>
      </c>
      <c r="E62" s="28">
        <v>279000</v>
      </c>
      <c r="F62" s="13">
        <v>1946.7225000000001</v>
      </c>
      <c r="G62" s="14">
        <f t="shared" si="2"/>
        <v>9.5999999999999992E-3</v>
      </c>
      <c r="H62" s="15"/>
    </row>
    <row r="63" spans="1:8" ht="12.75" customHeight="1" x14ac:dyDescent="0.2">
      <c r="A63">
        <f>+MAX($A$8:A62)+1</f>
        <v>55</v>
      </c>
      <c r="B63" t="s">
        <v>250</v>
      </c>
      <c r="C63" t="s">
        <v>147</v>
      </c>
      <c r="D63" t="s">
        <v>125</v>
      </c>
      <c r="E63" s="28">
        <v>267000</v>
      </c>
      <c r="F63" s="13">
        <v>1909.8510000000001</v>
      </c>
      <c r="G63" s="14">
        <f t="shared" si="2"/>
        <v>9.4000000000000004E-3</v>
      </c>
      <c r="H63" s="15"/>
    </row>
    <row r="64" spans="1:8" ht="12.75" customHeight="1" x14ac:dyDescent="0.2">
      <c r="A64">
        <f>+MAX($A$8:A63)+1</f>
        <v>56</v>
      </c>
      <c r="B64" t="s">
        <v>189</v>
      </c>
      <c r="C64" t="s">
        <v>72</v>
      </c>
      <c r="D64" t="s">
        <v>395</v>
      </c>
      <c r="E64" s="28">
        <v>1389000</v>
      </c>
      <c r="F64" s="13">
        <v>1906.4024999999999</v>
      </c>
      <c r="G64" s="14">
        <f t="shared" si="2"/>
        <v>9.4000000000000004E-3</v>
      </c>
      <c r="H64" s="15"/>
    </row>
    <row r="65" spans="1:8" ht="12.75" customHeight="1" x14ac:dyDescent="0.2">
      <c r="A65">
        <f>+MAX($A$8:A64)+1</f>
        <v>57</v>
      </c>
      <c r="B65" t="s">
        <v>459</v>
      </c>
      <c r="C65" t="s">
        <v>460</v>
      </c>
      <c r="D65" t="s">
        <v>24</v>
      </c>
      <c r="E65" s="28">
        <v>604800</v>
      </c>
      <c r="F65" s="13">
        <v>1872.4608000000001</v>
      </c>
      <c r="G65" s="14">
        <f t="shared" si="2"/>
        <v>9.2999999999999992E-3</v>
      </c>
      <c r="H65" s="15"/>
    </row>
    <row r="66" spans="1:8" ht="12.75" customHeight="1" x14ac:dyDescent="0.2">
      <c r="A66">
        <f>+MAX($A$8:A65)+1</f>
        <v>58</v>
      </c>
      <c r="B66" t="s">
        <v>615</v>
      </c>
      <c r="C66" t="s">
        <v>616</v>
      </c>
      <c r="D66" t="s">
        <v>21</v>
      </c>
      <c r="E66" s="28">
        <v>300000</v>
      </c>
      <c r="F66" s="13">
        <v>1872</v>
      </c>
      <c r="G66" s="14">
        <f t="shared" si="2"/>
        <v>9.2999999999999992E-3</v>
      </c>
      <c r="H66" s="15"/>
    </row>
    <row r="67" spans="1:8" ht="12.75" customHeight="1" x14ac:dyDescent="0.2">
      <c r="A67">
        <f>+MAX($A$8:A66)+1</f>
        <v>59</v>
      </c>
      <c r="B67" t="s">
        <v>376</v>
      </c>
      <c r="C67" t="s">
        <v>377</v>
      </c>
      <c r="D67" t="s">
        <v>22</v>
      </c>
      <c r="E67" s="28">
        <v>456000</v>
      </c>
      <c r="F67" s="13">
        <v>1866.864</v>
      </c>
      <c r="G67" s="14">
        <f t="shared" si="2"/>
        <v>9.1999999999999998E-3</v>
      </c>
      <c r="H67" s="15"/>
    </row>
    <row r="68" spans="1:8" ht="12.75" customHeight="1" x14ac:dyDescent="0.2">
      <c r="A68">
        <f>+MAX($A$8:A67)+1</f>
        <v>60</v>
      </c>
      <c r="B68" t="s">
        <v>204</v>
      </c>
      <c r="C68" t="s">
        <v>75</v>
      </c>
      <c r="D68" t="s">
        <v>36</v>
      </c>
      <c r="E68" s="28">
        <v>609090</v>
      </c>
      <c r="F68" s="13">
        <v>1852.24269</v>
      </c>
      <c r="G68" s="14">
        <f t="shared" si="2"/>
        <v>9.1999999999999998E-3</v>
      </c>
      <c r="H68" s="15"/>
    </row>
    <row r="69" spans="1:8" ht="12.75" customHeight="1" x14ac:dyDescent="0.2">
      <c r="A69">
        <f>+MAX($A$8:A68)+1</f>
        <v>61</v>
      </c>
      <c r="B69" t="s">
        <v>291</v>
      </c>
      <c r="C69" t="s">
        <v>528</v>
      </c>
      <c r="D69" t="s">
        <v>30</v>
      </c>
      <c r="E69" s="28">
        <v>2565000</v>
      </c>
      <c r="F69" s="13">
        <v>1848.0825</v>
      </c>
      <c r="G69" s="14">
        <f t="shared" si="2"/>
        <v>9.1000000000000004E-3</v>
      </c>
      <c r="H69" s="15"/>
    </row>
    <row r="70" spans="1:8" ht="12.75" customHeight="1" x14ac:dyDescent="0.2">
      <c r="A70">
        <f>+MAX($A$8:A69)+1</f>
        <v>62</v>
      </c>
      <c r="B70" t="s">
        <v>254</v>
      </c>
      <c r="C70" t="s">
        <v>140</v>
      </c>
      <c r="D70" t="s">
        <v>39</v>
      </c>
      <c r="E70" s="28">
        <v>336900</v>
      </c>
      <c r="F70" s="13">
        <v>1844.5274999999999</v>
      </c>
      <c r="G70" s="14">
        <f t="shared" si="2"/>
        <v>9.1000000000000004E-3</v>
      </c>
      <c r="H70" s="15"/>
    </row>
    <row r="71" spans="1:8" ht="12.75" customHeight="1" x14ac:dyDescent="0.2">
      <c r="A71">
        <f>+MAX($A$8:A70)+1</f>
        <v>63</v>
      </c>
      <c r="B71" t="s">
        <v>405</v>
      </c>
      <c r="C71" t="s">
        <v>406</v>
      </c>
      <c r="D71" t="s">
        <v>36</v>
      </c>
      <c r="E71" s="28">
        <v>729690</v>
      </c>
      <c r="F71" s="13">
        <v>1834.44066</v>
      </c>
      <c r="G71" s="14">
        <f t="shared" si="2"/>
        <v>9.1000000000000004E-3</v>
      </c>
      <c r="H71" s="15"/>
    </row>
    <row r="72" spans="1:8" ht="12.75" customHeight="1" x14ac:dyDescent="0.2">
      <c r="A72">
        <f>+MAX($A$8:A71)+1</f>
        <v>64</v>
      </c>
      <c r="B72" t="s">
        <v>208</v>
      </c>
      <c r="C72" t="s">
        <v>78</v>
      </c>
      <c r="D72" t="s">
        <v>43</v>
      </c>
      <c r="E72" s="28">
        <v>579000</v>
      </c>
      <c r="F72" s="13">
        <v>1734.3945000000001</v>
      </c>
      <c r="G72" s="14">
        <f t="shared" si="2"/>
        <v>8.6E-3</v>
      </c>
      <c r="H72" s="15"/>
    </row>
    <row r="73" spans="1:8" ht="12.75" customHeight="1" x14ac:dyDescent="0.2">
      <c r="A73">
        <f>+MAX($A$8:A72)+1</f>
        <v>65</v>
      </c>
      <c r="B73" t="s">
        <v>366</v>
      </c>
      <c r="C73" t="s">
        <v>367</v>
      </c>
      <c r="D73" t="s">
        <v>126</v>
      </c>
      <c r="E73" s="28">
        <v>1350000</v>
      </c>
      <c r="F73" s="13">
        <v>1734.075</v>
      </c>
      <c r="G73" s="14">
        <f t="shared" ref="G73:G93" si="3">+ROUND(F73/VLOOKUP("Grand Total",$B$4:$F$299,5,0),4)</f>
        <v>8.6E-3</v>
      </c>
      <c r="H73" s="15"/>
    </row>
    <row r="74" spans="1:8" ht="12.75" customHeight="1" x14ac:dyDescent="0.2">
      <c r="A74">
        <f>+MAX($A$8:A73)+1</f>
        <v>66</v>
      </c>
      <c r="B74" t="s">
        <v>422</v>
      </c>
      <c r="C74" t="s">
        <v>252</v>
      </c>
      <c r="D74" t="s">
        <v>39</v>
      </c>
      <c r="E74" s="28">
        <v>31590</v>
      </c>
      <c r="F74" s="13">
        <v>1720.83366</v>
      </c>
      <c r="G74" s="14">
        <f t="shared" si="3"/>
        <v>8.5000000000000006E-3</v>
      </c>
      <c r="H74" s="15"/>
    </row>
    <row r="75" spans="1:8" ht="12.75" customHeight="1" x14ac:dyDescent="0.2">
      <c r="A75">
        <f>+MAX($A$8:A74)+1</f>
        <v>67</v>
      </c>
      <c r="B75" t="s">
        <v>202</v>
      </c>
      <c r="C75" t="s">
        <v>64</v>
      </c>
      <c r="D75" t="s">
        <v>26</v>
      </c>
      <c r="E75" s="28">
        <v>567900</v>
      </c>
      <c r="F75" s="13">
        <v>1715.058</v>
      </c>
      <c r="G75" s="14">
        <f t="shared" si="3"/>
        <v>8.5000000000000006E-3</v>
      </c>
      <c r="H75" s="15"/>
    </row>
    <row r="76" spans="1:8" ht="12.75" customHeight="1" x14ac:dyDescent="0.2">
      <c r="A76">
        <f>+MAX($A$8:A75)+1</f>
        <v>68</v>
      </c>
      <c r="B76" t="s">
        <v>209</v>
      </c>
      <c r="C76" t="s">
        <v>634</v>
      </c>
      <c r="D76" t="s">
        <v>24</v>
      </c>
      <c r="E76" s="28">
        <v>270000</v>
      </c>
      <c r="F76" s="13">
        <v>1701.675</v>
      </c>
      <c r="G76" s="14">
        <f t="shared" si="3"/>
        <v>8.3999999999999995E-3</v>
      </c>
      <c r="H76" s="15"/>
    </row>
    <row r="77" spans="1:8" ht="12.75" customHeight="1" x14ac:dyDescent="0.2">
      <c r="A77">
        <f>+MAX($A$8:A76)+1</f>
        <v>69</v>
      </c>
      <c r="B77" t="s">
        <v>276</v>
      </c>
      <c r="C77" t="s">
        <v>277</v>
      </c>
      <c r="D77" t="s">
        <v>135</v>
      </c>
      <c r="E77" s="28">
        <v>297000</v>
      </c>
      <c r="F77" s="13">
        <v>1683.0989999999999</v>
      </c>
      <c r="G77" s="14">
        <f t="shared" si="3"/>
        <v>8.3000000000000001E-3</v>
      </c>
      <c r="H77" s="15"/>
    </row>
    <row r="78" spans="1:8" ht="12.75" customHeight="1" x14ac:dyDescent="0.2">
      <c r="A78">
        <f>+MAX($A$8:A77)+1</f>
        <v>70</v>
      </c>
      <c r="B78" t="s">
        <v>243</v>
      </c>
      <c r="C78" t="s">
        <v>274</v>
      </c>
      <c r="D78" t="s">
        <v>39</v>
      </c>
      <c r="E78" s="28">
        <v>523080</v>
      </c>
      <c r="F78" s="13">
        <v>1672.28676</v>
      </c>
      <c r="G78" s="14">
        <f t="shared" si="3"/>
        <v>8.3000000000000001E-3</v>
      </c>
      <c r="H78" s="15"/>
    </row>
    <row r="79" spans="1:8" ht="12.75" customHeight="1" x14ac:dyDescent="0.2">
      <c r="A79">
        <f>+MAX($A$8:A78)+1</f>
        <v>71</v>
      </c>
      <c r="B79" t="s">
        <v>289</v>
      </c>
      <c r="C79" t="s">
        <v>290</v>
      </c>
      <c r="D79" t="s">
        <v>17</v>
      </c>
      <c r="E79" s="28">
        <v>216000</v>
      </c>
      <c r="F79" s="13">
        <v>1642.248</v>
      </c>
      <c r="G79" s="14">
        <f t="shared" si="3"/>
        <v>8.0999999999999996E-3</v>
      </c>
      <c r="H79" s="15"/>
    </row>
    <row r="80" spans="1:8" ht="12.75" customHeight="1" x14ac:dyDescent="0.2">
      <c r="A80">
        <f>+MAX($A$8:A79)+1</f>
        <v>72</v>
      </c>
      <c r="B80" t="s">
        <v>232</v>
      </c>
      <c r="C80" t="s">
        <v>365</v>
      </c>
      <c r="D80" t="s">
        <v>101</v>
      </c>
      <c r="E80" s="28">
        <v>1443000</v>
      </c>
      <c r="F80" s="13">
        <v>1637.8050000000001</v>
      </c>
      <c r="G80" s="14">
        <f t="shared" si="3"/>
        <v>8.0999999999999996E-3</v>
      </c>
      <c r="H80" s="15"/>
    </row>
    <row r="81" spans="1:11" ht="12.75" customHeight="1" x14ac:dyDescent="0.2">
      <c r="A81">
        <f>+MAX($A$8:A80)+1</f>
        <v>73</v>
      </c>
      <c r="B81" t="s">
        <v>378</v>
      </c>
      <c r="C81" t="s">
        <v>379</v>
      </c>
      <c r="D81" t="s">
        <v>30</v>
      </c>
      <c r="E81" s="28">
        <v>327000</v>
      </c>
      <c r="F81" s="13">
        <v>1636.962</v>
      </c>
      <c r="G81" s="14">
        <f t="shared" si="3"/>
        <v>8.0999999999999996E-3</v>
      </c>
      <c r="H81" s="15"/>
    </row>
    <row r="82" spans="1:11" ht="12.75" customHeight="1" x14ac:dyDescent="0.2">
      <c r="A82">
        <f>+MAX($A$8:A81)+1</f>
        <v>74</v>
      </c>
      <c r="B82" t="s">
        <v>235</v>
      </c>
      <c r="C82" t="s">
        <v>129</v>
      </c>
      <c r="D82" t="s">
        <v>45</v>
      </c>
      <c r="E82" s="28">
        <v>849900</v>
      </c>
      <c r="F82" s="13">
        <v>1636.0574999999999</v>
      </c>
      <c r="G82" s="14">
        <f t="shared" si="3"/>
        <v>8.0999999999999996E-3</v>
      </c>
      <c r="H82" s="15"/>
    </row>
    <row r="83" spans="1:11" ht="12.75" customHeight="1" x14ac:dyDescent="0.2">
      <c r="A83">
        <f>+MAX($A$8:A82)+1</f>
        <v>75</v>
      </c>
      <c r="B83" t="s">
        <v>261</v>
      </c>
      <c r="C83" t="s">
        <v>160</v>
      </c>
      <c r="D83" t="s">
        <v>98</v>
      </c>
      <c r="E83" s="28">
        <v>213108</v>
      </c>
      <c r="F83" s="13">
        <v>1632.833496</v>
      </c>
      <c r="G83" s="14">
        <f t="shared" si="3"/>
        <v>8.0999999999999996E-3</v>
      </c>
      <c r="H83" s="15"/>
    </row>
    <row r="84" spans="1:11" ht="12.75" customHeight="1" x14ac:dyDescent="0.2">
      <c r="A84">
        <f>+MAX($A$8:A83)+1</f>
        <v>76</v>
      </c>
      <c r="B84" t="s">
        <v>612</v>
      </c>
      <c r="C84" t="s">
        <v>613</v>
      </c>
      <c r="D84" t="s">
        <v>614</v>
      </c>
      <c r="E84" s="28">
        <v>640500</v>
      </c>
      <c r="F84" s="13">
        <v>1602.5309999999999</v>
      </c>
      <c r="G84" s="14">
        <f t="shared" si="3"/>
        <v>7.9000000000000008E-3</v>
      </c>
      <c r="H84" s="15"/>
    </row>
    <row r="85" spans="1:11" ht="12.75" customHeight="1" x14ac:dyDescent="0.2">
      <c r="A85">
        <f>+MAX($A$8:A84)+1</f>
        <v>77</v>
      </c>
      <c r="B85" t="s">
        <v>472</v>
      </c>
      <c r="C85" t="s">
        <v>682</v>
      </c>
      <c r="D85" t="s">
        <v>36</v>
      </c>
      <c r="E85" s="28">
        <v>189300</v>
      </c>
      <c r="F85" s="13">
        <v>1601.2887000000001</v>
      </c>
      <c r="G85" s="14">
        <f t="shared" si="3"/>
        <v>7.9000000000000008E-3</v>
      </c>
      <c r="H85" s="15"/>
    </row>
    <row r="86" spans="1:11" ht="12.75" customHeight="1" x14ac:dyDescent="0.2">
      <c r="A86">
        <f>+MAX($A$8:A85)+1</f>
        <v>78</v>
      </c>
      <c r="B86" t="s">
        <v>683</v>
      </c>
      <c r="C86" t="s">
        <v>684</v>
      </c>
      <c r="D86" t="s">
        <v>22</v>
      </c>
      <c r="E86" s="28">
        <v>108000</v>
      </c>
      <c r="F86" s="13">
        <v>1594.242</v>
      </c>
      <c r="G86" s="14">
        <f t="shared" si="3"/>
        <v>7.9000000000000008E-3</v>
      </c>
      <c r="H86" s="15"/>
    </row>
    <row r="87" spans="1:11" ht="12.75" customHeight="1" x14ac:dyDescent="0.2">
      <c r="A87">
        <f>+MAX($A$8:A86)+1</f>
        <v>79</v>
      </c>
      <c r="B87" t="s">
        <v>384</v>
      </c>
      <c r="C87" t="s">
        <v>385</v>
      </c>
      <c r="D87" t="s">
        <v>101</v>
      </c>
      <c r="E87" s="28">
        <v>189000</v>
      </c>
      <c r="F87" s="13">
        <v>1588.356</v>
      </c>
      <c r="G87" s="14">
        <f t="shared" si="3"/>
        <v>7.9000000000000008E-3</v>
      </c>
      <c r="H87" s="15"/>
    </row>
    <row r="88" spans="1:11" ht="12.75" customHeight="1" x14ac:dyDescent="0.2">
      <c r="A88">
        <f>+MAX($A$8:A87)+1</f>
        <v>80</v>
      </c>
      <c r="B88" t="s">
        <v>245</v>
      </c>
      <c r="C88" t="s">
        <v>143</v>
      </c>
      <c r="D88" t="s">
        <v>139</v>
      </c>
      <c r="E88" s="28">
        <v>138900</v>
      </c>
      <c r="F88" s="13">
        <v>1528.0389</v>
      </c>
      <c r="G88" s="14">
        <f t="shared" si="3"/>
        <v>7.6E-3</v>
      </c>
      <c r="H88" s="15"/>
    </row>
    <row r="89" spans="1:11" ht="12.75" customHeight="1" x14ac:dyDescent="0.2">
      <c r="A89">
        <f>+MAX($A$8:A88)+1</f>
        <v>81</v>
      </c>
      <c r="B89" t="s">
        <v>246</v>
      </c>
      <c r="C89" t="s">
        <v>138</v>
      </c>
      <c r="D89" t="s">
        <v>39</v>
      </c>
      <c r="E89" s="28">
        <v>240900</v>
      </c>
      <c r="F89" s="13">
        <v>1487.43705</v>
      </c>
      <c r="G89" s="14">
        <f t="shared" si="3"/>
        <v>7.4000000000000003E-3</v>
      </c>
      <c r="H89" s="15"/>
    </row>
    <row r="90" spans="1:11" ht="12.75" customHeight="1" x14ac:dyDescent="0.2">
      <c r="A90">
        <f>+MAX($A$8:A89)+1</f>
        <v>82</v>
      </c>
      <c r="B90" t="s">
        <v>302</v>
      </c>
      <c r="C90" t="s">
        <v>303</v>
      </c>
      <c r="D90" t="s">
        <v>41</v>
      </c>
      <c r="E90" s="28">
        <v>464312</v>
      </c>
      <c r="F90" s="13">
        <v>1455.3859640000001</v>
      </c>
      <c r="G90" s="14">
        <f t="shared" si="3"/>
        <v>7.1999999999999998E-3</v>
      </c>
      <c r="H90" s="15"/>
    </row>
    <row r="91" spans="1:11" ht="12.75" customHeight="1" x14ac:dyDescent="0.2">
      <c r="A91">
        <f>+MAX($A$8:A90)+1</f>
        <v>83</v>
      </c>
      <c r="B91" t="s">
        <v>685</v>
      </c>
      <c r="C91" t="s">
        <v>686</v>
      </c>
      <c r="D91" t="s">
        <v>21</v>
      </c>
      <c r="E91" s="28">
        <v>108000</v>
      </c>
      <c r="F91" s="13">
        <v>1410.3720000000001</v>
      </c>
      <c r="G91" s="14">
        <f t="shared" si="3"/>
        <v>7.0000000000000001E-3</v>
      </c>
      <c r="H91" s="15"/>
    </row>
    <row r="92" spans="1:11" ht="12.75" customHeight="1" x14ac:dyDescent="0.2">
      <c r="A92">
        <f>+MAX($A$8:A91)+1</f>
        <v>84</v>
      </c>
      <c r="B92" t="s">
        <v>388</v>
      </c>
      <c r="C92" t="s">
        <v>389</v>
      </c>
      <c r="D92" t="s">
        <v>390</v>
      </c>
      <c r="E92" s="28">
        <v>354000</v>
      </c>
      <c r="F92" s="13">
        <v>1270.8599999999999</v>
      </c>
      <c r="G92" s="14">
        <f t="shared" si="3"/>
        <v>6.3E-3</v>
      </c>
      <c r="H92" s="15"/>
    </row>
    <row r="93" spans="1:11" ht="12.75" customHeight="1" x14ac:dyDescent="0.2">
      <c r="A93">
        <f>+MAX($A$8:A92)+1</f>
        <v>85</v>
      </c>
      <c r="B93" t="s">
        <v>300</v>
      </c>
      <c r="C93" t="s">
        <v>301</v>
      </c>
      <c r="D93" t="s">
        <v>407</v>
      </c>
      <c r="E93" s="28">
        <v>1350000</v>
      </c>
      <c r="F93" s="13">
        <v>608.85</v>
      </c>
      <c r="G93" s="14">
        <f t="shared" si="3"/>
        <v>3.0000000000000001E-3</v>
      </c>
      <c r="H93" s="15"/>
    </row>
    <row r="94" spans="1:11" ht="12.75" customHeight="1" x14ac:dyDescent="0.2">
      <c r="B94" s="18" t="s">
        <v>82</v>
      </c>
      <c r="C94" s="18"/>
      <c r="D94" s="18"/>
      <c r="E94" s="29"/>
      <c r="F94" s="19">
        <f>SUM(F9:F93)</f>
        <v>197786.24432149995</v>
      </c>
      <c r="G94" s="20">
        <f>SUM(G9:G93)</f>
        <v>0.97809999999999975</v>
      </c>
      <c r="H94" s="21"/>
      <c r="I94" s="49"/>
    </row>
    <row r="95" spans="1:11" ht="12.75" customHeight="1" x14ac:dyDescent="0.2">
      <c r="F95" s="13"/>
      <c r="G95" s="14"/>
      <c r="H95" s="15"/>
    </row>
    <row r="96" spans="1:11" ht="12.75" customHeight="1" x14ac:dyDescent="0.2">
      <c r="B96" s="16" t="s">
        <v>133</v>
      </c>
      <c r="C96" s="16"/>
      <c r="F96" s="13"/>
      <c r="G96" s="14"/>
      <c r="H96" s="73"/>
      <c r="I96"/>
      <c r="J96" s="36"/>
      <c r="K96"/>
    </row>
    <row r="97" spans="1:12" ht="12.75" customHeight="1" x14ac:dyDescent="0.2">
      <c r="A97">
        <f>+MAX($A$8:A96)+1</f>
        <v>86</v>
      </c>
      <c r="B97" t="s">
        <v>435</v>
      </c>
      <c r="C97" s="120" t="s">
        <v>787</v>
      </c>
      <c r="D97" t="s">
        <v>282</v>
      </c>
      <c r="E97" s="28">
        <v>1248000</v>
      </c>
      <c r="F97" s="13">
        <v>941.61599999999999</v>
      </c>
      <c r="G97" s="14">
        <f>+ROUND(F97/VLOOKUP("Grand Total",$B$4:$F$299,5,0),4)</f>
        <v>4.7000000000000002E-3</v>
      </c>
      <c r="H97" s="15">
        <v>43370</v>
      </c>
      <c r="I97"/>
      <c r="J97" s="36"/>
      <c r="K97"/>
    </row>
    <row r="98" spans="1:12" ht="12.75" customHeight="1" x14ac:dyDescent="0.2">
      <c r="B98" s="18" t="s">
        <v>82</v>
      </c>
      <c r="C98" s="18"/>
      <c r="D98" s="18"/>
      <c r="E98" s="29"/>
      <c r="F98" s="19">
        <f>SUM(F97:F97)</f>
        <v>941.61599999999999</v>
      </c>
      <c r="G98" s="20">
        <f>SUM(G97:G97)</f>
        <v>4.7000000000000002E-3</v>
      </c>
      <c r="H98" s="21"/>
      <c r="I98"/>
      <c r="J98" s="36"/>
      <c r="K98"/>
    </row>
    <row r="99" spans="1:12" ht="12.75" customHeight="1" x14ac:dyDescent="0.2">
      <c r="F99" s="13"/>
      <c r="G99" s="14"/>
      <c r="H99" s="15"/>
    </row>
    <row r="100" spans="1:12" ht="12.75" customHeight="1" x14ac:dyDescent="0.2">
      <c r="B100" s="16" t="s">
        <v>88</v>
      </c>
      <c r="F100" s="13"/>
      <c r="G100" s="14"/>
      <c r="H100" s="15"/>
    </row>
    <row r="101" spans="1:12" ht="12.75" customHeight="1" x14ac:dyDescent="0.2">
      <c r="B101" s="16" t="s">
        <v>153</v>
      </c>
      <c r="C101" s="16"/>
      <c r="F101" s="13"/>
      <c r="G101" s="14"/>
      <c r="H101" s="73"/>
      <c r="I101"/>
      <c r="J101" s="36"/>
      <c r="K101"/>
    </row>
    <row r="102" spans="1:12" ht="12.75" customHeight="1" x14ac:dyDescent="0.2">
      <c r="A102">
        <f>+MAX($A$8:A101)+1</f>
        <v>87</v>
      </c>
      <c r="B102" t="s">
        <v>450</v>
      </c>
      <c r="C102" s="120" t="s">
        <v>672</v>
      </c>
      <c r="D102" t="s">
        <v>345</v>
      </c>
      <c r="E102" s="28">
        <v>50000</v>
      </c>
      <c r="F102" s="13">
        <v>49.316000000000003</v>
      </c>
      <c r="G102" s="14">
        <f>+ROUND(F102/VLOOKUP("Grand Total",$B$4:$F$299,5,0),4)</f>
        <v>2.0000000000000001E-4</v>
      </c>
      <c r="H102" s="15">
        <v>43419</v>
      </c>
      <c r="I102"/>
      <c r="J102" s="36"/>
      <c r="K102"/>
    </row>
    <row r="103" spans="1:12" ht="12.75" customHeight="1" x14ac:dyDescent="0.2">
      <c r="B103" s="18" t="s">
        <v>82</v>
      </c>
      <c r="C103" s="18"/>
      <c r="D103" s="18"/>
      <c r="E103" s="29"/>
      <c r="F103" s="19">
        <f>SUM(F102:F102)</f>
        <v>49.316000000000003</v>
      </c>
      <c r="G103" s="20">
        <f>SUM(G102:G102)</f>
        <v>2.0000000000000001E-4</v>
      </c>
      <c r="H103" s="21"/>
      <c r="I103"/>
      <c r="J103" s="36"/>
      <c r="K103"/>
    </row>
    <row r="104" spans="1:12" ht="12.75" customHeight="1" x14ac:dyDescent="0.2">
      <c r="F104" s="13"/>
      <c r="G104" s="14"/>
      <c r="H104" s="15"/>
    </row>
    <row r="105" spans="1:12" ht="12.75" customHeight="1" x14ac:dyDescent="0.2">
      <c r="B105" s="16" t="s">
        <v>89</v>
      </c>
      <c r="C105" s="16"/>
      <c r="F105" s="13"/>
      <c r="G105" s="14"/>
      <c r="H105" s="73"/>
      <c r="I105"/>
      <c r="J105" s="36"/>
      <c r="K105"/>
    </row>
    <row r="106" spans="1:12" ht="12.75" customHeight="1" x14ac:dyDescent="0.2">
      <c r="A106">
        <f>+MAX($A$8:A105)+1</f>
        <v>88</v>
      </c>
      <c r="B106" s="65" t="s">
        <v>560</v>
      </c>
      <c r="C106" t="s">
        <v>263</v>
      </c>
      <c r="D106" t="s">
        <v>279</v>
      </c>
      <c r="E106" s="28">
        <v>1679159.6142</v>
      </c>
      <c r="F106" s="13">
        <v>542.98648609999998</v>
      </c>
      <c r="G106" s="14">
        <f>+ROUND(F106/VLOOKUP("Grand Total",$B$4:$F$299,5,0),4)</f>
        <v>2.7000000000000001E-3</v>
      </c>
      <c r="H106" s="73" t="s">
        <v>313</v>
      </c>
      <c r="I106"/>
      <c r="J106" s="36"/>
      <c r="K106"/>
    </row>
    <row r="107" spans="1:12" ht="12.75" customHeight="1" x14ac:dyDescent="0.2">
      <c r="A107">
        <f>+MAX($A$8:A106)+1</f>
        <v>89</v>
      </c>
      <c r="B107" s="65" t="s">
        <v>368</v>
      </c>
      <c r="C107" t="s">
        <v>299</v>
      </c>
      <c r="D107" t="s">
        <v>279</v>
      </c>
      <c r="E107" s="28">
        <v>9884.0483000000004</v>
      </c>
      <c r="F107" s="13">
        <v>171.76129469999998</v>
      </c>
      <c r="G107" s="14">
        <f>+ROUND(F107/VLOOKUP("Grand Total",$B$4:$F$299,5,0),4)</f>
        <v>8.0000000000000004E-4</v>
      </c>
      <c r="H107" s="73" t="s">
        <v>313</v>
      </c>
      <c r="I107"/>
      <c r="J107" s="36"/>
      <c r="K107"/>
    </row>
    <row r="108" spans="1:12" ht="12.75" customHeight="1" x14ac:dyDescent="0.2">
      <c r="B108" s="18" t="s">
        <v>82</v>
      </c>
      <c r="C108" s="18"/>
      <c r="D108" s="18"/>
      <c r="E108" s="29"/>
      <c r="F108" s="19">
        <f>SUM(F106:F107)</f>
        <v>714.74778079999999</v>
      </c>
      <c r="G108" s="20">
        <f>SUM(G106:G107)</f>
        <v>3.5000000000000001E-3</v>
      </c>
      <c r="H108" s="21"/>
      <c r="I108"/>
      <c r="J108" s="36"/>
      <c r="K108"/>
    </row>
    <row r="109" spans="1:12" s="46" customFormat="1" ht="12.75" customHeight="1" x14ac:dyDescent="0.2">
      <c r="B109" s="67"/>
      <c r="C109" s="67"/>
      <c r="D109" s="67"/>
      <c r="E109" s="68"/>
      <c r="F109" s="69"/>
      <c r="G109" s="70"/>
      <c r="H109" s="35"/>
      <c r="J109" s="48"/>
    </row>
    <row r="110" spans="1:12" ht="12.75" customHeight="1" x14ac:dyDescent="0.2">
      <c r="B110" s="16" t="s">
        <v>91</v>
      </c>
      <c r="C110" s="16"/>
      <c r="F110" s="13"/>
      <c r="G110" s="14"/>
      <c r="H110" s="15"/>
      <c r="I110" s="56"/>
    </row>
    <row r="111" spans="1:12" ht="12.75" customHeight="1" x14ac:dyDescent="0.2">
      <c r="A111" s="94" t="s">
        <v>312</v>
      </c>
      <c r="B111" s="16" t="s">
        <v>633</v>
      </c>
      <c r="C111" s="16"/>
      <c r="F111" s="13">
        <v>3410.2763</v>
      </c>
      <c r="G111" s="14">
        <f>+ROUND(F111/VLOOKUP("Grand Total",$B$4:$F$299,5,0),4)</f>
        <v>1.6899999999999998E-2</v>
      </c>
      <c r="H111" s="15">
        <v>43346</v>
      </c>
      <c r="L111" s="46"/>
    </row>
    <row r="112" spans="1:12" ht="12.75" customHeight="1" x14ac:dyDescent="0.2">
      <c r="B112" s="16" t="s">
        <v>92</v>
      </c>
      <c r="C112" s="16"/>
      <c r="F112" s="13">
        <v>-687.25623979998636</v>
      </c>
      <c r="G112" s="121">
        <f>+ROUND(F112/VLOOKUP("Grand Total",$B$4:$F$317,5,0),4)</f>
        <v>-3.3999999999999998E-3</v>
      </c>
      <c r="H112" s="15"/>
      <c r="I112" s="55"/>
    </row>
    <row r="113" spans="2:11" ht="12.75" customHeight="1" x14ac:dyDescent="0.2">
      <c r="B113" s="18" t="s">
        <v>82</v>
      </c>
      <c r="C113" s="18"/>
      <c r="D113" s="18"/>
      <c r="E113" s="29"/>
      <c r="F113" s="19">
        <f>SUM(F111:F112)</f>
        <v>2723.0200602000136</v>
      </c>
      <c r="G113" s="20">
        <f>SUM(G111:G112)</f>
        <v>1.3499999999999998E-2</v>
      </c>
      <c r="H113" s="21"/>
      <c r="I113" s="39"/>
    </row>
    <row r="114" spans="2:11" ht="12.75" customHeight="1" x14ac:dyDescent="0.2">
      <c r="B114" s="22" t="s">
        <v>93</v>
      </c>
      <c r="C114" s="22"/>
      <c r="D114" s="22"/>
      <c r="E114" s="30"/>
      <c r="F114" s="23">
        <f>+SUMIF($B$5:B113,"Total",$F$5:F113)</f>
        <v>202214.94416249997</v>
      </c>
      <c r="G114" s="24">
        <f>+SUMIF($B$5:B113,"Total",$G$5:G113)</f>
        <v>0.99999999999999967</v>
      </c>
      <c r="H114" s="25"/>
      <c r="K114"/>
    </row>
    <row r="115" spans="2:11" ht="12.75" customHeight="1" x14ac:dyDescent="0.2">
      <c r="F115" s="13"/>
    </row>
    <row r="116" spans="2:11" ht="12.75" customHeight="1" x14ac:dyDescent="0.2">
      <c r="B116" s="53"/>
    </row>
    <row r="117" spans="2:11" ht="12.75" customHeight="1" x14ac:dyDescent="0.2">
      <c r="B117" s="16"/>
    </row>
    <row r="118" spans="2:11" ht="12.75" customHeight="1" x14ac:dyDescent="0.2">
      <c r="B118" s="16"/>
    </row>
    <row r="119" spans="2:11" ht="12.75" customHeight="1" x14ac:dyDescent="0.2"/>
    <row r="120" spans="2:11" ht="12.75" customHeight="1" x14ac:dyDescent="0.2"/>
    <row r="121" spans="2:11" ht="12.75" customHeight="1" x14ac:dyDescent="0.2"/>
    <row r="122" spans="2:11" ht="12.75" customHeight="1" x14ac:dyDescent="0.2"/>
    <row r="123" spans="2:11" ht="12.75" customHeight="1" x14ac:dyDescent="0.2"/>
    <row r="124" spans="2:11" ht="12.75" customHeight="1" x14ac:dyDescent="0.2"/>
    <row r="125" spans="2:11" ht="12.75" customHeight="1" x14ac:dyDescent="0.2"/>
    <row r="126" spans="2:11" ht="12.75" customHeight="1" x14ac:dyDescent="0.2"/>
    <row r="127" spans="2:11" ht="12.75" customHeight="1" x14ac:dyDescent="0.2"/>
    <row r="128" spans="2:11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</sheetData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318</v>
      </c>
      <c r="B1" s="128" t="s">
        <v>738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73692</v>
      </c>
      <c r="F9" s="13">
        <v>1518.9395040000002</v>
      </c>
      <c r="G9" s="14">
        <f t="shared" ref="G9:G40" si="0">+ROUND(F9/VLOOKUP("Grand Total",$B$4:$F$306,5,0),4)</f>
        <v>4.99E-2</v>
      </c>
      <c r="H9" s="72" t="s">
        <v>313</v>
      </c>
      <c r="I9" s="106"/>
      <c r="J9" s="14" t="s">
        <v>9</v>
      </c>
      <c r="K9" s="48">
        <f t="shared" ref="K9:K34" si="1">SUMIFS($G$5:$G$337,$D$5:$D$337,J9)</f>
        <v>0.21390000000000001</v>
      </c>
    </row>
    <row r="10" spans="1:16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121058</v>
      </c>
      <c r="F10" s="13">
        <v>1503.1166569999998</v>
      </c>
      <c r="G10" s="14">
        <f t="shared" si="0"/>
        <v>4.9399999999999999E-2</v>
      </c>
      <c r="H10" s="15" t="s">
        <v>313</v>
      </c>
      <c r="I10" s="106"/>
      <c r="J10" s="14" t="s">
        <v>24</v>
      </c>
      <c r="K10" s="48">
        <f t="shared" si="1"/>
        <v>0.14600000000000002</v>
      </c>
    </row>
    <row r="11" spans="1:16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369949</v>
      </c>
      <c r="F11" s="13">
        <v>1183.2818765</v>
      </c>
      <c r="G11" s="14">
        <f t="shared" si="0"/>
        <v>3.8899999999999997E-2</v>
      </c>
      <c r="H11" s="15" t="s">
        <v>313</v>
      </c>
      <c r="I11" s="106"/>
      <c r="J11" s="14" t="s">
        <v>13</v>
      </c>
      <c r="K11" s="48">
        <f t="shared" si="1"/>
        <v>8.8199999999999987E-2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194</v>
      </c>
      <c r="C12" t="s">
        <v>18</v>
      </c>
      <c r="D12" t="s">
        <v>13</v>
      </c>
      <c r="E12" s="28">
        <v>52614</v>
      </c>
      <c r="F12" s="13">
        <v>1093.529376</v>
      </c>
      <c r="G12" s="14">
        <f t="shared" si="0"/>
        <v>3.5999999999999997E-2</v>
      </c>
      <c r="H12" s="15" t="s">
        <v>313</v>
      </c>
      <c r="I12" s="106"/>
      <c r="J12" s="14" t="s">
        <v>22</v>
      </c>
      <c r="K12" s="48">
        <f t="shared" si="1"/>
        <v>5.5500000000000001E-2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173</v>
      </c>
      <c r="C13" t="s">
        <v>10</v>
      </c>
      <c r="D13" t="s">
        <v>9</v>
      </c>
      <c r="E13" s="28">
        <v>318230</v>
      </c>
      <c r="F13" s="13">
        <v>1090.2559799999999</v>
      </c>
      <c r="G13" s="14">
        <f t="shared" si="0"/>
        <v>3.5900000000000001E-2</v>
      </c>
      <c r="H13" s="15" t="s">
        <v>313</v>
      </c>
      <c r="I13" s="106"/>
      <c r="J13" s="14" t="s">
        <v>21</v>
      </c>
      <c r="K13" s="48">
        <f t="shared" si="1"/>
        <v>5.11E-2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171</v>
      </c>
      <c r="C14" t="s">
        <v>14</v>
      </c>
      <c r="D14" t="s">
        <v>13</v>
      </c>
      <c r="E14" s="28">
        <v>66286</v>
      </c>
      <c r="F14" s="13">
        <v>955.24754599999994</v>
      </c>
      <c r="G14" s="14">
        <f t="shared" si="0"/>
        <v>3.1399999999999997E-2</v>
      </c>
      <c r="H14" s="15" t="s">
        <v>313</v>
      </c>
      <c r="I14" s="106"/>
      <c r="J14" s="14" t="s">
        <v>28</v>
      </c>
      <c r="K14" s="48">
        <f t="shared" si="1"/>
        <v>4.9399999999999999E-2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336</v>
      </c>
      <c r="C15" t="s">
        <v>335</v>
      </c>
      <c r="D15" t="s">
        <v>24</v>
      </c>
      <c r="E15" s="28">
        <v>182912</v>
      </c>
      <c r="F15" s="13">
        <v>875.69119999999998</v>
      </c>
      <c r="G15" s="14">
        <f t="shared" si="0"/>
        <v>2.8799999999999999E-2</v>
      </c>
      <c r="H15" s="15" t="s">
        <v>313</v>
      </c>
      <c r="I15" s="106"/>
      <c r="J15" s="14" t="s">
        <v>19</v>
      </c>
      <c r="K15" s="48">
        <f t="shared" si="1"/>
        <v>4.6700000000000005E-2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176</v>
      </c>
      <c r="C16" t="s">
        <v>25</v>
      </c>
      <c r="D16" t="s">
        <v>22</v>
      </c>
      <c r="E16" s="28">
        <v>45134</v>
      </c>
      <c r="F16" s="13">
        <v>873.77167299999996</v>
      </c>
      <c r="G16" s="14">
        <f t="shared" si="0"/>
        <v>2.87E-2</v>
      </c>
      <c r="H16" s="15" t="s">
        <v>313</v>
      </c>
      <c r="I16" s="106"/>
      <c r="J16" s="14" t="s">
        <v>34</v>
      </c>
      <c r="K16" s="48">
        <f t="shared" si="1"/>
        <v>3.9099999999999996E-2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15</v>
      </c>
      <c r="C17" t="s">
        <v>16</v>
      </c>
      <c r="D17" t="s">
        <v>9</v>
      </c>
      <c r="E17" s="28">
        <v>276180</v>
      </c>
      <c r="F17" s="13">
        <v>855.05327999999997</v>
      </c>
      <c r="G17" s="14">
        <f t="shared" si="0"/>
        <v>2.81E-2</v>
      </c>
      <c r="H17" s="15" t="s">
        <v>313</v>
      </c>
      <c r="I17" s="106"/>
      <c r="J17" s="14" t="s">
        <v>17</v>
      </c>
      <c r="K17" s="48">
        <f t="shared" si="1"/>
        <v>3.6499999999999998E-2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203</v>
      </c>
      <c r="C18" t="s">
        <v>69</v>
      </c>
      <c r="D18" t="s">
        <v>26</v>
      </c>
      <c r="E18" s="28">
        <v>61891</v>
      </c>
      <c r="F18" s="13">
        <v>847.62819049999996</v>
      </c>
      <c r="G18" s="14">
        <f t="shared" si="0"/>
        <v>2.7900000000000001E-2</v>
      </c>
      <c r="H18" s="15" t="s">
        <v>313</v>
      </c>
      <c r="I18" s="106"/>
      <c r="J18" s="14" t="s">
        <v>26</v>
      </c>
      <c r="K18" s="48">
        <f t="shared" si="1"/>
        <v>3.2300000000000002E-2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295</v>
      </c>
      <c r="C19" t="s">
        <v>521</v>
      </c>
      <c r="D19" t="s">
        <v>126</v>
      </c>
      <c r="E19" s="28">
        <v>261085</v>
      </c>
      <c r="F19" s="13">
        <v>631.30353000000002</v>
      </c>
      <c r="G19" s="14">
        <f t="shared" si="0"/>
        <v>2.0799999999999999E-2</v>
      </c>
      <c r="H19" s="15" t="s">
        <v>313</v>
      </c>
      <c r="I19" s="106"/>
      <c r="J19" s="14" t="s">
        <v>36</v>
      </c>
      <c r="K19" s="48">
        <f t="shared" si="1"/>
        <v>2.8500000000000001E-2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454</v>
      </c>
      <c r="C20" t="s">
        <v>455</v>
      </c>
      <c r="D20" t="s">
        <v>24</v>
      </c>
      <c r="E20" s="28">
        <v>8165</v>
      </c>
      <c r="F20" s="13">
        <v>629.14999250000005</v>
      </c>
      <c r="G20" s="14">
        <f t="shared" si="0"/>
        <v>2.07E-2</v>
      </c>
      <c r="H20" s="15" t="s">
        <v>313</v>
      </c>
      <c r="I20" s="106"/>
      <c r="J20" s="14" t="s">
        <v>126</v>
      </c>
      <c r="K20" s="48">
        <f t="shared" si="1"/>
        <v>2.81E-2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452</v>
      </c>
      <c r="C21" t="s">
        <v>453</v>
      </c>
      <c r="D21" t="s">
        <v>34</v>
      </c>
      <c r="E21" s="28">
        <v>814000</v>
      </c>
      <c r="F21" s="13">
        <v>624.33799999999997</v>
      </c>
      <c r="G21" s="14">
        <f t="shared" si="0"/>
        <v>2.0500000000000001E-2</v>
      </c>
      <c r="H21" s="15" t="s">
        <v>313</v>
      </c>
      <c r="I21" s="106"/>
      <c r="J21" s="14" t="s">
        <v>39</v>
      </c>
      <c r="K21" s="48">
        <f t="shared" si="1"/>
        <v>2.7900000000000001E-2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349</v>
      </c>
      <c r="C22" t="s">
        <v>350</v>
      </c>
      <c r="D22" t="s">
        <v>351</v>
      </c>
      <c r="E22" s="28">
        <v>368000</v>
      </c>
      <c r="F22" s="13">
        <v>607.75199999999995</v>
      </c>
      <c r="G22" s="14">
        <f t="shared" si="0"/>
        <v>0.02</v>
      </c>
      <c r="H22" s="15" t="s">
        <v>313</v>
      </c>
      <c r="I22" s="106"/>
      <c r="J22" s="14" t="s">
        <v>351</v>
      </c>
      <c r="K22" s="48">
        <f t="shared" si="1"/>
        <v>0.02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189</v>
      </c>
      <c r="C23" t="s">
        <v>72</v>
      </c>
      <c r="D23" t="s">
        <v>395</v>
      </c>
      <c r="E23" s="28">
        <v>427500</v>
      </c>
      <c r="F23" s="13">
        <v>586.74374999999998</v>
      </c>
      <c r="G23" s="14">
        <f t="shared" si="0"/>
        <v>1.9300000000000001E-2</v>
      </c>
      <c r="H23" s="15" t="s">
        <v>313</v>
      </c>
      <c r="I23" s="106"/>
      <c r="J23" s="14" t="s">
        <v>102</v>
      </c>
      <c r="K23" s="48">
        <f t="shared" si="1"/>
        <v>1.9700000000000002E-2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221</v>
      </c>
      <c r="C24" t="s">
        <v>111</v>
      </c>
      <c r="D24" t="s">
        <v>34</v>
      </c>
      <c r="E24" s="28">
        <v>329912</v>
      </c>
      <c r="F24" s="13">
        <v>565.79908</v>
      </c>
      <c r="G24" s="14">
        <f t="shared" si="0"/>
        <v>1.8599999999999998E-2</v>
      </c>
      <c r="H24" s="15" t="s">
        <v>313</v>
      </c>
      <c r="I24" s="106"/>
      <c r="J24" t="s">
        <v>395</v>
      </c>
      <c r="K24" s="48">
        <f t="shared" si="1"/>
        <v>1.9300000000000001E-2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270</v>
      </c>
      <c r="C25" t="s">
        <v>74</v>
      </c>
      <c r="D25" t="s">
        <v>36</v>
      </c>
      <c r="E25" s="28">
        <v>158000</v>
      </c>
      <c r="F25" s="13">
        <v>538.85900000000004</v>
      </c>
      <c r="G25" s="14">
        <f t="shared" si="0"/>
        <v>1.77E-2</v>
      </c>
      <c r="H25" s="15" t="s">
        <v>313</v>
      </c>
      <c r="I25" s="106"/>
      <c r="J25" t="s">
        <v>135</v>
      </c>
      <c r="K25" s="48">
        <f t="shared" si="1"/>
        <v>1.5599999999999999E-2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181</v>
      </c>
      <c r="C26" t="s">
        <v>46</v>
      </c>
      <c r="D26" t="s">
        <v>24</v>
      </c>
      <c r="E26" s="28">
        <v>7949</v>
      </c>
      <c r="F26" s="13">
        <v>535.50425749999999</v>
      </c>
      <c r="G26" s="14">
        <f t="shared" si="0"/>
        <v>1.7600000000000001E-2</v>
      </c>
      <c r="H26" s="15" t="s">
        <v>313</v>
      </c>
      <c r="I26" s="106"/>
      <c r="J26" t="s">
        <v>49</v>
      </c>
      <c r="K26" s="48">
        <f t="shared" si="1"/>
        <v>1.4999999999999999E-2</v>
      </c>
      <c r="L26" s="54">
        <f>+SUM($K$9:K27)</f>
        <v>0.94430000000000003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190</v>
      </c>
      <c r="C27" t="s">
        <v>94</v>
      </c>
      <c r="D27" t="s">
        <v>9</v>
      </c>
      <c r="E27" s="28">
        <v>38897</v>
      </c>
      <c r="F27" s="13">
        <v>500.70163250000002</v>
      </c>
      <c r="G27" s="14">
        <f t="shared" si="0"/>
        <v>1.6500000000000001E-2</v>
      </c>
      <c r="H27" s="15" t="s">
        <v>313</v>
      </c>
      <c r="I27" s="106"/>
      <c r="J27" s="65" t="s">
        <v>43</v>
      </c>
      <c r="K27" s="48">
        <f t="shared" si="1"/>
        <v>1.15E-2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522</v>
      </c>
      <c r="C28" t="s">
        <v>523</v>
      </c>
      <c r="D28" t="s">
        <v>22</v>
      </c>
      <c r="E28" s="28">
        <v>132378</v>
      </c>
      <c r="F28" s="13">
        <v>496.88082299999996</v>
      </c>
      <c r="G28" s="14">
        <f t="shared" si="0"/>
        <v>1.6299999999999999E-2</v>
      </c>
      <c r="H28" s="15" t="s">
        <v>313</v>
      </c>
      <c r="I28" s="106"/>
      <c r="J28" t="s">
        <v>35</v>
      </c>
      <c r="K28" s="48">
        <f t="shared" si="1"/>
        <v>8.9999999999999993E-3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269</v>
      </c>
      <c r="C29" t="s">
        <v>55</v>
      </c>
      <c r="D29" t="s">
        <v>24</v>
      </c>
      <c r="E29" s="28">
        <v>25988</v>
      </c>
      <c r="F29" s="13">
        <v>485.01404400000001</v>
      </c>
      <c r="G29" s="14">
        <f t="shared" si="0"/>
        <v>1.5900000000000001E-2</v>
      </c>
      <c r="H29" s="15" t="s">
        <v>313</v>
      </c>
      <c r="I29" s="106"/>
      <c r="J29" s="14" t="s">
        <v>41</v>
      </c>
      <c r="K29" s="48">
        <f t="shared" si="1"/>
        <v>8.6999999999999994E-3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276</v>
      </c>
      <c r="C30" t="s">
        <v>277</v>
      </c>
      <c r="D30" t="s">
        <v>135</v>
      </c>
      <c r="E30" s="28">
        <v>83629</v>
      </c>
      <c r="F30" s="13">
        <v>473.92554299999995</v>
      </c>
      <c r="G30" s="14">
        <f t="shared" si="0"/>
        <v>1.5599999999999999E-2</v>
      </c>
      <c r="H30" s="15" t="s">
        <v>313</v>
      </c>
      <c r="I30" s="106"/>
      <c r="J30" s="14" t="s">
        <v>30</v>
      </c>
      <c r="K30" s="48">
        <f t="shared" si="1"/>
        <v>8.0999999999999996E-3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187</v>
      </c>
      <c r="C31" t="s">
        <v>47</v>
      </c>
      <c r="D31" t="s">
        <v>19</v>
      </c>
      <c r="E31" s="28">
        <v>5158</v>
      </c>
      <c r="F31" s="13">
        <v>469.19231200000002</v>
      </c>
      <c r="G31" s="14">
        <f t="shared" si="0"/>
        <v>1.54E-2</v>
      </c>
      <c r="H31" s="15" t="s">
        <v>313</v>
      </c>
      <c r="I31" s="106"/>
      <c r="J31" s="14" t="s">
        <v>357</v>
      </c>
      <c r="K31" s="48">
        <f t="shared" si="1"/>
        <v>4.3E-3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246</v>
      </c>
      <c r="C32" t="s">
        <v>138</v>
      </c>
      <c r="D32" t="s">
        <v>39</v>
      </c>
      <c r="E32" s="28">
        <v>75012</v>
      </c>
      <c r="F32" s="13">
        <v>463.16159399999998</v>
      </c>
      <c r="G32" s="14">
        <f t="shared" si="0"/>
        <v>1.52E-2</v>
      </c>
      <c r="H32" s="15" t="s">
        <v>313</v>
      </c>
      <c r="I32" s="106"/>
      <c r="J32" s="14" t="s">
        <v>345</v>
      </c>
      <c r="K32" s="48">
        <f t="shared" si="1"/>
        <v>5.0000000000000001E-4</v>
      </c>
    </row>
    <row r="33" spans="1:11" ht="12.75" customHeight="1" x14ac:dyDescent="0.2">
      <c r="A33">
        <f>+MAX($A$8:A32)+1</f>
        <v>25</v>
      </c>
      <c r="B33" t="s">
        <v>271</v>
      </c>
      <c r="C33" t="s">
        <v>65</v>
      </c>
      <c r="D33" t="s">
        <v>17</v>
      </c>
      <c r="E33" s="28">
        <v>361061</v>
      </c>
      <c r="F33" s="13">
        <v>456.38110399999999</v>
      </c>
      <c r="G33" s="14">
        <f t="shared" si="0"/>
        <v>1.4999999999999999E-2</v>
      </c>
      <c r="H33" s="15" t="s">
        <v>313</v>
      </c>
      <c r="I33" s="106"/>
      <c r="J33" s="14" t="s">
        <v>353</v>
      </c>
      <c r="K33" s="48">
        <f t="shared" si="1"/>
        <v>0</v>
      </c>
    </row>
    <row r="34" spans="1:11" ht="12.75" customHeight="1" x14ac:dyDescent="0.2">
      <c r="A34">
        <f>+MAX($A$8:A33)+1</f>
        <v>26</v>
      </c>
      <c r="B34" t="s">
        <v>206</v>
      </c>
      <c r="C34" t="s">
        <v>76</v>
      </c>
      <c r="D34" t="s">
        <v>49</v>
      </c>
      <c r="E34" s="28">
        <v>159233</v>
      </c>
      <c r="F34" s="13">
        <v>455.32676350000003</v>
      </c>
      <c r="G34" s="14">
        <f t="shared" si="0"/>
        <v>1.4999999999999999E-2</v>
      </c>
      <c r="H34" s="15" t="s">
        <v>313</v>
      </c>
      <c r="I34" s="106"/>
      <c r="J34" s="14" t="s">
        <v>294</v>
      </c>
      <c r="K34" s="48">
        <f t="shared" si="1"/>
        <v>0</v>
      </c>
    </row>
    <row r="35" spans="1:11" ht="12.75" customHeight="1" x14ac:dyDescent="0.2">
      <c r="A35">
        <f>+MAX($A$8:A34)+1</f>
        <v>27</v>
      </c>
      <c r="B35" t="s">
        <v>211</v>
      </c>
      <c r="C35" t="s">
        <v>96</v>
      </c>
      <c r="D35" t="s">
        <v>19</v>
      </c>
      <c r="E35" s="28">
        <v>45625</v>
      </c>
      <c r="F35" s="13">
        <v>440.41812499999997</v>
      </c>
      <c r="G35" s="14">
        <f t="shared" si="0"/>
        <v>1.4500000000000001E-2</v>
      </c>
      <c r="H35" s="15" t="s">
        <v>313</v>
      </c>
      <c r="I35" s="106"/>
      <c r="J35" s="14" t="s">
        <v>62</v>
      </c>
      <c r="K35" s="48">
        <f>+SUMIFS($G$5:$G$1002,$B$5:$B$1002,"CBLO / Reverse Repo")+SUMIFS($G$5:$G$1002,$B$5:$B$1002,"Net Receivable/Payable")</f>
        <v>2.5100000000000001E-2</v>
      </c>
    </row>
    <row r="36" spans="1:11" ht="12.75" customHeight="1" x14ac:dyDescent="0.2">
      <c r="A36">
        <f>+MAX($A$8:A35)+1</f>
        <v>28</v>
      </c>
      <c r="B36" t="s">
        <v>209</v>
      </c>
      <c r="C36" t="s">
        <v>634</v>
      </c>
      <c r="D36" t="s">
        <v>24</v>
      </c>
      <c r="E36" s="28">
        <v>69300</v>
      </c>
      <c r="F36" s="13">
        <v>436.76325000000003</v>
      </c>
      <c r="G36" s="14">
        <f t="shared" si="0"/>
        <v>1.44E-2</v>
      </c>
      <c r="H36" s="15" t="s">
        <v>313</v>
      </c>
      <c r="I36" s="106"/>
    </row>
    <row r="37" spans="1:11" ht="12.75" customHeight="1" x14ac:dyDescent="0.2">
      <c r="A37">
        <f>+MAX($A$8:A36)+1</f>
        <v>29</v>
      </c>
      <c r="B37" t="s">
        <v>354</v>
      </c>
      <c r="C37" t="s">
        <v>66</v>
      </c>
      <c r="D37" t="s">
        <v>21</v>
      </c>
      <c r="E37" s="28">
        <v>62911</v>
      </c>
      <c r="F37" s="13">
        <v>410.71446350000002</v>
      </c>
      <c r="G37" s="14">
        <f t="shared" si="0"/>
        <v>1.35E-2</v>
      </c>
      <c r="H37" s="15" t="s">
        <v>313</v>
      </c>
      <c r="I37" s="106"/>
    </row>
    <row r="38" spans="1:11" ht="12.75" customHeight="1" x14ac:dyDescent="0.2">
      <c r="A38">
        <f>+MAX($A$8:A37)+1</f>
        <v>30</v>
      </c>
      <c r="B38" t="s">
        <v>195</v>
      </c>
      <c r="C38" t="s">
        <v>27</v>
      </c>
      <c r="D38" t="s">
        <v>9</v>
      </c>
      <c r="E38" s="28">
        <v>62354</v>
      </c>
      <c r="F38" s="13">
        <v>404.83334500000001</v>
      </c>
      <c r="G38" s="14">
        <f t="shared" si="0"/>
        <v>1.3299999999999999E-2</v>
      </c>
      <c r="H38" s="15" t="s">
        <v>313</v>
      </c>
      <c r="I38" s="106"/>
    </row>
    <row r="39" spans="1:11" ht="12.75" customHeight="1" x14ac:dyDescent="0.2">
      <c r="A39">
        <f>+MAX($A$8:A38)+1</f>
        <v>31</v>
      </c>
      <c r="B39" t="s">
        <v>183</v>
      </c>
      <c r="C39" t="s">
        <v>48</v>
      </c>
      <c r="D39" t="s">
        <v>21</v>
      </c>
      <c r="E39" s="28">
        <v>4703</v>
      </c>
      <c r="F39" s="13">
        <v>391.79517249999998</v>
      </c>
      <c r="G39" s="14">
        <f t="shared" si="0"/>
        <v>1.29E-2</v>
      </c>
      <c r="H39" s="15" t="s">
        <v>313</v>
      </c>
      <c r="I39" s="106"/>
    </row>
    <row r="40" spans="1:11" ht="12.75" customHeight="1" x14ac:dyDescent="0.2">
      <c r="A40">
        <f>+MAX($A$8:A39)+1</f>
        <v>32</v>
      </c>
      <c r="B40" t="s">
        <v>184</v>
      </c>
      <c r="C40" t="s">
        <v>50</v>
      </c>
      <c r="D40" t="s">
        <v>39</v>
      </c>
      <c r="E40" s="28">
        <v>452000</v>
      </c>
      <c r="F40" s="13">
        <v>385.33</v>
      </c>
      <c r="G40" s="14">
        <f t="shared" si="0"/>
        <v>1.2699999999999999E-2</v>
      </c>
      <c r="H40" s="15" t="s">
        <v>313</v>
      </c>
      <c r="I40" s="106"/>
    </row>
    <row r="41" spans="1:11" ht="12.75" customHeight="1" x14ac:dyDescent="0.2">
      <c r="A41">
        <f>+MAX($A$8:A40)+1</f>
        <v>33</v>
      </c>
      <c r="B41" t="s">
        <v>193</v>
      </c>
      <c r="C41" t="s">
        <v>59</v>
      </c>
      <c r="D41" t="s">
        <v>21</v>
      </c>
      <c r="E41" s="28">
        <v>53638</v>
      </c>
      <c r="F41" s="13">
        <v>382.304845</v>
      </c>
      <c r="G41" s="14">
        <f t="shared" ref="G41:G67" si="2">+ROUND(F41/VLOOKUP("Grand Total",$B$4:$F$306,5,0),4)</f>
        <v>1.26E-2</v>
      </c>
      <c r="H41" s="15" t="s">
        <v>313</v>
      </c>
      <c r="I41" s="106"/>
    </row>
    <row r="42" spans="1:11" ht="12.75" customHeight="1" x14ac:dyDescent="0.2">
      <c r="A42">
        <f>+MAX($A$8:A41)+1</f>
        <v>34</v>
      </c>
      <c r="B42" t="s">
        <v>465</v>
      </c>
      <c r="C42" t="s">
        <v>346</v>
      </c>
      <c r="D42" t="s">
        <v>9</v>
      </c>
      <c r="E42" s="28">
        <v>397862</v>
      </c>
      <c r="F42" s="13">
        <v>372.39883200000003</v>
      </c>
      <c r="G42" s="14">
        <f t="shared" si="2"/>
        <v>1.2200000000000001E-2</v>
      </c>
      <c r="H42" s="15" t="s">
        <v>313</v>
      </c>
      <c r="I42" s="106"/>
    </row>
    <row r="43" spans="1:11" ht="12.75" customHeight="1" x14ac:dyDescent="0.2">
      <c r="A43">
        <f>+MAX($A$8:A42)+1</f>
        <v>35</v>
      </c>
      <c r="B43" t="s">
        <v>432</v>
      </c>
      <c r="C43" t="s">
        <v>383</v>
      </c>
      <c r="D43" t="s">
        <v>21</v>
      </c>
      <c r="E43" s="28">
        <v>123800</v>
      </c>
      <c r="F43" s="13">
        <v>366.69560000000001</v>
      </c>
      <c r="G43" s="14">
        <f t="shared" si="2"/>
        <v>1.21E-2</v>
      </c>
      <c r="H43" s="15" t="s">
        <v>313</v>
      </c>
      <c r="I43" s="106"/>
    </row>
    <row r="44" spans="1:11" ht="12.75" customHeight="1" x14ac:dyDescent="0.2">
      <c r="A44">
        <f>+MAX($A$8:A43)+1</f>
        <v>36</v>
      </c>
      <c r="B44" t="s">
        <v>182</v>
      </c>
      <c r="C44" t="s">
        <v>51</v>
      </c>
      <c r="D44" t="s">
        <v>17</v>
      </c>
      <c r="E44" s="28">
        <v>8012</v>
      </c>
      <c r="F44" s="13">
        <v>358.57706000000002</v>
      </c>
      <c r="G44" s="14">
        <f t="shared" si="2"/>
        <v>1.18E-2</v>
      </c>
      <c r="H44" s="15" t="s">
        <v>313</v>
      </c>
      <c r="I44" s="106"/>
    </row>
    <row r="45" spans="1:11" ht="12.75" customHeight="1" x14ac:dyDescent="0.2">
      <c r="A45">
        <f>+MAX($A$8:A44)+1</f>
        <v>37</v>
      </c>
      <c r="B45" t="s">
        <v>280</v>
      </c>
      <c r="C45" t="s">
        <v>281</v>
      </c>
      <c r="D45" t="s">
        <v>9</v>
      </c>
      <c r="E45" s="28">
        <v>176440</v>
      </c>
      <c r="F45" s="13">
        <v>357.37921999999998</v>
      </c>
      <c r="G45" s="14">
        <f t="shared" si="2"/>
        <v>1.18E-2</v>
      </c>
      <c r="H45" s="15" t="s">
        <v>313</v>
      </c>
      <c r="I45" s="106"/>
    </row>
    <row r="46" spans="1:11" ht="12.75" customHeight="1" x14ac:dyDescent="0.2">
      <c r="A46">
        <f>+MAX($A$8:A45)+1</f>
        <v>38</v>
      </c>
      <c r="B46" t="s">
        <v>437</v>
      </c>
      <c r="C46" t="s">
        <v>438</v>
      </c>
      <c r="D46" t="s">
        <v>9</v>
      </c>
      <c r="E46" s="28">
        <v>556534</v>
      </c>
      <c r="F46" s="13">
        <v>355.90349299999997</v>
      </c>
      <c r="G46" s="14">
        <f t="shared" si="2"/>
        <v>1.17E-2</v>
      </c>
      <c r="H46" s="15" t="s">
        <v>313</v>
      </c>
      <c r="I46" s="106"/>
    </row>
    <row r="47" spans="1:11" ht="12.75" customHeight="1" x14ac:dyDescent="0.2">
      <c r="A47">
        <f>+MAX($A$8:A46)+1</f>
        <v>39</v>
      </c>
      <c r="B47" t="s">
        <v>435</v>
      </c>
      <c r="C47" t="s">
        <v>436</v>
      </c>
      <c r="D47" t="s">
        <v>43</v>
      </c>
      <c r="E47" s="28">
        <v>465975</v>
      </c>
      <c r="F47" s="13">
        <v>348.7822875</v>
      </c>
      <c r="G47" s="14">
        <f t="shared" si="2"/>
        <v>1.15E-2</v>
      </c>
      <c r="H47" s="15" t="s">
        <v>313</v>
      </c>
      <c r="I47" s="106"/>
    </row>
    <row r="48" spans="1:11" ht="12.75" customHeight="1" x14ac:dyDescent="0.2">
      <c r="A48">
        <f>+MAX($A$8:A47)+1</f>
        <v>40</v>
      </c>
      <c r="B48" t="s">
        <v>151</v>
      </c>
      <c r="C48" t="s">
        <v>161</v>
      </c>
      <c r="D48" t="s">
        <v>9</v>
      </c>
      <c r="E48" s="28">
        <v>119372</v>
      </c>
      <c r="F48" s="13">
        <v>338.65836400000001</v>
      </c>
      <c r="G48" s="14">
        <f t="shared" si="2"/>
        <v>1.11E-2</v>
      </c>
      <c r="H48" s="15" t="s">
        <v>313</v>
      </c>
      <c r="I48" s="106"/>
    </row>
    <row r="49" spans="1:9" ht="12.75" customHeight="1" x14ac:dyDescent="0.2">
      <c r="A49">
        <f>+MAX($A$8:A48)+1</f>
        <v>41</v>
      </c>
      <c r="B49" t="s">
        <v>220</v>
      </c>
      <c r="C49" t="s">
        <v>109</v>
      </c>
      <c r="D49" t="s">
        <v>13</v>
      </c>
      <c r="E49" s="28">
        <v>43000</v>
      </c>
      <c r="F49" s="13">
        <v>329.29399999999998</v>
      </c>
      <c r="G49" s="14">
        <f t="shared" si="2"/>
        <v>1.0800000000000001E-2</v>
      </c>
      <c r="H49" s="15" t="s">
        <v>313</v>
      </c>
      <c r="I49" s="106"/>
    </row>
    <row r="50" spans="1:9" ht="12.75" customHeight="1" x14ac:dyDescent="0.2">
      <c r="A50">
        <f>+MAX($A$8:A49)+1</f>
        <v>42</v>
      </c>
      <c r="B50" t="s">
        <v>309</v>
      </c>
      <c r="C50" t="s">
        <v>310</v>
      </c>
      <c r="D50" t="s">
        <v>36</v>
      </c>
      <c r="E50" s="28">
        <v>389384</v>
      </c>
      <c r="F50" s="13">
        <v>328.64009600000003</v>
      </c>
      <c r="G50" s="14">
        <f t="shared" si="2"/>
        <v>1.0800000000000001E-2</v>
      </c>
      <c r="H50" s="15" t="s">
        <v>313</v>
      </c>
      <c r="I50" s="106"/>
    </row>
    <row r="51" spans="1:9" ht="12.75" customHeight="1" x14ac:dyDescent="0.2">
      <c r="A51">
        <f>+MAX($A$8:A50)+1</f>
        <v>43</v>
      </c>
      <c r="B51" t="s">
        <v>398</v>
      </c>
      <c r="C51" t="s">
        <v>399</v>
      </c>
      <c r="D51" t="s">
        <v>22</v>
      </c>
      <c r="E51" s="28">
        <v>24011</v>
      </c>
      <c r="F51" s="13">
        <v>320.73893800000002</v>
      </c>
      <c r="G51" s="14">
        <f t="shared" si="2"/>
        <v>1.0500000000000001E-2</v>
      </c>
      <c r="H51" s="15" t="s">
        <v>313</v>
      </c>
      <c r="I51" s="106"/>
    </row>
    <row r="52" spans="1:9" ht="12.75" customHeight="1" x14ac:dyDescent="0.2">
      <c r="A52">
        <f>+MAX($A$8:A51)+1</f>
        <v>44</v>
      </c>
      <c r="B52" t="s">
        <v>468</v>
      </c>
      <c r="C52" t="s">
        <v>469</v>
      </c>
      <c r="D52" t="s">
        <v>102</v>
      </c>
      <c r="E52" s="28">
        <v>341032</v>
      </c>
      <c r="F52" s="13">
        <v>309.65705600000001</v>
      </c>
      <c r="G52" s="14">
        <f t="shared" si="2"/>
        <v>1.0200000000000001E-2</v>
      </c>
      <c r="H52" s="15" t="s">
        <v>313</v>
      </c>
      <c r="I52" s="106"/>
    </row>
    <row r="53" spans="1:9" ht="12.75" customHeight="1" x14ac:dyDescent="0.2">
      <c r="A53">
        <f>+MAX($A$8:A52)+1</f>
        <v>45</v>
      </c>
      <c r="B53" t="s">
        <v>175</v>
      </c>
      <c r="C53" t="s">
        <v>23</v>
      </c>
      <c r="D53" t="s">
        <v>13</v>
      </c>
      <c r="E53" s="28">
        <v>28985</v>
      </c>
      <c r="F53" s="13">
        <v>303.31353250000001</v>
      </c>
      <c r="G53" s="14">
        <f t="shared" si="2"/>
        <v>0.01</v>
      </c>
      <c r="H53" s="15" t="s">
        <v>313</v>
      </c>
      <c r="I53" s="106"/>
    </row>
    <row r="54" spans="1:9" ht="12.75" customHeight="1" x14ac:dyDescent="0.2">
      <c r="A54">
        <f>+MAX($A$8:A53)+1</f>
        <v>46</v>
      </c>
      <c r="B54" t="s">
        <v>586</v>
      </c>
      <c r="C54" t="s">
        <v>587</v>
      </c>
      <c r="D54" t="s">
        <v>24</v>
      </c>
      <c r="E54" s="28">
        <v>80000</v>
      </c>
      <c r="F54" s="13">
        <v>295.56</v>
      </c>
      <c r="G54" s="14">
        <f t="shared" si="2"/>
        <v>9.7000000000000003E-3</v>
      </c>
      <c r="H54" s="15" t="s">
        <v>313</v>
      </c>
      <c r="I54" s="106"/>
    </row>
    <row r="55" spans="1:9" ht="12.75" customHeight="1" x14ac:dyDescent="0.2">
      <c r="A55">
        <f>+MAX($A$8:A54)+1</f>
        <v>47</v>
      </c>
      <c r="B55" t="s">
        <v>289</v>
      </c>
      <c r="C55" t="s">
        <v>290</v>
      </c>
      <c r="D55" t="s">
        <v>17</v>
      </c>
      <c r="E55" s="28">
        <v>38680</v>
      </c>
      <c r="F55" s="13">
        <v>294.08404000000002</v>
      </c>
      <c r="G55" s="14">
        <f t="shared" si="2"/>
        <v>9.7000000000000003E-3</v>
      </c>
      <c r="H55" s="15" t="s">
        <v>313</v>
      </c>
      <c r="I55" s="106"/>
    </row>
    <row r="56" spans="1:9" ht="12.75" customHeight="1" x14ac:dyDescent="0.2">
      <c r="A56">
        <f>+MAX($A$8:A55)+1</f>
        <v>48</v>
      </c>
      <c r="B56" t="s">
        <v>38</v>
      </c>
      <c r="C56" t="s">
        <v>40</v>
      </c>
      <c r="D56" t="s">
        <v>9</v>
      </c>
      <c r="E56" s="28">
        <v>189657</v>
      </c>
      <c r="F56" s="13">
        <v>290.08038149999999</v>
      </c>
      <c r="G56" s="14">
        <f t="shared" si="2"/>
        <v>9.4999999999999998E-3</v>
      </c>
      <c r="H56" s="15" t="s">
        <v>313</v>
      </c>
      <c r="I56" s="106"/>
    </row>
    <row r="57" spans="1:9" ht="12.75" customHeight="1" x14ac:dyDescent="0.2">
      <c r="A57">
        <f>+MAX($A$8:A56)+1</f>
        <v>49</v>
      </c>
      <c r="B57" t="s">
        <v>456</v>
      </c>
      <c r="C57" t="s">
        <v>457</v>
      </c>
      <c r="D57" t="s">
        <v>102</v>
      </c>
      <c r="E57" s="28">
        <v>360000</v>
      </c>
      <c r="F57" s="13">
        <v>287.45999999999998</v>
      </c>
      <c r="G57" s="14">
        <f t="shared" si="2"/>
        <v>9.4999999999999998E-3</v>
      </c>
      <c r="H57" s="15" t="s">
        <v>313</v>
      </c>
      <c r="I57" s="106"/>
    </row>
    <row r="58" spans="1:9" ht="12.75" customHeight="1" x14ac:dyDescent="0.2">
      <c r="A58">
        <f>+MAX($A$8:A57)+1</f>
        <v>50</v>
      </c>
      <c r="B58" t="s">
        <v>494</v>
      </c>
      <c r="C58" t="s">
        <v>495</v>
      </c>
      <c r="D58" t="s">
        <v>35</v>
      </c>
      <c r="E58" s="28">
        <v>29355</v>
      </c>
      <c r="F58" s="13">
        <v>272.66391750000003</v>
      </c>
      <c r="G58" s="14">
        <f t="shared" si="2"/>
        <v>8.9999999999999993E-3</v>
      </c>
      <c r="H58" s="15" t="s">
        <v>313</v>
      </c>
      <c r="I58" s="106"/>
    </row>
    <row r="59" spans="1:9" ht="12.75" customHeight="1" x14ac:dyDescent="0.2">
      <c r="A59">
        <f>+MAX($A$8:A58)+1</f>
        <v>51</v>
      </c>
      <c r="B59" t="s">
        <v>396</v>
      </c>
      <c r="C59" t="s">
        <v>397</v>
      </c>
      <c r="D59" t="s">
        <v>41</v>
      </c>
      <c r="E59" s="28">
        <v>31500</v>
      </c>
      <c r="F59" s="13">
        <v>265.62374999999997</v>
      </c>
      <c r="G59" s="14">
        <f t="shared" si="2"/>
        <v>8.6999999999999994E-3</v>
      </c>
      <c r="H59" s="15" t="s">
        <v>313</v>
      </c>
      <c r="I59" s="106"/>
    </row>
    <row r="60" spans="1:9" ht="12.75" customHeight="1" x14ac:dyDescent="0.2">
      <c r="A60">
        <f>+MAX($A$8:A59)+1</f>
        <v>52</v>
      </c>
      <c r="B60" t="s">
        <v>201</v>
      </c>
      <c r="C60" t="s">
        <v>68</v>
      </c>
      <c r="D60" t="s">
        <v>9</v>
      </c>
      <c r="E60" s="28">
        <v>327366</v>
      </c>
      <c r="F60" s="13">
        <v>265.49382600000001</v>
      </c>
      <c r="G60" s="14">
        <f t="shared" si="2"/>
        <v>8.6999999999999994E-3</v>
      </c>
      <c r="H60" s="15" t="s">
        <v>313</v>
      </c>
      <c r="I60" s="106"/>
    </row>
    <row r="61" spans="1:9" ht="12.75" customHeight="1" x14ac:dyDescent="0.2">
      <c r="A61">
        <f>+MAX($A$8:A60)+1</f>
        <v>53</v>
      </c>
      <c r="B61" t="s">
        <v>219</v>
      </c>
      <c r="C61" t="s">
        <v>108</v>
      </c>
      <c r="D61" t="s">
        <v>19</v>
      </c>
      <c r="E61" s="28">
        <v>8098</v>
      </c>
      <c r="F61" s="13">
        <v>263.49272400000001</v>
      </c>
      <c r="G61" s="14">
        <f t="shared" si="2"/>
        <v>8.6999999999999994E-3</v>
      </c>
      <c r="H61" s="15" t="s">
        <v>313</v>
      </c>
      <c r="I61" s="106"/>
    </row>
    <row r="62" spans="1:9" ht="12.75" customHeight="1" x14ac:dyDescent="0.2">
      <c r="A62">
        <f>+MAX($A$8:A61)+1</f>
        <v>54</v>
      </c>
      <c r="B62" t="s">
        <v>500</v>
      </c>
      <c r="C62" t="s">
        <v>501</v>
      </c>
      <c r="D62" t="s">
        <v>30</v>
      </c>
      <c r="E62" s="28">
        <v>118000</v>
      </c>
      <c r="F62" s="13">
        <v>246.26599999999999</v>
      </c>
      <c r="G62" s="14">
        <f t="shared" si="2"/>
        <v>8.0999999999999996E-3</v>
      </c>
      <c r="H62" s="15" t="s">
        <v>313</v>
      </c>
      <c r="I62" s="106"/>
    </row>
    <row r="63" spans="1:9" ht="12.75" customHeight="1" x14ac:dyDescent="0.2">
      <c r="A63">
        <f>+MAX($A$8:A62)+1</f>
        <v>55</v>
      </c>
      <c r="B63" t="s">
        <v>177</v>
      </c>
      <c r="C63" t="s">
        <v>37</v>
      </c>
      <c r="D63" t="s">
        <v>19</v>
      </c>
      <c r="E63" s="28">
        <v>8955</v>
      </c>
      <c r="F63" s="13">
        <v>245.80131750000001</v>
      </c>
      <c r="G63" s="14">
        <f t="shared" si="2"/>
        <v>8.0999999999999996E-3</v>
      </c>
      <c r="H63" s="15" t="s">
        <v>313</v>
      </c>
      <c r="I63" s="106"/>
    </row>
    <row r="64" spans="1:9" ht="12.75" customHeight="1" x14ac:dyDescent="0.2">
      <c r="A64">
        <f>+MAX($A$8:A63)+1</f>
        <v>56</v>
      </c>
      <c r="B64" t="s">
        <v>433</v>
      </c>
      <c r="C64" t="s">
        <v>434</v>
      </c>
      <c r="D64" t="s">
        <v>126</v>
      </c>
      <c r="E64" s="28">
        <v>117725</v>
      </c>
      <c r="F64" s="13">
        <v>222.91228749999999</v>
      </c>
      <c r="G64" s="14">
        <f t="shared" si="2"/>
        <v>7.3000000000000001E-3</v>
      </c>
      <c r="H64" s="15" t="s">
        <v>313</v>
      </c>
      <c r="I64" s="106"/>
    </row>
    <row r="65" spans="1:9" ht="12.75" customHeight="1" x14ac:dyDescent="0.2">
      <c r="A65">
        <f>+MAX($A$8:A64)+1</f>
        <v>57</v>
      </c>
      <c r="B65" t="s">
        <v>466</v>
      </c>
      <c r="C65" t="s">
        <v>467</v>
      </c>
      <c r="D65" t="s">
        <v>9</v>
      </c>
      <c r="E65" s="28">
        <v>390048</v>
      </c>
      <c r="F65" s="13">
        <v>157.18934400000001</v>
      </c>
      <c r="G65" s="14">
        <f t="shared" si="2"/>
        <v>5.1999999999999998E-3</v>
      </c>
      <c r="H65" s="15" t="s">
        <v>313</v>
      </c>
      <c r="I65" s="106"/>
    </row>
    <row r="66" spans="1:9" ht="12.75" customHeight="1" x14ac:dyDescent="0.2">
      <c r="A66">
        <f>+MAX($A$8:A65)+1</f>
        <v>58</v>
      </c>
      <c r="B66" t="s">
        <v>278</v>
      </c>
      <c r="C66" t="s">
        <v>70</v>
      </c>
      <c r="D66" t="s">
        <v>26</v>
      </c>
      <c r="E66" s="28">
        <v>934500</v>
      </c>
      <c r="F66" s="13">
        <v>132.69900000000001</v>
      </c>
      <c r="G66" s="14">
        <f t="shared" si="2"/>
        <v>4.4000000000000003E-3</v>
      </c>
      <c r="H66" s="15" t="s">
        <v>313</v>
      </c>
      <c r="I66" s="106"/>
    </row>
    <row r="67" spans="1:9" ht="12.75" customHeight="1" x14ac:dyDescent="0.2">
      <c r="A67">
        <f>+MAX($A$8:A66)+1</f>
        <v>59</v>
      </c>
      <c r="B67" t="s">
        <v>355</v>
      </c>
      <c r="C67" t="s">
        <v>356</v>
      </c>
      <c r="D67" t="s">
        <v>357</v>
      </c>
      <c r="E67" s="28">
        <v>91300</v>
      </c>
      <c r="F67" s="13">
        <v>129.5547</v>
      </c>
      <c r="G67" s="14">
        <f t="shared" si="2"/>
        <v>4.3E-3</v>
      </c>
      <c r="H67" s="15" t="s">
        <v>313</v>
      </c>
      <c r="I67" s="106"/>
    </row>
    <row r="68" spans="1:9" ht="12.75" customHeight="1" x14ac:dyDescent="0.2">
      <c r="A68">
        <f>+MAX($A$8:A67)+1</f>
        <v>60</v>
      </c>
      <c r="B68" t="s">
        <v>375</v>
      </c>
      <c r="C68" s="120" t="s">
        <v>787</v>
      </c>
      <c r="D68" t="s">
        <v>36</v>
      </c>
      <c r="E68" s="28">
        <v>250</v>
      </c>
      <c r="F68" s="13">
        <v>0</v>
      </c>
      <c r="G68" s="107" t="s">
        <v>430</v>
      </c>
      <c r="H68" s="15" t="s">
        <v>313</v>
      </c>
      <c r="I68" s="106"/>
    </row>
    <row r="69" spans="1:9" ht="12.75" customHeight="1" x14ac:dyDescent="0.2">
      <c r="B69" s="18" t="s">
        <v>82</v>
      </c>
      <c r="C69" s="18"/>
      <c r="D69" s="18"/>
      <c r="E69" s="29"/>
      <c r="F69" s="19">
        <f>SUM(F9:F68)</f>
        <v>29627.627676999997</v>
      </c>
      <c r="G69" s="20">
        <f>SUM(G9:G68)</f>
        <v>0.97439999999999993</v>
      </c>
      <c r="H69" s="21"/>
      <c r="I69" s="49"/>
    </row>
    <row r="70" spans="1:9" ht="12.75" customHeight="1" x14ac:dyDescent="0.2">
      <c r="F70" s="85"/>
      <c r="G70" s="14"/>
      <c r="H70" s="15"/>
    </row>
    <row r="71" spans="1:9" ht="12.75" customHeight="1" x14ac:dyDescent="0.2">
      <c r="B71" s="16" t="s">
        <v>265</v>
      </c>
      <c r="C71" s="16"/>
      <c r="F71" s="13"/>
      <c r="G71" s="14"/>
      <c r="H71" s="15"/>
    </row>
    <row r="72" spans="1:9" ht="12.75" customHeight="1" x14ac:dyDescent="0.2">
      <c r="A72">
        <f>+MAX($A$8:A71)+1</f>
        <v>61</v>
      </c>
      <c r="B72" s="65" t="s">
        <v>559</v>
      </c>
      <c r="C72" t="s">
        <v>148</v>
      </c>
      <c r="D72" s="65" t="s">
        <v>294</v>
      </c>
      <c r="E72" s="28">
        <v>8600</v>
      </c>
      <c r="F72" s="13">
        <v>0</v>
      </c>
      <c r="G72" s="107" t="s">
        <v>430</v>
      </c>
      <c r="H72" s="15" t="s">
        <v>313</v>
      </c>
    </row>
    <row r="73" spans="1:9" ht="12.75" customHeight="1" x14ac:dyDescent="0.2">
      <c r="A73">
        <f>+MAX($A$8:A72)+1</f>
        <v>62</v>
      </c>
      <c r="B73" s="65" t="s">
        <v>549</v>
      </c>
      <c r="C73" s="65" t="s">
        <v>87</v>
      </c>
      <c r="D73" t="s">
        <v>353</v>
      </c>
      <c r="E73" s="28">
        <v>200000</v>
      </c>
      <c r="F73" s="13">
        <v>0</v>
      </c>
      <c r="G73" s="107" t="s">
        <v>430</v>
      </c>
      <c r="H73" s="15" t="s">
        <v>313</v>
      </c>
    </row>
    <row r="74" spans="1:9" ht="12.75" customHeight="1" x14ac:dyDescent="0.2">
      <c r="B74" s="18" t="s">
        <v>82</v>
      </c>
      <c r="C74" s="18"/>
      <c r="D74" s="18"/>
      <c r="E74" s="29"/>
      <c r="F74" s="19">
        <f>SUM(F72:F73)</f>
        <v>0</v>
      </c>
      <c r="G74" s="51" t="s">
        <v>430</v>
      </c>
      <c r="H74" s="21"/>
      <c r="I74" s="35"/>
    </row>
    <row r="75" spans="1:9" ht="12.75" customHeight="1" x14ac:dyDescent="0.2">
      <c r="F75" s="13"/>
      <c r="G75" s="14"/>
      <c r="H75" s="15"/>
    </row>
    <row r="76" spans="1:9" ht="12.75" customHeight="1" x14ac:dyDescent="0.2">
      <c r="B76" s="16" t="s">
        <v>88</v>
      </c>
      <c r="F76" s="13"/>
      <c r="G76" s="14"/>
      <c r="H76" s="15"/>
    </row>
    <row r="77" spans="1:9" ht="12.75" customHeight="1" x14ac:dyDescent="0.2">
      <c r="B77" s="16" t="s">
        <v>153</v>
      </c>
      <c r="C77" s="16"/>
      <c r="F77" s="13"/>
      <c r="G77" s="14"/>
      <c r="H77" s="15"/>
    </row>
    <row r="78" spans="1:9" ht="12.75" customHeight="1" x14ac:dyDescent="0.2">
      <c r="A78">
        <f>+MAX($A$8:A77)+1</f>
        <v>63</v>
      </c>
      <c r="B78" s="65" t="s">
        <v>450</v>
      </c>
      <c r="C78" t="s">
        <v>672</v>
      </c>
      <c r="D78" s="65" t="s">
        <v>345</v>
      </c>
      <c r="E78" s="28">
        <v>14000</v>
      </c>
      <c r="F78" s="13">
        <v>13.808479999999999</v>
      </c>
      <c r="G78" s="14">
        <f>+ROUND(F78/VLOOKUP("Grand Total",$B$4:$F$306,5,0),4)</f>
        <v>5.0000000000000001E-4</v>
      </c>
      <c r="H78" s="15">
        <v>43419</v>
      </c>
    </row>
    <row r="79" spans="1:9" ht="12.75" customHeight="1" x14ac:dyDescent="0.2">
      <c r="B79" s="18" t="s">
        <v>82</v>
      </c>
      <c r="C79" s="18"/>
      <c r="D79" s="18"/>
      <c r="E79" s="29"/>
      <c r="F79" s="19">
        <f>SUM(F78:F78)</f>
        <v>13.808479999999999</v>
      </c>
      <c r="G79" s="20">
        <f>SUM(G78:G78)</f>
        <v>5.0000000000000001E-4</v>
      </c>
      <c r="H79" s="21"/>
      <c r="I79" s="35"/>
    </row>
    <row r="80" spans="1:9" ht="12.75" customHeight="1" x14ac:dyDescent="0.2">
      <c r="F80" s="13"/>
      <c r="G80" s="14"/>
      <c r="H80" s="15"/>
    </row>
    <row r="81" spans="1:9" ht="12.75" customHeight="1" x14ac:dyDescent="0.2">
      <c r="B81" s="16" t="s">
        <v>91</v>
      </c>
      <c r="C81" s="16"/>
      <c r="F81" s="13"/>
      <c r="G81" s="14"/>
      <c r="H81" s="15"/>
    </row>
    <row r="82" spans="1:9" ht="12.75" customHeight="1" x14ac:dyDescent="0.2">
      <c r="A82" s="94" t="s">
        <v>312</v>
      </c>
      <c r="B82" s="16" t="s">
        <v>633</v>
      </c>
      <c r="C82" s="16"/>
      <c r="F82" s="13">
        <v>905.02337160000002</v>
      </c>
      <c r="G82" s="14">
        <f>+ROUND(F82/VLOOKUP("Grand Total",$B$4:$F$306,5,0),4)</f>
        <v>2.98E-2</v>
      </c>
      <c r="H82" s="15">
        <v>43346</v>
      </c>
    </row>
    <row r="83" spans="1:9" ht="12.75" customHeight="1" x14ac:dyDescent="0.2">
      <c r="B83" s="16" t="s">
        <v>92</v>
      </c>
      <c r="C83" s="16"/>
      <c r="F83" s="13">
        <v>-135.18833269999595</v>
      </c>
      <c r="G83" s="14">
        <f>+ROUND(F83/VLOOKUP("Grand Total",$B$4:$F$306,5,0),4)-0.03%</f>
        <v>-4.7000000000000002E-3</v>
      </c>
      <c r="H83" s="15"/>
    </row>
    <row r="84" spans="1:9" ht="12.75" customHeight="1" x14ac:dyDescent="0.2">
      <c r="B84" s="18" t="s">
        <v>82</v>
      </c>
      <c r="C84" s="18"/>
      <c r="D84" s="18"/>
      <c r="E84" s="29"/>
      <c r="F84" s="19">
        <f>SUM(F82:F83)</f>
        <v>769.83503890000406</v>
      </c>
      <c r="G84" s="20">
        <f>SUM(G82:G83)</f>
        <v>2.5100000000000001E-2</v>
      </c>
      <c r="H84" s="21"/>
      <c r="I84" s="49"/>
    </row>
    <row r="85" spans="1:9" ht="12.75" customHeight="1" x14ac:dyDescent="0.2">
      <c r="B85" s="22" t="s">
        <v>93</v>
      </c>
      <c r="C85" s="22"/>
      <c r="D85" s="22"/>
      <c r="E85" s="30"/>
      <c r="F85" s="23">
        <f>+SUMIF($B$5:B84,"Total",$F$5:F84)</f>
        <v>30411.271195900001</v>
      </c>
      <c r="G85" s="24">
        <f>+SUMIF($B$5:B84,"Total",$G$5:G84)</f>
        <v>0.99999999999999989</v>
      </c>
      <c r="H85" s="25"/>
      <c r="I85" s="35"/>
    </row>
    <row r="86" spans="1:9" ht="12.75" customHeight="1" x14ac:dyDescent="0.2"/>
    <row r="87" spans="1:9" ht="12.75" customHeight="1" x14ac:dyDescent="0.2">
      <c r="B87" s="16" t="s">
        <v>166</v>
      </c>
    </row>
    <row r="88" spans="1:9" ht="12.75" customHeight="1" x14ac:dyDescent="0.2">
      <c r="B88" s="16" t="s">
        <v>167</v>
      </c>
      <c r="C88" s="16"/>
    </row>
    <row r="89" spans="1:9" ht="12.75" customHeight="1" x14ac:dyDescent="0.2">
      <c r="B89" s="16" t="s">
        <v>168</v>
      </c>
      <c r="C89" s="16"/>
    </row>
    <row r="90" spans="1:9" ht="12.75" customHeight="1" x14ac:dyDescent="0.2">
      <c r="B90" s="16" t="s">
        <v>169</v>
      </c>
      <c r="C90" s="16"/>
    </row>
    <row r="91" spans="1:9" ht="12.75" customHeight="1" x14ac:dyDescent="0.2">
      <c r="B91" s="53"/>
      <c r="C91" s="16"/>
    </row>
    <row r="92" spans="1:9" ht="12.75" customHeight="1" x14ac:dyDescent="0.2">
      <c r="B92" s="16"/>
      <c r="C92" s="16"/>
    </row>
    <row r="93" spans="1:9" ht="12.75" customHeight="1" x14ac:dyDescent="0.2"/>
    <row r="94" spans="1:9" ht="12.75" customHeight="1" x14ac:dyDescent="0.2"/>
    <row r="95" spans="1:9" ht="12.75" customHeight="1" x14ac:dyDescent="0.2"/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spans="9:9" ht="12.75" customHeight="1" x14ac:dyDescent="0.2"/>
    <row r="114" spans="9:9" ht="12.75" customHeight="1" x14ac:dyDescent="0.2"/>
    <row r="115" spans="9:9" ht="12.75" customHeight="1" x14ac:dyDescent="0.2"/>
    <row r="116" spans="9:9" ht="12.75" customHeight="1" x14ac:dyDescent="0.2"/>
    <row r="117" spans="9:9" ht="12.75" customHeight="1" x14ac:dyDescent="0.2"/>
    <row r="118" spans="9:9" ht="12.75" customHeight="1" x14ac:dyDescent="0.2">
      <c r="I118" s="33" t="str">
        <f>IFERROR(IF(A118="CBLO",VLOOKUP($A$1&amp;A118,#REF!,23,0),IF(VLOOKUP($C118,#REF!,17,0)="","",VLOOKUP(C118,#REF!,17,0))),"")</f>
        <v/>
      </c>
    </row>
    <row r="119" spans="9:9" ht="12.75" customHeight="1" x14ac:dyDescent="0.2">
      <c r="I119" s="33" t="str">
        <f>IFERROR(IF(A119="CBLO",VLOOKUP($A$1&amp;A119,#REF!,23,0),IF(VLOOKUP($C119,#REF!,17,0)="","",VLOOKUP(C119,#REF!,17,0))),"")</f>
        <v/>
      </c>
    </row>
    <row r="120" spans="9:9" ht="12.75" customHeight="1" x14ac:dyDescent="0.2">
      <c r="I120" s="33" t="str">
        <f>IFERROR(IF(A120="CBLO",VLOOKUP($A$1&amp;A120,#REF!,23,0),IF(VLOOKUP($C120,#REF!,17,0)="","",VLOOKUP(C120,#REF!,17,0))),"")</f>
        <v/>
      </c>
    </row>
    <row r="121" spans="9:9" ht="12.75" customHeight="1" x14ac:dyDescent="0.2">
      <c r="I121" s="33" t="str">
        <f>IFERROR(IF(A121="CBLO",VLOOKUP($A$1&amp;A121,#REF!,23,0),IF(VLOOKUP($C121,#REF!,17,0)="","",VLOOKUP(C121,#REF!,17,0))),"")</f>
        <v/>
      </c>
    </row>
    <row r="122" spans="9:9" ht="12.75" customHeight="1" x14ac:dyDescent="0.2">
      <c r="I122" s="33" t="str">
        <f>IFERROR(IF(A122="CBLO",VLOOKUP($A$1&amp;A122,#REF!,23,0),IF(VLOOKUP($C122,#REF!,17,0)="","",VLOOKUP(C122,#REF!,17,0))),"")</f>
        <v/>
      </c>
    </row>
    <row r="123" spans="9:9" ht="12.75" customHeight="1" x14ac:dyDescent="0.2">
      <c r="I123" s="33" t="str">
        <f>IFERROR(IF(A123="CBLO",VLOOKUP($A$1&amp;A123,#REF!,23,0),IF(VLOOKUP($C123,#REF!,17,0)="","",VLOOKUP(C123,#REF!,17,0))),"")</f>
        <v/>
      </c>
    </row>
    <row r="124" spans="9:9" ht="12.75" customHeight="1" x14ac:dyDescent="0.2"/>
    <row r="125" spans="9:9" ht="12.75" customHeight="1" x14ac:dyDescent="0.2"/>
    <row r="126" spans="9:9" ht="12.75" customHeight="1" x14ac:dyDescent="0.2"/>
    <row r="127" spans="9:9" ht="12.75" customHeight="1" x14ac:dyDescent="0.2">
      <c r="I127" s="33" t="str">
        <f>IFERROR(IF(A127="CBLO",VLOOKUP($A$1&amp;A127,#REF!,23,0),IF(VLOOKUP($C127,#REF!,17,0)="","",VLOOKUP(C127,#REF!,17,0))),"")</f>
        <v/>
      </c>
    </row>
    <row r="128" spans="9:9" ht="12.75" customHeight="1" x14ac:dyDescent="0.2"/>
    <row r="129" spans="9:9" ht="12.75" customHeight="1" x14ac:dyDescent="0.2"/>
    <row r="130" spans="9:9" ht="12.75" customHeight="1" x14ac:dyDescent="0.2"/>
    <row r="131" spans="9:9" x14ac:dyDescent="0.2">
      <c r="I131" s="33" t="str">
        <f>IFERROR(IF(A131="CBLO",VLOOKUP($A$1&amp;A131,#REF!,23,0),IF(VLOOKUP($C131,#REF!,17,0)="","",VLOOKUP(C131,#REF!,17,0))),"")</f>
        <v/>
      </c>
    </row>
    <row r="132" spans="9:9" x14ac:dyDescent="0.2">
      <c r="I132" s="33" t="str">
        <f>IFERROR(IF(A132="CBLO",VLOOKUP($A$1&amp;A132,#REF!,23,0),IF(VLOOKUP($C132,#REF!,17,0)="","",VLOOKUP(C132,#REF!,17,0))),"")</f>
        <v/>
      </c>
    </row>
    <row r="137" spans="9:9" x14ac:dyDescent="0.2">
      <c r="I137" s="33" t="str">
        <f>IFERROR(IF(A137="CBLO",VLOOKUP($A$1&amp;A137,#REF!,23,0),IF(VLOOKUP($C137,#REF!,17,0)="","",VLOOKUP(C137,#REF!,17,0))),"")</f>
        <v/>
      </c>
    </row>
    <row r="138" spans="9:9" x14ac:dyDescent="0.2">
      <c r="I138" s="33" t="str">
        <f>IFERROR(IF(A138="CBLO",VLOOKUP($A$1&amp;A138,#REF!,23,0),IF(VLOOKUP($C138,#REF!,17,0)="","",VLOOKUP(C138,#REF!,17,0))),"")</f>
        <v/>
      </c>
    </row>
    <row r="142" spans="9:9" x14ac:dyDescent="0.2">
      <c r="I142" s="33" t="str">
        <f>IFERROR(IF(A142="CBLO",VLOOKUP($A$1&amp;A142,#REF!,23,0),IF(VLOOKUP($C142,#REF!,17,0)="","",VLOOKUP(C142,#REF!,17,0))),"")</f>
        <v/>
      </c>
    </row>
    <row r="146" spans="9:9" x14ac:dyDescent="0.2">
      <c r="I146" s="33" t="str">
        <f>IFERROR(IF(A146="CBLO",VLOOKUP($A$1&amp;A146,#REF!,23,0),IF(VLOOKUP($C146,#REF!,17,0)="","",VLOOKUP(C146,#REF!,17,0))),"")</f>
        <v/>
      </c>
    </row>
  </sheetData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3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320</v>
      </c>
      <c r="B1" s="128" t="s">
        <v>739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347</v>
      </c>
      <c r="C8" s="16"/>
      <c r="F8" s="13"/>
      <c r="G8" s="14"/>
      <c r="H8" s="15"/>
      <c r="J8" s="17" t="s">
        <v>493</v>
      </c>
      <c r="K8" s="37" t="s">
        <v>11</v>
      </c>
    </row>
    <row r="9" spans="1:16" ht="12.75" customHeight="1" x14ac:dyDescent="0.2">
      <c r="A9">
        <f>+MAX($A$8:A8)+1</f>
        <v>1</v>
      </c>
      <c r="B9" t="s">
        <v>170</v>
      </c>
      <c r="C9" t="s">
        <v>12</v>
      </c>
      <c r="D9" t="s">
        <v>9</v>
      </c>
      <c r="E9" s="28">
        <v>96934</v>
      </c>
      <c r="F9" s="13">
        <v>1998.0036080000002</v>
      </c>
      <c r="G9" s="14">
        <f t="shared" ref="G9:G40" si="0">+ROUND(F9/VLOOKUP("Grand Total",$B$4:$F$281,5,0),4)</f>
        <v>4.8599999999999997E-2</v>
      </c>
      <c r="H9" s="15" t="s">
        <v>313</v>
      </c>
      <c r="J9" s="14" t="s">
        <v>9</v>
      </c>
      <c r="K9" s="48">
        <f t="shared" ref="K9:K33" si="1">SUMIFS($G$5:$G$318,$D$5:$D$318,J9)</f>
        <v>0.20359999999999998</v>
      </c>
    </row>
    <row r="10" spans="1:16" ht="12.75" customHeight="1" x14ac:dyDescent="0.2">
      <c r="A10">
        <f>+MAX($A$8:A9)+1</f>
        <v>2</v>
      </c>
      <c r="B10" t="s">
        <v>172</v>
      </c>
      <c r="C10" t="s">
        <v>29</v>
      </c>
      <c r="D10" t="s">
        <v>28</v>
      </c>
      <c r="E10" s="28">
        <v>134452</v>
      </c>
      <c r="F10" s="13">
        <v>1669.423258</v>
      </c>
      <c r="G10" s="14">
        <f t="shared" si="0"/>
        <v>4.0599999999999997E-2</v>
      </c>
      <c r="H10" s="15" t="s">
        <v>313</v>
      </c>
      <c r="J10" s="14" t="s">
        <v>24</v>
      </c>
      <c r="K10" s="48">
        <f t="shared" si="1"/>
        <v>0.14269999999999999</v>
      </c>
    </row>
    <row r="11" spans="1:16" ht="12.75" customHeight="1" x14ac:dyDescent="0.2">
      <c r="A11">
        <f>+MAX($A$8:A10)+1</f>
        <v>3</v>
      </c>
      <c r="B11" t="s">
        <v>179</v>
      </c>
      <c r="C11" t="s">
        <v>44</v>
      </c>
      <c r="D11" t="s">
        <v>24</v>
      </c>
      <c r="E11" s="28">
        <v>479396</v>
      </c>
      <c r="F11" s="13">
        <v>1533.3481059999999</v>
      </c>
      <c r="G11" s="14">
        <f t="shared" si="0"/>
        <v>3.73E-2</v>
      </c>
      <c r="H11" s="15" t="s">
        <v>313</v>
      </c>
      <c r="J11" s="14" t="s">
        <v>13</v>
      </c>
      <c r="K11" s="48">
        <f t="shared" si="1"/>
        <v>8.6700000000000013E-2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173</v>
      </c>
      <c r="C12" t="s">
        <v>10</v>
      </c>
      <c r="D12" t="s">
        <v>9</v>
      </c>
      <c r="E12" s="28">
        <v>428143</v>
      </c>
      <c r="F12" s="13">
        <v>1466.8179180000002</v>
      </c>
      <c r="G12" s="14">
        <f t="shared" si="0"/>
        <v>3.5700000000000003E-2</v>
      </c>
      <c r="H12" s="15" t="s">
        <v>313</v>
      </c>
      <c r="J12" s="14" t="s">
        <v>22</v>
      </c>
      <c r="K12" s="48">
        <f t="shared" si="1"/>
        <v>5.2899999999999996E-2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194</v>
      </c>
      <c r="C13" t="s">
        <v>18</v>
      </c>
      <c r="D13" t="s">
        <v>13</v>
      </c>
      <c r="E13" s="28">
        <v>68640</v>
      </c>
      <c r="F13" s="13">
        <v>1426.61376</v>
      </c>
      <c r="G13" s="14">
        <f t="shared" si="0"/>
        <v>3.4700000000000002E-2</v>
      </c>
      <c r="H13" s="15" t="s">
        <v>313</v>
      </c>
      <c r="J13" s="14" t="s">
        <v>34</v>
      </c>
      <c r="K13" s="48">
        <f t="shared" si="1"/>
        <v>4.9000000000000002E-2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171</v>
      </c>
      <c r="C14" t="s">
        <v>14</v>
      </c>
      <c r="D14" t="s">
        <v>13</v>
      </c>
      <c r="E14" s="28">
        <v>88297</v>
      </c>
      <c r="F14" s="13">
        <v>1272.448067</v>
      </c>
      <c r="G14" s="14">
        <f t="shared" si="0"/>
        <v>3.1E-2</v>
      </c>
      <c r="H14" s="15" t="s">
        <v>313</v>
      </c>
      <c r="J14" s="14" t="s">
        <v>21</v>
      </c>
      <c r="K14" s="48">
        <f t="shared" si="1"/>
        <v>4.7200000000000006E-2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15</v>
      </c>
      <c r="C15" t="s">
        <v>16</v>
      </c>
      <c r="D15" t="s">
        <v>9</v>
      </c>
      <c r="E15" s="28">
        <v>379501</v>
      </c>
      <c r="F15" s="13">
        <v>1174.9350959999999</v>
      </c>
      <c r="G15" s="14">
        <f t="shared" si="0"/>
        <v>2.86E-2</v>
      </c>
      <c r="H15" s="15" t="s">
        <v>313</v>
      </c>
      <c r="J15" s="14" t="s">
        <v>19</v>
      </c>
      <c r="K15" s="48">
        <f t="shared" si="1"/>
        <v>4.5100000000000001E-2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336</v>
      </c>
      <c r="C16" t="s">
        <v>335</v>
      </c>
      <c r="D16" t="s">
        <v>24</v>
      </c>
      <c r="E16" s="28">
        <v>244029</v>
      </c>
      <c r="F16" s="13">
        <v>1168.2888375</v>
      </c>
      <c r="G16" s="14">
        <f t="shared" si="0"/>
        <v>2.8400000000000002E-2</v>
      </c>
      <c r="H16" s="15" t="s">
        <v>313</v>
      </c>
      <c r="J16" s="14" t="s">
        <v>26</v>
      </c>
      <c r="K16" s="48">
        <f t="shared" si="1"/>
        <v>4.0899999999999999E-2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176</v>
      </c>
      <c r="C17" t="s">
        <v>25</v>
      </c>
      <c r="D17" t="s">
        <v>22</v>
      </c>
      <c r="E17" s="28">
        <v>58670</v>
      </c>
      <c r="F17" s="13">
        <v>1135.8218649999999</v>
      </c>
      <c r="G17" s="14">
        <f t="shared" si="0"/>
        <v>2.76E-2</v>
      </c>
      <c r="H17" s="15" t="s">
        <v>313</v>
      </c>
      <c r="J17" s="14" t="s">
        <v>17</v>
      </c>
      <c r="K17" s="48">
        <f t="shared" si="1"/>
        <v>4.0899999999999999E-2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203</v>
      </c>
      <c r="C18" t="s">
        <v>69</v>
      </c>
      <c r="D18" t="s">
        <v>26</v>
      </c>
      <c r="E18" s="28">
        <v>81362</v>
      </c>
      <c r="F18" s="13">
        <v>1114.293271</v>
      </c>
      <c r="G18" s="14">
        <f t="shared" si="0"/>
        <v>2.7099999999999999E-2</v>
      </c>
      <c r="H18" s="15" t="s">
        <v>313</v>
      </c>
      <c r="J18" s="14" t="s">
        <v>28</v>
      </c>
      <c r="K18" s="48">
        <f t="shared" si="1"/>
        <v>4.0599999999999997E-2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295</v>
      </c>
      <c r="C19" t="s">
        <v>521</v>
      </c>
      <c r="D19" t="s">
        <v>126</v>
      </c>
      <c r="E19" s="28">
        <v>345520</v>
      </c>
      <c r="F19" s="13">
        <v>835.46735999999999</v>
      </c>
      <c r="G19" s="14">
        <f t="shared" si="0"/>
        <v>2.0299999999999999E-2</v>
      </c>
      <c r="H19" s="15" t="s">
        <v>313</v>
      </c>
      <c r="J19" s="14" t="s">
        <v>126</v>
      </c>
      <c r="K19" s="48">
        <f t="shared" si="1"/>
        <v>2.7299999999999998E-2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452</v>
      </c>
      <c r="C20" t="s">
        <v>453</v>
      </c>
      <c r="D20" t="s">
        <v>34</v>
      </c>
      <c r="E20" s="28">
        <v>1087240</v>
      </c>
      <c r="F20" s="13">
        <v>833.91308000000004</v>
      </c>
      <c r="G20" s="14">
        <f t="shared" si="0"/>
        <v>2.0299999999999999E-2</v>
      </c>
      <c r="H20" s="15" t="s">
        <v>313</v>
      </c>
      <c r="J20" s="14" t="s">
        <v>36</v>
      </c>
      <c r="K20" s="48">
        <f t="shared" si="1"/>
        <v>2.7099999999999999E-2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454</v>
      </c>
      <c r="C21" t="s">
        <v>455</v>
      </c>
      <c r="D21" t="s">
        <v>24</v>
      </c>
      <c r="E21" s="28">
        <v>10710</v>
      </c>
      <c r="F21" s="13">
        <v>825.25369499999999</v>
      </c>
      <c r="G21" s="14">
        <f t="shared" si="0"/>
        <v>2.01E-2</v>
      </c>
      <c r="H21" s="15" t="s">
        <v>313</v>
      </c>
      <c r="J21" t="s">
        <v>39</v>
      </c>
      <c r="K21" s="48">
        <f t="shared" si="1"/>
        <v>2.7099999999999999E-2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349</v>
      </c>
      <c r="C22" t="s">
        <v>350</v>
      </c>
      <c r="D22" t="s">
        <v>351</v>
      </c>
      <c r="E22" s="28">
        <v>497966</v>
      </c>
      <c r="F22" s="13">
        <v>822.390849</v>
      </c>
      <c r="G22" s="14">
        <f t="shared" si="0"/>
        <v>0.02</v>
      </c>
      <c r="H22" s="15" t="s">
        <v>313</v>
      </c>
      <c r="J22" s="14" t="s">
        <v>43</v>
      </c>
      <c r="K22" s="48">
        <f t="shared" si="1"/>
        <v>2.01E-2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189</v>
      </c>
      <c r="C23" t="s">
        <v>72</v>
      </c>
      <c r="D23" t="s">
        <v>395</v>
      </c>
      <c r="E23" s="28">
        <v>566187</v>
      </c>
      <c r="F23" s="13">
        <v>777.0916575</v>
      </c>
      <c r="G23" s="14">
        <f t="shared" si="0"/>
        <v>1.89E-2</v>
      </c>
      <c r="H23" s="15" t="s">
        <v>313</v>
      </c>
      <c r="J23" s="14" t="s">
        <v>351</v>
      </c>
      <c r="K23" s="48">
        <f t="shared" si="1"/>
        <v>0.02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221</v>
      </c>
      <c r="C24" t="s">
        <v>111</v>
      </c>
      <c r="D24" t="s">
        <v>34</v>
      </c>
      <c r="E24" s="28">
        <v>424840</v>
      </c>
      <c r="F24" s="13">
        <v>728.60059999999999</v>
      </c>
      <c r="G24" s="14">
        <f t="shared" si="0"/>
        <v>1.77E-2</v>
      </c>
      <c r="H24" s="15" t="s">
        <v>313</v>
      </c>
      <c r="J24" s="14" t="s">
        <v>395</v>
      </c>
      <c r="K24" s="48">
        <f t="shared" si="1"/>
        <v>1.89E-2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181</v>
      </c>
      <c r="C25" t="s">
        <v>46</v>
      </c>
      <c r="D25" t="s">
        <v>24</v>
      </c>
      <c r="E25" s="28">
        <v>10250</v>
      </c>
      <c r="F25" s="13">
        <v>690.51687500000003</v>
      </c>
      <c r="G25" s="14">
        <f t="shared" si="0"/>
        <v>1.6799999999999999E-2</v>
      </c>
      <c r="H25" s="15" t="s">
        <v>313</v>
      </c>
      <c r="J25" s="14" t="s">
        <v>102</v>
      </c>
      <c r="K25" s="48">
        <f t="shared" si="1"/>
        <v>1.8800000000000001E-2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270</v>
      </c>
      <c r="C26" t="s">
        <v>74</v>
      </c>
      <c r="D26" t="s">
        <v>36</v>
      </c>
      <c r="E26" s="28">
        <v>202228</v>
      </c>
      <c r="F26" s="13">
        <v>689.69859400000007</v>
      </c>
      <c r="G26" s="14">
        <f t="shared" si="0"/>
        <v>1.6799999999999999E-2</v>
      </c>
      <c r="H26" s="15" t="s">
        <v>313</v>
      </c>
      <c r="J26" s="14" t="s">
        <v>135</v>
      </c>
      <c r="K26" s="48">
        <f t="shared" si="1"/>
        <v>1.54E-2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269</v>
      </c>
      <c r="C27" t="s">
        <v>55</v>
      </c>
      <c r="D27" t="s">
        <v>24</v>
      </c>
      <c r="E27" s="28">
        <v>35265</v>
      </c>
      <c r="F27" s="13">
        <v>658.15069500000004</v>
      </c>
      <c r="G27" s="14">
        <f t="shared" si="0"/>
        <v>1.6E-2</v>
      </c>
      <c r="H27" s="15" t="s">
        <v>313</v>
      </c>
      <c r="J27" s="14" t="s">
        <v>49</v>
      </c>
      <c r="K27" s="48">
        <f t="shared" si="1"/>
        <v>1.44E-2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522</v>
      </c>
      <c r="C28" t="s">
        <v>523</v>
      </c>
      <c r="D28" t="s">
        <v>22</v>
      </c>
      <c r="E28" s="28">
        <v>172169</v>
      </c>
      <c r="F28" s="13">
        <v>646.23634149999998</v>
      </c>
      <c r="G28" s="14">
        <f t="shared" si="0"/>
        <v>1.5699999999999999E-2</v>
      </c>
      <c r="H28" s="15" t="s">
        <v>313</v>
      </c>
      <c r="J28" t="s">
        <v>35</v>
      </c>
      <c r="K28" s="48">
        <f t="shared" si="1"/>
        <v>8.6999999999999994E-3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276</v>
      </c>
      <c r="C29" t="s">
        <v>277</v>
      </c>
      <c r="D29" t="s">
        <v>135</v>
      </c>
      <c r="E29" s="28">
        <v>111986</v>
      </c>
      <c r="F29" s="13">
        <v>634.62466200000006</v>
      </c>
      <c r="G29" s="14">
        <f t="shared" si="0"/>
        <v>1.54E-2</v>
      </c>
      <c r="H29" s="15" t="s">
        <v>313</v>
      </c>
      <c r="J29" s="14" t="s">
        <v>41</v>
      </c>
      <c r="K29" s="48">
        <f t="shared" si="1"/>
        <v>8.3000000000000001E-3</v>
      </c>
      <c r="L29" s="54">
        <f>+SUM($K$9:K27)</f>
        <v>0.93870000000000009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246</v>
      </c>
      <c r="C30" t="s">
        <v>138</v>
      </c>
      <c r="D30" t="s">
        <v>39</v>
      </c>
      <c r="E30" s="28">
        <v>98998</v>
      </c>
      <c r="F30" s="13">
        <v>611.26315099999999</v>
      </c>
      <c r="G30" s="14">
        <f t="shared" si="0"/>
        <v>1.49E-2</v>
      </c>
      <c r="H30" s="15" t="s">
        <v>313</v>
      </c>
      <c r="J30" s="14" t="s">
        <v>30</v>
      </c>
      <c r="K30" s="48">
        <f t="shared" si="1"/>
        <v>7.4000000000000003E-3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190</v>
      </c>
      <c r="C31" t="s">
        <v>94</v>
      </c>
      <c r="D31" t="s">
        <v>9</v>
      </c>
      <c r="E31" s="28">
        <v>47415</v>
      </c>
      <c r="F31" s="13">
        <v>610.34958749999998</v>
      </c>
      <c r="G31" s="14">
        <f t="shared" si="0"/>
        <v>1.49E-2</v>
      </c>
      <c r="H31" s="15" t="s">
        <v>313</v>
      </c>
      <c r="J31" s="14" t="s">
        <v>357</v>
      </c>
      <c r="K31" s="48">
        <f t="shared" si="1"/>
        <v>4.1000000000000003E-3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271</v>
      </c>
      <c r="C32" t="s">
        <v>65</v>
      </c>
      <c r="D32" t="s">
        <v>17</v>
      </c>
      <c r="E32" s="28">
        <v>479230</v>
      </c>
      <c r="F32" s="13">
        <v>605.74671999999998</v>
      </c>
      <c r="G32" s="14">
        <f t="shared" si="0"/>
        <v>1.47E-2</v>
      </c>
      <c r="H32" s="15" t="s">
        <v>313</v>
      </c>
      <c r="J32" s="14" t="s">
        <v>345</v>
      </c>
      <c r="K32" s="48">
        <f t="shared" si="1"/>
        <v>2.9999999999999997E-4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206</v>
      </c>
      <c r="C33" t="s">
        <v>76</v>
      </c>
      <c r="D33" t="s">
        <v>49</v>
      </c>
      <c r="E33" s="28">
        <v>207412</v>
      </c>
      <c r="F33" s="13">
        <v>593.09461399999998</v>
      </c>
      <c r="G33" s="14">
        <f t="shared" si="0"/>
        <v>1.44E-2</v>
      </c>
      <c r="H33" s="15" t="s">
        <v>313</v>
      </c>
      <c r="J33" s="14" t="s">
        <v>98</v>
      </c>
      <c r="K33" s="48">
        <f t="shared" si="1"/>
        <v>0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211</v>
      </c>
      <c r="C34" t="s">
        <v>96</v>
      </c>
      <c r="D34" t="s">
        <v>19</v>
      </c>
      <c r="E34" s="28">
        <v>60750</v>
      </c>
      <c r="F34" s="13">
        <v>586.41975000000002</v>
      </c>
      <c r="G34" s="14">
        <f t="shared" si="0"/>
        <v>1.43E-2</v>
      </c>
      <c r="H34" s="15" t="s">
        <v>313</v>
      </c>
      <c r="J34" s="14" t="s">
        <v>62</v>
      </c>
      <c r="K34" s="48">
        <f>+SUMIFS($G$5:$G$1002,$B$5:$B$1002,"CBLO / Reverse Repo")+SUMIFS($G$5:$G$1002,$B$5:$B$1002,"Net Receivable/Payable")</f>
        <v>3.2500000000000001E-2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187</v>
      </c>
      <c r="C35" t="s">
        <v>47</v>
      </c>
      <c r="D35" t="s">
        <v>19</v>
      </c>
      <c r="E35" s="28">
        <v>6427</v>
      </c>
      <c r="F35" s="13">
        <v>584.62562800000001</v>
      </c>
      <c r="G35" s="14">
        <f t="shared" si="0"/>
        <v>1.4200000000000001E-2</v>
      </c>
      <c r="H35" s="15" t="s">
        <v>313</v>
      </c>
    </row>
    <row r="36" spans="1:16" ht="12.75" customHeight="1" x14ac:dyDescent="0.2">
      <c r="A36">
        <f>+MAX($A$8:A35)+1</f>
        <v>28</v>
      </c>
      <c r="B36" t="s">
        <v>209</v>
      </c>
      <c r="C36" t="s">
        <v>634</v>
      </c>
      <c r="D36" t="s">
        <v>24</v>
      </c>
      <c r="E36" s="28">
        <v>92580</v>
      </c>
      <c r="F36" s="13">
        <v>583.48545000000001</v>
      </c>
      <c r="G36" s="14">
        <f t="shared" si="0"/>
        <v>1.4200000000000001E-2</v>
      </c>
      <c r="H36" s="15" t="s">
        <v>313</v>
      </c>
    </row>
    <row r="37" spans="1:16" ht="12.75" customHeight="1" x14ac:dyDescent="0.2">
      <c r="A37">
        <f>+MAX($A$8:A36)+1</f>
        <v>29</v>
      </c>
      <c r="B37" t="s">
        <v>183</v>
      </c>
      <c r="C37" t="s">
        <v>48</v>
      </c>
      <c r="D37" t="s">
        <v>21</v>
      </c>
      <c r="E37" s="28">
        <v>6246</v>
      </c>
      <c r="F37" s="13">
        <v>520.33864500000004</v>
      </c>
      <c r="G37" s="14">
        <f t="shared" si="0"/>
        <v>1.2699999999999999E-2</v>
      </c>
      <c r="H37" s="15" t="s">
        <v>313</v>
      </c>
    </row>
    <row r="38" spans="1:16" ht="12.75" customHeight="1" x14ac:dyDescent="0.2">
      <c r="A38">
        <f>+MAX($A$8:A37)+1</f>
        <v>30</v>
      </c>
      <c r="B38" t="s">
        <v>280</v>
      </c>
      <c r="C38" t="s">
        <v>281</v>
      </c>
      <c r="D38" t="s">
        <v>9</v>
      </c>
      <c r="E38" s="28">
        <v>248964</v>
      </c>
      <c r="F38" s="13">
        <v>504.27658200000002</v>
      </c>
      <c r="G38" s="14">
        <f t="shared" si="0"/>
        <v>1.23E-2</v>
      </c>
      <c r="H38" s="15" t="s">
        <v>313</v>
      </c>
    </row>
    <row r="39" spans="1:16" ht="12.75" customHeight="1" x14ac:dyDescent="0.2">
      <c r="A39">
        <f>+MAX($A$8:A38)+1</f>
        <v>31</v>
      </c>
      <c r="B39" t="s">
        <v>184</v>
      </c>
      <c r="C39" t="s">
        <v>50</v>
      </c>
      <c r="D39" t="s">
        <v>39</v>
      </c>
      <c r="E39" s="28">
        <v>588703</v>
      </c>
      <c r="F39" s="13">
        <v>501.86930749999999</v>
      </c>
      <c r="G39" s="14">
        <f t="shared" si="0"/>
        <v>1.2200000000000001E-2</v>
      </c>
      <c r="H39" s="15" t="s">
        <v>313</v>
      </c>
    </row>
    <row r="40" spans="1:16" ht="12.75" customHeight="1" x14ac:dyDescent="0.2">
      <c r="A40">
        <f>+MAX($A$8:A39)+1</f>
        <v>32</v>
      </c>
      <c r="B40" t="s">
        <v>354</v>
      </c>
      <c r="C40" t="s">
        <v>66</v>
      </c>
      <c r="D40" t="s">
        <v>21</v>
      </c>
      <c r="E40" s="28">
        <v>74439</v>
      </c>
      <c r="F40" s="13">
        <v>485.97501149999999</v>
      </c>
      <c r="G40" s="14">
        <f t="shared" si="0"/>
        <v>1.18E-2</v>
      </c>
      <c r="H40" s="15" t="s">
        <v>313</v>
      </c>
    </row>
    <row r="41" spans="1:16" ht="12.75" customHeight="1" x14ac:dyDescent="0.2">
      <c r="A41">
        <f>+MAX($A$8:A40)+1</f>
        <v>33</v>
      </c>
      <c r="B41" t="s">
        <v>465</v>
      </c>
      <c r="C41" t="s">
        <v>346</v>
      </c>
      <c r="D41" t="s">
        <v>9</v>
      </c>
      <c r="E41" s="28">
        <v>518323</v>
      </c>
      <c r="F41" s="13">
        <v>485.15032799999994</v>
      </c>
      <c r="G41" s="14">
        <f t="shared" ref="G41:G72" si="2">+ROUND(F41/VLOOKUP("Grand Total",$B$4:$F$281,5,0),4)</f>
        <v>1.18E-2</v>
      </c>
      <c r="H41" s="15" t="s">
        <v>313</v>
      </c>
    </row>
    <row r="42" spans="1:16" ht="12.75" customHeight="1" x14ac:dyDescent="0.2">
      <c r="A42">
        <f>+MAX($A$8:A41)+1</f>
        <v>34</v>
      </c>
      <c r="B42" t="s">
        <v>432</v>
      </c>
      <c r="C42" t="s">
        <v>383</v>
      </c>
      <c r="D42" t="s">
        <v>21</v>
      </c>
      <c r="E42" s="28">
        <v>162601</v>
      </c>
      <c r="F42" s="13">
        <v>481.62416200000001</v>
      </c>
      <c r="G42" s="14">
        <f t="shared" si="2"/>
        <v>1.17E-2</v>
      </c>
      <c r="H42" s="15" t="s">
        <v>313</v>
      </c>
    </row>
    <row r="43" spans="1:16" ht="12.75" customHeight="1" x14ac:dyDescent="0.2">
      <c r="A43">
        <f>+MAX($A$8:A42)+1</f>
        <v>35</v>
      </c>
      <c r="B43" t="s">
        <v>220</v>
      </c>
      <c r="C43" t="s">
        <v>109</v>
      </c>
      <c r="D43" t="s">
        <v>13</v>
      </c>
      <c r="E43" s="28">
        <v>60000</v>
      </c>
      <c r="F43" s="13">
        <v>459.48</v>
      </c>
      <c r="G43" s="14">
        <f t="shared" si="2"/>
        <v>1.12E-2</v>
      </c>
      <c r="H43" s="15" t="s">
        <v>313</v>
      </c>
    </row>
    <row r="44" spans="1:16" ht="12.75" customHeight="1" x14ac:dyDescent="0.2">
      <c r="A44">
        <f>+MAX($A$8:A43)+1</f>
        <v>36</v>
      </c>
      <c r="B44" t="s">
        <v>193</v>
      </c>
      <c r="C44" t="s">
        <v>59</v>
      </c>
      <c r="D44" t="s">
        <v>21</v>
      </c>
      <c r="E44" s="28">
        <v>63656</v>
      </c>
      <c r="F44" s="13">
        <v>453.70814000000001</v>
      </c>
      <c r="G44" s="14">
        <f t="shared" si="2"/>
        <v>1.0999999999999999E-2</v>
      </c>
      <c r="H44" s="15" t="s">
        <v>313</v>
      </c>
    </row>
    <row r="45" spans="1:16" ht="12.75" customHeight="1" x14ac:dyDescent="0.2">
      <c r="A45">
        <f>+MAX($A$8:A44)+1</f>
        <v>37</v>
      </c>
      <c r="B45" t="s">
        <v>435</v>
      </c>
      <c r="C45" t="s">
        <v>436</v>
      </c>
      <c r="D45" t="s">
        <v>43</v>
      </c>
      <c r="E45" s="28">
        <v>604547</v>
      </c>
      <c r="F45" s="13">
        <v>452.50342950000004</v>
      </c>
      <c r="G45" s="14">
        <f t="shared" si="2"/>
        <v>1.0999999999999999E-2</v>
      </c>
      <c r="H45" s="15" t="s">
        <v>313</v>
      </c>
    </row>
    <row r="46" spans="1:16" ht="12.75" customHeight="1" x14ac:dyDescent="0.2">
      <c r="A46">
        <f>+MAX($A$8:A45)+1</f>
        <v>38</v>
      </c>
      <c r="B46" t="s">
        <v>202</v>
      </c>
      <c r="C46" t="s">
        <v>64</v>
      </c>
      <c r="D46" t="s">
        <v>26</v>
      </c>
      <c r="E46" s="28">
        <v>148268</v>
      </c>
      <c r="F46" s="13">
        <v>447.76936000000001</v>
      </c>
      <c r="G46" s="14">
        <f t="shared" si="2"/>
        <v>1.09E-2</v>
      </c>
      <c r="H46" s="15" t="s">
        <v>313</v>
      </c>
    </row>
    <row r="47" spans="1:16" ht="12.75" customHeight="1" x14ac:dyDescent="0.2">
      <c r="A47">
        <f>+MAX($A$8:A46)+1</f>
        <v>39</v>
      </c>
      <c r="B47" t="s">
        <v>182</v>
      </c>
      <c r="C47" t="s">
        <v>51</v>
      </c>
      <c r="D47" t="s">
        <v>17</v>
      </c>
      <c r="E47" s="28">
        <v>9782</v>
      </c>
      <c r="F47" s="13">
        <v>437.79340999999999</v>
      </c>
      <c r="G47" s="14">
        <f t="shared" si="2"/>
        <v>1.0699999999999999E-2</v>
      </c>
      <c r="H47" s="15" t="s">
        <v>313</v>
      </c>
    </row>
    <row r="48" spans="1:16" ht="12.75" customHeight="1" x14ac:dyDescent="0.2">
      <c r="A48">
        <f>+MAX($A$8:A47)+1</f>
        <v>40</v>
      </c>
      <c r="B48" t="s">
        <v>195</v>
      </c>
      <c r="C48" t="s">
        <v>27</v>
      </c>
      <c r="D48" t="s">
        <v>9</v>
      </c>
      <c r="E48" s="28">
        <v>67240</v>
      </c>
      <c r="F48" s="13">
        <v>436.5557</v>
      </c>
      <c r="G48" s="14">
        <f t="shared" si="2"/>
        <v>1.06E-2</v>
      </c>
      <c r="H48" s="15" t="s">
        <v>313</v>
      </c>
    </row>
    <row r="49" spans="1:8" ht="12.75" customHeight="1" x14ac:dyDescent="0.2">
      <c r="A49">
        <f>+MAX($A$8:A48)+1</f>
        <v>41</v>
      </c>
      <c r="B49" t="s">
        <v>151</v>
      </c>
      <c r="C49" t="s">
        <v>161</v>
      </c>
      <c r="D49" t="s">
        <v>9</v>
      </c>
      <c r="E49" s="28">
        <v>149524</v>
      </c>
      <c r="F49" s="13">
        <v>424.19958799999995</v>
      </c>
      <c r="G49" s="14">
        <f t="shared" si="2"/>
        <v>1.03E-2</v>
      </c>
      <c r="H49" s="15" t="s">
        <v>313</v>
      </c>
    </row>
    <row r="50" spans="1:8" ht="12.75" customHeight="1" x14ac:dyDescent="0.2">
      <c r="A50">
        <f>+MAX($A$8:A49)+1</f>
        <v>42</v>
      </c>
      <c r="B50" t="s">
        <v>309</v>
      </c>
      <c r="C50" t="s">
        <v>310</v>
      </c>
      <c r="D50" t="s">
        <v>36</v>
      </c>
      <c r="E50" s="28">
        <v>499724</v>
      </c>
      <c r="F50" s="13">
        <v>421.76705600000003</v>
      </c>
      <c r="G50" s="14">
        <f t="shared" si="2"/>
        <v>1.03E-2</v>
      </c>
      <c r="H50" s="15" t="s">
        <v>313</v>
      </c>
    </row>
    <row r="51" spans="1:8" ht="12.75" customHeight="1" x14ac:dyDescent="0.2">
      <c r="A51">
        <f>+MAX($A$8:A50)+1</f>
        <v>43</v>
      </c>
      <c r="B51" t="s">
        <v>586</v>
      </c>
      <c r="C51" t="s">
        <v>587</v>
      </c>
      <c r="D51" t="s">
        <v>24</v>
      </c>
      <c r="E51" s="28">
        <v>110000</v>
      </c>
      <c r="F51" s="13">
        <v>406.39499999999998</v>
      </c>
      <c r="G51" s="14">
        <f t="shared" si="2"/>
        <v>9.9000000000000008E-3</v>
      </c>
      <c r="H51" s="15" t="s">
        <v>313</v>
      </c>
    </row>
    <row r="52" spans="1:8" ht="12.75" customHeight="1" x14ac:dyDescent="0.2">
      <c r="A52">
        <f>+MAX($A$8:A51)+1</f>
        <v>44</v>
      </c>
      <c r="B52" t="s">
        <v>175</v>
      </c>
      <c r="C52" t="s">
        <v>23</v>
      </c>
      <c r="D52" t="s">
        <v>13</v>
      </c>
      <c r="E52" s="28">
        <v>38569</v>
      </c>
      <c r="F52" s="13">
        <v>403.6053005</v>
      </c>
      <c r="G52" s="14">
        <f t="shared" si="2"/>
        <v>9.7999999999999997E-3</v>
      </c>
      <c r="H52" s="15" t="s">
        <v>313</v>
      </c>
    </row>
    <row r="53" spans="1:8" ht="12.75" customHeight="1" x14ac:dyDescent="0.2">
      <c r="A53">
        <f>+MAX($A$8:A52)+1</f>
        <v>45</v>
      </c>
      <c r="B53" s="65" t="s">
        <v>468</v>
      </c>
      <c r="C53" s="65" t="s">
        <v>469</v>
      </c>
      <c r="D53" t="s">
        <v>102</v>
      </c>
      <c r="E53" s="28">
        <v>438469</v>
      </c>
      <c r="F53" s="13">
        <v>398.12985200000003</v>
      </c>
      <c r="G53" s="14">
        <f t="shared" si="2"/>
        <v>9.7000000000000003E-3</v>
      </c>
      <c r="H53" s="15" t="s">
        <v>313</v>
      </c>
    </row>
    <row r="54" spans="1:8" ht="12.75" customHeight="1" x14ac:dyDescent="0.2">
      <c r="A54">
        <f>+MAX($A$8:A53)+1</f>
        <v>46</v>
      </c>
      <c r="B54" t="s">
        <v>398</v>
      </c>
      <c r="C54" t="s">
        <v>399</v>
      </c>
      <c r="D54" t="s">
        <v>22</v>
      </c>
      <c r="E54" s="28">
        <v>29674</v>
      </c>
      <c r="F54" s="13">
        <v>396.38529200000005</v>
      </c>
      <c r="G54" s="14">
        <f t="shared" si="2"/>
        <v>9.5999999999999992E-3</v>
      </c>
      <c r="H54" s="15" t="s">
        <v>313</v>
      </c>
    </row>
    <row r="55" spans="1:8" ht="12.75" customHeight="1" x14ac:dyDescent="0.2">
      <c r="A55">
        <f>+MAX($A$8:A54)+1</f>
        <v>47</v>
      </c>
      <c r="B55" t="s">
        <v>289</v>
      </c>
      <c r="C55" t="s">
        <v>290</v>
      </c>
      <c r="D55" t="s">
        <v>17</v>
      </c>
      <c r="E55" s="28">
        <v>49646</v>
      </c>
      <c r="F55" s="13">
        <v>377.45853799999998</v>
      </c>
      <c r="G55" s="14">
        <f t="shared" si="2"/>
        <v>9.1999999999999998E-3</v>
      </c>
      <c r="H55" s="15" t="s">
        <v>313</v>
      </c>
    </row>
    <row r="56" spans="1:8" ht="12.75" customHeight="1" x14ac:dyDescent="0.2">
      <c r="A56">
        <f>+MAX($A$8:A55)+1</f>
        <v>48</v>
      </c>
      <c r="B56" t="s">
        <v>38</v>
      </c>
      <c r="C56" t="s">
        <v>40</v>
      </c>
      <c r="D56" t="s">
        <v>9</v>
      </c>
      <c r="E56" s="28">
        <v>246565</v>
      </c>
      <c r="F56" s="13">
        <v>377.12116750000001</v>
      </c>
      <c r="G56" s="14">
        <f t="shared" si="2"/>
        <v>9.1999999999999998E-3</v>
      </c>
      <c r="H56" s="15" t="s">
        <v>313</v>
      </c>
    </row>
    <row r="57" spans="1:8" ht="12.75" customHeight="1" x14ac:dyDescent="0.2">
      <c r="A57">
        <f>+MAX($A$8:A56)+1</f>
        <v>49</v>
      </c>
      <c r="B57" t="s">
        <v>437</v>
      </c>
      <c r="C57" t="s">
        <v>438</v>
      </c>
      <c r="D57" t="s">
        <v>9</v>
      </c>
      <c r="E57" s="28">
        <v>588497</v>
      </c>
      <c r="F57" s="13">
        <v>376.34383149999996</v>
      </c>
      <c r="G57" s="14">
        <f t="shared" si="2"/>
        <v>9.1999999999999998E-3</v>
      </c>
      <c r="H57" s="15" t="s">
        <v>313</v>
      </c>
    </row>
    <row r="58" spans="1:8" ht="12.75" customHeight="1" x14ac:dyDescent="0.2">
      <c r="A58">
        <f>+MAX($A$8:A57)+1</f>
        <v>50</v>
      </c>
      <c r="B58" t="s">
        <v>208</v>
      </c>
      <c r="C58" t="s">
        <v>78</v>
      </c>
      <c r="D58" t="s">
        <v>43</v>
      </c>
      <c r="E58" s="28">
        <v>125426</v>
      </c>
      <c r="F58" s="13">
        <v>375.71358299999997</v>
      </c>
      <c r="G58" s="14">
        <f t="shared" si="2"/>
        <v>9.1000000000000004E-3</v>
      </c>
      <c r="H58" s="15" t="s">
        <v>313</v>
      </c>
    </row>
    <row r="59" spans="1:8" ht="12.75" customHeight="1" x14ac:dyDescent="0.2">
      <c r="A59">
        <f>+MAX($A$8:A58)+1</f>
        <v>51</v>
      </c>
      <c r="B59" t="s">
        <v>456</v>
      </c>
      <c r="C59" t="s">
        <v>457</v>
      </c>
      <c r="D59" t="s">
        <v>102</v>
      </c>
      <c r="E59" s="28">
        <v>470000</v>
      </c>
      <c r="F59" s="13">
        <v>375.29500000000002</v>
      </c>
      <c r="G59" s="14">
        <f t="shared" si="2"/>
        <v>9.1000000000000004E-3</v>
      </c>
      <c r="H59" s="15" t="s">
        <v>313</v>
      </c>
    </row>
    <row r="60" spans="1:8" ht="12.75" customHeight="1" x14ac:dyDescent="0.2">
      <c r="A60">
        <f>+MAX($A$8:A59)+1</f>
        <v>52</v>
      </c>
      <c r="B60" t="s">
        <v>494</v>
      </c>
      <c r="C60" t="s">
        <v>495</v>
      </c>
      <c r="D60" t="s">
        <v>35</v>
      </c>
      <c r="E60" s="28">
        <v>38581</v>
      </c>
      <c r="F60" s="13">
        <v>358.35961850000001</v>
      </c>
      <c r="G60" s="14">
        <f t="shared" si="2"/>
        <v>8.6999999999999994E-3</v>
      </c>
      <c r="H60" s="15" t="s">
        <v>313</v>
      </c>
    </row>
    <row r="61" spans="1:8" ht="12.75" customHeight="1" x14ac:dyDescent="0.2">
      <c r="A61">
        <f>+MAX($A$8:A60)+1</f>
        <v>53</v>
      </c>
      <c r="B61" t="s">
        <v>219</v>
      </c>
      <c r="C61" t="s">
        <v>108</v>
      </c>
      <c r="D61" t="s">
        <v>19</v>
      </c>
      <c r="E61" s="28">
        <v>10848</v>
      </c>
      <c r="F61" s="13">
        <v>352.97222399999998</v>
      </c>
      <c r="G61" s="14">
        <f t="shared" si="2"/>
        <v>8.6E-3</v>
      </c>
      <c r="H61" s="15" t="s">
        <v>313</v>
      </c>
    </row>
    <row r="62" spans="1:8" ht="12.75" customHeight="1" x14ac:dyDescent="0.2">
      <c r="A62">
        <f>+MAX($A$8:A61)+1</f>
        <v>54</v>
      </c>
      <c r="B62" t="s">
        <v>198</v>
      </c>
      <c r="C62" t="s">
        <v>61</v>
      </c>
      <c r="D62" t="s">
        <v>34</v>
      </c>
      <c r="E62" s="28">
        <v>97294</v>
      </c>
      <c r="F62" s="13">
        <v>347.38822700000003</v>
      </c>
      <c r="G62" s="14">
        <f t="shared" si="2"/>
        <v>8.5000000000000006E-3</v>
      </c>
      <c r="H62" s="15" t="s">
        <v>313</v>
      </c>
    </row>
    <row r="63" spans="1:8" ht="12.75" customHeight="1" x14ac:dyDescent="0.2">
      <c r="A63">
        <f>+MAX($A$8:A62)+1</f>
        <v>55</v>
      </c>
      <c r="B63" t="s">
        <v>396</v>
      </c>
      <c r="C63" t="s">
        <v>397</v>
      </c>
      <c r="D63" t="s">
        <v>41</v>
      </c>
      <c r="E63" s="28">
        <v>40485</v>
      </c>
      <c r="F63" s="13">
        <v>341.38976250000002</v>
      </c>
      <c r="G63" s="14">
        <f t="shared" si="2"/>
        <v>8.3000000000000001E-3</v>
      </c>
      <c r="H63" s="15" t="s">
        <v>313</v>
      </c>
    </row>
    <row r="64" spans="1:8" ht="12.75" customHeight="1" x14ac:dyDescent="0.2">
      <c r="A64">
        <f>+MAX($A$8:A63)+1</f>
        <v>56</v>
      </c>
      <c r="B64" t="s">
        <v>201</v>
      </c>
      <c r="C64" t="s">
        <v>68</v>
      </c>
      <c r="D64" t="s">
        <v>9</v>
      </c>
      <c r="E64" s="28">
        <v>408135</v>
      </c>
      <c r="F64" s="13">
        <v>330.99748499999998</v>
      </c>
      <c r="G64" s="14">
        <f t="shared" si="2"/>
        <v>8.0999999999999996E-3</v>
      </c>
      <c r="H64" s="15" t="s">
        <v>313</v>
      </c>
    </row>
    <row r="65" spans="1:11" ht="12.75" customHeight="1" x14ac:dyDescent="0.2">
      <c r="A65">
        <f>+MAX($A$8:A64)+1</f>
        <v>57</v>
      </c>
      <c r="B65" t="s">
        <v>177</v>
      </c>
      <c r="C65" t="s">
        <v>37</v>
      </c>
      <c r="D65" t="s">
        <v>19</v>
      </c>
      <c r="E65" s="28">
        <v>12020</v>
      </c>
      <c r="F65" s="13">
        <v>329.93097</v>
      </c>
      <c r="G65" s="14">
        <f t="shared" si="2"/>
        <v>8.0000000000000002E-3</v>
      </c>
      <c r="H65" s="15" t="s">
        <v>313</v>
      </c>
    </row>
    <row r="66" spans="1:11" ht="12.75" customHeight="1" x14ac:dyDescent="0.2">
      <c r="A66">
        <f>+MAX($A$8:A65)+1</f>
        <v>58</v>
      </c>
      <c r="B66" t="s">
        <v>500</v>
      </c>
      <c r="C66" t="s">
        <v>501</v>
      </c>
      <c r="D66" t="s">
        <v>30</v>
      </c>
      <c r="E66" s="28">
        <v>146000</v>
      </c>
      <c r="F66" s="13">
        <v>304.702</v>
      </c>
      <c r="G66" s="14">
        <f t="shared" si="2"/>
        <v>7.4000000000000003E-3</v>
      </c>
      <c r="H66" s="15" t="s">
        <v>313</v>
      </c>
    </row>
    <row r="67" spans="1:11" ht="12.75" customHeight="1" x14ac:dyDescent="0.2">
      <c r="A67">
        <f>+MAX($A$8:A66)+1</f>
        <v>59</v>
      </c>
      <c r="B67" t="s">
        <v>433</v>
      </c>
      <c r="C67" t="s">
        <v>434</v>
      </c>
      <c r="D67" t="s">
        <v>126</v>
      </c>
      <c r="E67" s="28">
        <v>151654</v>
      </c>
      <c r="F67" s="13">
        <v>287.15684899999997</v>
      </c>
      <c r="G67" s="14">
        <f t="shared" si="2"/>
        <v>7.0000000000000001E-3</v>
      </c>
      <c r="H67" s="15" t="s">
        <v>313</v>
      </c>
    </row>
    <row r="68" spans="1:11" ht="12.75" customHeight="1" x14ac:dyDescent="0.2">
      <c r="A68">
        <f>+MAX($A$8:A67)+1</f>
        <v>60</v>
      </c>
      <c r="B68" t="s">
        <v>185</v>
      </c>
      <c r="C68" t="s">
        <v>31</v>
      </c>
      <c r="D68" t="s">
        <v>17</v>
      </c>
      <c r="E68" s="28">
        <v>32195</v>
      </c>
      <c r="F68" s="13">
        <v>257.75317000000001</v>
      </c>
      <c r="G68" s="14">
        <f t="shared" si="2"/>
        <v>6.3E-3</v>
      </c>
      <c r="H68" s="15" t="s">
        <v>313</v>
      </c>
    </row>
    <row r="69" spans="1:11" ht="12.75" customHeight="1" x14ac:dyDescent="0.2">
      <c r="A69">
        <f>+MAX($A$8:A68)+1</f>
        <v>61</v>
      </c>
      <c r="B69" t="s">
        <v>466</v>
      </c>
      <c r="C69" t="s">
        <v>467</v>
      </c>
      <c r="D69" t="s">
        <v>9</v>
      </c>
      <c r="E69" s="28">
        <v>442985</v>
      </c>
      <c r="F69" s="13">
        <v>178.522955</v>
      </c>
      <c r="G69" s="14">
        <f t="shared" si="2"/>
        <v>4.3E-3</v>
      </c>
      <c r="H69" s="15" t="s">
        <v>313</v>
      </c>
    </row>
    <row r="70" spans="1:11" ht="12.75" customHeight="1" x14ac:dyDescent="0.2">
      <c r="A70">
        <f>+MAX($A$8:A69)+1</f>
        <v>62</v>
      </c>
      <c r="B70" t="s">
        <v>355</v>
      </c>
      <c r="C70" t="s">
        <v>356</v>
      </c>
      <c r="D70" t="s">
        <v>357</v>
      </c>
      <c r="E70" s="28">
        <v>118442</v>
      </c>
      <c r="F70" s="13">
        <v>168.069198</v>
      </c>
      <c r="G70" s="14">
        <f t="shared" si="2"/>
        <v>4.1000000000000003E-3</v>
      </c>
      <c r="H70" s="15" t="s">
        <v>313</v>
      </c>
    </row>
    <row r="71" spans="1:11" ht="12.75" customHeight="1" x14ac:dyDescent="0.2">
      <c r="A71">
        <f>+MAX($A$8:A70)+1</f>
        <v>63</v>
      </c>
      <c r="B71" t="s">
        <v>278</v>
      </c>
      <c r="C71" t="s">
        <v>70</v>
      </c>
      <c r="D71" t="s">
        <v>26</v>
      </c>
      <c r="E71" s="28">
        <v>838614</v>
      </c>
      <c r="F71" s="13">
        <v>119.08318800000001</v>
      </c>
      <c r="G71" s="14">
        <f t="shared" si="2"/>
        <v>2.8999999999999998E-3</v>
      </c>
      <c r="H71" s="15" t="s">
        <v>313</v>
      </c>
    </row>
    <row r="72" spans="1:11" ht="12.75" customHeight="1" x14ac:dyDescent="0.2">
      <c r="A72">
        <f>+MAX($A$8:A71)+1</f>
        <v>64</v>
      </c>
      <c r="B72" t="s">
        <v>197</v>
      </c>
      <c r="C72" t="s">
        <v>73</v>
      </c>
      <c r="D72" t="s">
        <v>34</v>
      </c>
      <c r="E72" s="28">
        <v>2533170</v>
      </c>
      <c r="F72" s="13">
        <v>103.85997</v>
      </c>
      <c r="G72" s="14">
        <f t="shared" si="2"/>
        <v>2.5000000000000001E-3</v>
      </c>
      <c r="H72" s="15" t="s">
        <v>313</v>
      </c>
    </row>
    <row r="73" spans="1:11" ht="12.75" customHeight="1" x14ac:dyDescent="0.2">
      <c r="A73">
        <f>+MAX($A$8:A72)+1</f>
        <v>65</v>
      </c>
      <c r="B73" t="s">
        <v>375</v>
      </c>
      <c r="C73" s="120" t="s">
        <v>787</v>
      </c>
      <c r="D73" t="s">
        <v>36</v>
      </c>
      <c r="E73" s="28">
        <v>2250</v>
      </c>
      <c r="F73" s="13">
        <v>0</v>
      </c>
      <c r="G73" s="107" t="s">
        <v>430</v>
      </c>
      <c r="H73" s="15" t="s">
        <v>313</v>
      </c>
    </row>
    <row r="74" spans="1:11" ht="12.75" customHeight="1" x14ac:dyDescent="0.2">
      <c r="A74">
        <f>+MAX($A$8:A73)+1</f>
        <v>66</v>
      </c>
      <c r="B74" t="s">
        <v>448</v>
      </c>
      <c r="C74" t="s">
        <v>81</v>
      </c>
      <c r="D74" t="s">
        <v>98</v>
      </c>
      <c r="E74" s="28">
        <v>374002</v>
      </c>
      <c r="F74" s="13">
        <v>0</v>
      </c>
      <c r="G74" s="107" t="s">
        <v>430</v>
      </c>
      <c r="H74" s="15" t="s">
        <v>313</v>
      </c>
    </row>
    <row r="75" spans="1:11" ht="12.75" customHeight="1" x14ac:dyDescent="0.2">
      <c r="B75" s="18" t="s">
        <v>82</v>
      </c>
      <c r="C75" s="18"/>
      <c r="D75" s="18"/>
      <c r="E75" s="29"/>
      <c r="F75" s="19">
        <f>SUM(F9:F74)</f>
        <v>39756.566996999987</v>
      </c>
      <c r="G75" s="20">
        <f>SUM(G9:G74)</f>
        <v>0.96720000000000017</v>
      </c>
      <c r="H75" s="21"/>
      <c r="I75" s="49"/>
    </row>
    <row r="76" spans="1:11" ht="12.75" customHeight="1" x14ac:dyDescent="0.2">
      <c r="F76" s="13"/>
      <c r="G76" s="14"/>
      <c r="H76" s="15"/>
    </row>
    <row r="77" spans="1:11" ht="12.75" customHeight="1" x14ac:dyDescent="0.2">
      <c r="B77" s="16" t="s">
        <v>88</v>
      </c>
      <c r="C77" s="16"/>
      <c r="F77" s="13"/>
      <c r="G77" s="14"/>
      <c r="H77" s="15"/>
    </row>
    <row r="78" spans="1:11" ht="12.75" customHeight="1" x14ac:dyDescent="0.2">
      <c r="B78" s="16" t="s">
        <v>153</v>
      </c>
      <c r="C78" s="16"/>
      <c r="F78" s="13"/>
      <c r="G78" s="14"/>
      <c r="H78" s="15"/>
      <c r="J78" s="17"/>
      <c r="K78" s="37"/>
    </row>
    <row r="79" spans="1:11" ht="12.75" customHeight="1" x14ac:dyDescent="0.2">
      <c r="A79">
        <f>+MAX($A$8:A78)+1</f>
        <v>67</v>
      </c>
      <c r="B79" t="s">
        <v>450</v>
      </c>
      <c r="C79" t="s">
        <v>672</v>
      </c>
      <c r="D79" t="s">
        <v>345</v>
      </c>
      <c r="E79" s="28">
        <v>14000</v>
      </c>
      <c r="F79" s="13">
        <v>13.808479999999999</v>
      </c>
      <c r="G79" s="14">
        <f>+ROUND(F79/VLOOKUP("Grand Total",$B$4:$F$281,5,0),4)</f>
        <v>2.9999999999999997E-4</v>
      </c>
      <c r="H79" s="15">
        <v>43419</v>
      </c>
      <c r="J79" s="14"/>
      <c r="K79" s="48"/>
    </row>
    <row r="80" spans="1:11" ht="12.75" customHeight="1" x14ac:dyDescent="0.2">
      <c r="B80" s="18" t="s">
        <v>82</v>
      </c>
      <c r="C80" s="18"/>
      <c r="D80" s="18"/>
      <c r="E80" s="29"/>
      <c r="F80" s="19">
        <f>SUM(F79:F79)</f>
        <v>13.808479999999999</v>
      </c>
      <c r="G80" s="20">
        <f>SUM(G79:G79)</f>
        <v>2.9999999999999997E-4</v>
      </c>
      <c r="H80" s="21"/>
      <c r="I80" s="49"/>
    </row>
    <row r="81" spans="1:9" ht="12.75" customHeight="1" x14ac:dyDescent="0.2">
      <c r="F81" s="13"/>
      <c r="G81" s="14"/>
      <c r="H81" s="15"/>
    </row>
    <row r="82" spans="1:9" ht="12.75" customHeight="1" x14ac:dyDescent="0.2">
      <c r="B82" s="16" t="s">
        <v>91</v>
      </c>
      <c r="C82" s="16"/>
      <c r="F82" s="13"/>
      <c r="G82" s="14"/>
      <c r="H82" s="15"/>
    </row>
    <row r="83" spans="1:9" ht="12.75" customHeight="1" x14ac:dyDescent="0.2">
      <c r="A83" s="94" t="s">
        <v>312</v>
      </c>
      <c r="B83" s="16" t="s">
        <v>633</v>
      </c>
      <c r="C83" s="16"/>
      <c r="F83" s="13">
        <v>1570.8392191999999</v>
      </c>
      <c r="G83" s="14">
        <f>+ROUND(F83/VLOOKUP("Grand Total",$B$4:$F$281,5,0),4)</f>
        <v>3.8199999999999998E-2</v>
      </c>
      <c r="H83" s="15">
        <v>43346</v>
      </c>
    </row>
    <row r="84" spans="1:9" ht="12.75" customHeight="1" x14ac:dyDescent="0.2">
      <c r="B84" s="16" t="s">
        <v>92</v>
      </c>
      <c r="C84" s="16"/>
      <c r="F84" s="13">
        <v>-249.0615656000009</v>
      </c>
      <c r="G84" s="14">
        <f>+ROUND(F84/VLOOKUP("Grand Total",$B$4:$F$281,5,0),4)+0.04%</f>
        <v>-5.7000000000000002E-3</v>
      </c>
      <c r="H84" s="15"/>
    </row>
    <row r="85" spans="1:9" ht="12.75" customHeight="1" x14ac:dyDescent="0.2">
      <c r="B85" s="18" t="s">
        <v>82</v>
      </c>
      <c r="C85" s="18"/>
      <c r="D85" s="18"/>
      <c r="E85" s="29"/>
      <c r="F85" s="19">
        <f>SUM(F83:F84)</f>
        <v>1321.777653599999</v>
      </c>
      <c r="G85" s="20">
        <f>SUM(G83:G84)</f>
        <v>3.2500000000000001E-2</v>
      </c>
      <c r="H85" s="21"/>
      <c r="I85" s="35"/>
    </row>
    <row r="86" spans="1:9" ht="12.75" customHeight="1" x14ac:dyDescent="0.2">
      <c r="B86" s="22" t="s">
        <v>93</v>
      </c>
      <c r="C86" s="22"/>
      <c r="D86" s="22"/>
      <c r="E86" s="30"/>
      <c r="F86" s="23">
        <f>+SUMIF($B$5:B85,"Total",$F$5:F85)</f>
        <v>41092.153130599989</v>
      </c>
      <c r="G86" s="24">
        <f>+SUMIF($B$5:B85,"Total",$G$5:G85)</f>
        <v>1.0000000000000002</v>
      </c>
      <c r="H86" s="25"/>
      <c r="I86" s="35"/>
    </row>
    <row r="87" spans="1:9" ht="12.75" customHeight="1" x14ac:dyDescent="0.2"/>
    <row r="88" spans="1:9" ht="12.75" customHeight="1" x14ac:dyDescent="0.2">
      <c r="B88" s="16" t="s">
        <v>167</v>
      </c>
      <c r="C88" s="16"/>
    </row>
    <row r="89" spans="1:9" ht="12.75" customHeight="1" x14ac:dyDescent="0.2">
      <c r="B89" s="16" t="s">
        <v>169</v>
      </c>
      <c r="C89" s="16"/>
      <c r="F89" s="43"/>
      <c r="G89" s="43"/>
    </row>
    <row r="90" spans="1:9" ht="12.75" customHeight="1" x14ac:dyDescent="0.2">
      <c r="B90" s="16" t="s">
        <v>166</v>
      </c>
      <c r="C90" s="16"/>
    </row>
    <row r="91" spans="1:9" ht="12.75" customHeight="1" x14ac:dyDescent="0.2">
      <c r="B91" s="53" t="s">
        <v>268</v>
      </c>
    </row>
    <row r="92" spans="1:9" ht="12.75" customHeight="1" x14ac:dyDescent="0.2"/>
    <row r="93" spans="1:9" ht="12.75" customHeight="1" x14ac:dyDescent="0.2"/>
    <row r="94" spans="1:9" ht="12.75" customHeight="1" x14ac:dyDescent="0.2"/>
    <row r="95" spans="1:9" ht="12.75" customHeight="1" x14ac:dyDescent="0.2"/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</sheetData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63" customWidth="1"/>
    <col min="3" max="3" width="13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1" ht="18.75" x14ac:dyDescent="0.2">
      <c r="A1" s="93" t="s">
        <v>321</v>
      </c>
      <c r="B1" s="128" t="s">
        <v>740</v>
      </c>
      <c r="C1" s="129"/>
      <c r="D1" s="129"/>
      <c r="E1" s="129"/>
      <c r="F1" s="129"/>
      <c r="G1" s="129"/>
      <c r="H1" s="130"/>
    </row>
    <row r="2" spans="1:11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1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1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1" ht="12.75" customHeight="1" x14ac:dyDescent="0.2">
      <c r="F5" s="13"/>
      <c r="G5" s="14"/>
      <c r="H5" s="15"/>
    </row>
    <row r="6" spans="1:11" ht="12.75" customHeight="1" x14ac:dyDescent="0.2">
      <c r="F6" s="13"/>
      <c r="G6" s="14"/>
      <c r="H6" s="15"/>
    </row>
    <row r="7" spans="1:11" ht="12.75" customHeight="1" x14ac:dyDescent="0.2">
      <c r="B7" s="31" t="s">
        <v>164</v>
      </c>
      <c r="F7" s="13"/>
      <c r="G7" s="14"/>
      <c r="H7" s="15"/>
    </row>
    <row r="8" spans="1:11" ht="12.75" customHeight="1" x14ac:dyDescent="0.2">
      <c r="B8" s="31" t="s">
        <v>165</v>
      </c>
      <c r="C8" s="16"/>
      <c r="F8" s="13"/>
      <c r="G8" s="14"/>
      <c r="H8" s="15"/>
      <c r="J8" s="17" t="s">
        <v>493</v>
      </c>
      <c r="K8" s="37" t="s">
        <v>11</v>
      </c>
    </row>
    <row r="9" spans="1:11" ht="12.75" customHeight="1" x14ac:dyDescent="0.2">
      <c r="A9">
        <f>+MAX($A$8:A8)+1</f>
        <v>1</v>
      </c>
      <c r="B9" t="s">
        <v>618</v>
      </c>
      <c r="C9" s="120" t="s">
        <v>619</v>
      </c>
      <c r="D9" t="s">
        <v>279</v>
      </c>
      <c r="E9" s="28">
        <v>145049.42139999999</v>
      </c>
      <c r="F9" s="13">
        <v>1852.8153283000001</v>
      </c>
      <c r="G9" s="14">
        <f>+ROUND(F9/VLOOKUP("Grand Total",$B$4:$F$291,5,0),4)</f>
        <v>0.96340000000000003</v>
      </c>
      <c r="H9" s="15" t="s">
        <v>313</v>
      </c>
      <c r="J9" s="14" t="s">
        <v>279</v>
      </c>
      <c r="K9" s="48">
        <f>SUMIFS($G$5:$G$324,$D$5:$D$324,J9)</f>
        <v>0.96340000000000003</v>
      </c>
    </row>
    <row r="10" spans="1:11" ht="12.75" customHeight="1" x14ac:dyDescent="0.2">
      <c r="B10" s="18" t="s">
        <v>82</v>
      </c>
      <c r="C10" s="18"/>
      <c r="D10" s="18"/>
      <c r="E10" s="29"/>
      <c r="F10" s="19">
        <f>SUM(F9)</f>
        <v>1852.8153283000001</v>
      </c>
      <c r="G10" s="20">
        <f>SUM(G9)</f>
        <v>0.96340000000000003</v>
      </c>
      <c r="H10" s="21"/>
      <c r="I10" s="35"/>
      <c r="J10" s="14" t="s">
        <v>345</v>
      </c>
      <c r="K10" s="48">
        <f>SUMIFS($G$5:$G$324,$D$5:$D$324,J10)</f>
        <v>5.0000000000000001E-4</v>
      </c>
    </row>
    <row r="11" spans="1:11" ht="12.75" customHeight="1" x14ac:dyDescent="0.2">
      <c r="F11" s="13"/>
      <c r="G11" s="14"/>
      <c r="H11" s="15"/>
      <c r="J11" s="14" t="s">
        <v>62</v>
      </c>
      <c r="K11" s="48">
        <f>+SUMIFS($G$5:$G$1002,$B$5:$B$1002,"CBLO / Reverse Repo")+SUMIFS($G$5:$G$1002,$B$5:$B$1002,"Net Receivable/Payable")</f>
        <v>3.61E-2</v>
      </c>
    </row>
    <row r="12" spans="1:11" ht="12.75" customHeight="1" x14ac:dyDescent="0.2">
      <c r="B12" s="16" t="s">
        <v>88</v>
      </c>
      <c r="F12" s="13"/>
      <c r="G12" s="14"/>
      <c r="H12" s="15"/>
    </row>
    <row r="13" spans="1:11" ht="12.75" customHeight="1" x14ac:dyDescent="0.2">
      <c r="B13" s="16" t="s">
        <v>153</v>
      </c>
      <c r="C13" s="16"/>
      <c r="F13" s="13"/>
      <c r="G13" s="14"/>
      <c r="H13" s="15"/>
      <c r="J13" s="17"/>
      <c r="K13" s="37"/>
    </row>
    <row r="14" spans="1:11" ht="12.75" customHeight="1" x14ac:dyDescent="0.2">
      <c r="A14">
        <f>+MAX($A$8:A13)+1</f>
        <v>2</v>
      </c>
      <c r="B14" t="s">
        <v>450</v>
      </c>
      <c r="C14" s="120" t="s">
        <v>672</v>
      </c>
      <c r="D14" t="s">
        <v>345</v>
      </c>
      <c r="E14" s="28">
        <v>1000</v>
      </c>
      <c r="F14" s="13">
        <v>0.98631999999999997</v>
      </c>
      <c r="G14" s="14">
        <f>+ROUND(F14/VLOOKUP("Grand Total",$B$4:$F$291,5,0),4)</f>
        <v>5.0000000000000001E-4</v>
      </c>
      <c r="H14" s="15">
        <v>43419</v>
      </c>
      <c r="J14" s="14"/>
      <c r="K14" s="48"/>
    </row>
    <row r="15" spans="1:11" ht="12.75" customHeight="1" x14ac:dyDescent="0.2">
      <c r="B15" s="18" t="s">
        <v>82</v>
      </c>
      <c r="C15" s="18"/>
      <c r="D15" s="18"/>
      <c r="E15" s="29"/>
      <c r="F15" s="19">
        <f>SUM(F14)</f>
        <v>0.98631999999999997</v>
      </c>
      <c r="G15" s="20">
        <f>SUM(G14)</f>
        <v>5.0000000000000001E-4</v>
      </c>
      <c r="H15" s="21"/>
      <c r="I15" s="35"/>
      <c r="J15" s="14"/>
      <c r="K15" s="48"/>
    </row>
    <row r="16" spans="1:11" ht="12.75" customHeight="1" x14ac:dyDescent="0.2">
      <c r="F16" s="13"/>
      <c r="G16" s="14"/>
      <c r="H16" s="15"/>
      <c r="J16" s="14"/>
    </row>
    <row r="17" spans="1:13" ht="12.75" customHeight="1" x14ac:dyDescent="0.2">
      <c r="B17" s="16" t="s">
        <v>91</v>
      </c>
      <c r="C17" s="16"/>
      <c r="F17" s="13"/>
      <c r="G17" s="14"/>
      <c r="H17" s="15"/>
    </row>
    <row r="18" spans="1:13" ht="12.75" customHeight="1" x14ac:dyDescent="0.2">
      <c r="A18" s="94" t="s">
        <v>312</v>
      </c>
      <c r="B18" s="16" t="s">
        <v>633</v>
      </c>
      <c r="C18" s="16"/>
      <c r="F18" s="13">
        <v>101.22233849999999</v>
      </c>
      <c r="G18" s="14">
        <f>+ROUND(F18/VLOOKUP("Grand Total",$B$4:$F$291,5,0),4)</f>
        <v>5.2600000000000001E-2</v>
      </c>
      <c r="H18" s="15">
        <v>43346</v>
      </c>
      <c r="J18" s="14"/>
      <c r="L18" s="54"/>
      <c r="M18" s="62"/>
    </row>
    <row r="19" spans="1:13" ht="12.75" customHeight="1" x14ac:dyDescent="0.2">
      <c r="B19" s="16" t="s">
        <v>92</v>
      </c>
      <c r="C19" s="16"/>
      <c r="F19" s="43">
        <v>-31.907235300000139</v>
      </c>
      <c r="G19" s="121">
        <f>+ROUND(F19/VLOOKUP("Grand Total",$B$4:$F$291,5,0),4)+0.01%</f>
        <v>-1.6500000000000001E-2</v>
      </c>
      <c r="H19" s="15"/>
    </row>
    <row r="20" spans="1:13" ht="12.75" customHeight="1" x14ac:dyDescent="0.2">
      <c r="B20" s="18" t="s">
        <v>82</v>
      </c>
      <c r="C20" s="18"/>
      <c r="D20" s="18"/>
      <c r="E20" s="29"/>
      <c r="F20" s="50">
        <f>SUM(F18:F19)</f>
        <v>69.315103199999854</v>
      </c>
      <c r="G20" s="20">
        <f>SUM(G18:G19)</f>
        <v>3.61E-2</v>
      </c>
      <c r="H20" s="21"/>
      <c r="I20" s="35"/>
    </row>
    <row r="21" spans="1:13" ht="12.75" customHeight="1" x14ac:dyDescent="0.2">
      <c r="B21" s="22" t="s">
        <v>93</v>
      </c>
      <c r="C21" s="22"/>
      <c r="D21" s="22"/>
      <c r="E21" s="30"/>
      <c r="F21" s="23">
        <f>+SUMIF($B$5:B20,"Total",$F$5:F20)</f>
        <v>1923.1167515</v>
      </c>
      <c r="G21" s="24">
        <f>+SUMIF($B$5:B20,"Total",$G$5:G20)</f>
        <v>1</v>
      </c>
      <c r="H21" s="25"/>
      <c r="I21" s="35"/>
    </row>
    <row r="22" spans="1:13" ht="12.75" customHeight="1" x14ac:dyDescent="0.2"/>
    <row r="23" spans="1:13" ht="12.75" customHeight="1" x14ac:dyDescent="0.2">
      <c r="B23" s="16"/>
      <c r="C23" s="16"/>
      <c r="G23" s="87"/>
    </row>
    <row r="24" spans="1:13" ht="12.75" customHeight="1" x14ac:dyDescent="0.2">
      <c r="B24" s="16"/>
      <c r="C24" s="16"/>
    </row>
    <row r="25" spans="1:13" ht="12.75" customHeight="1" x14ac:dyDescent="0.2">
      <c r="B25" s="16"/>
      <c r="C25" s="16"/>
    </row>
    <row r="26" spans="1:13" ht="12.75" customHeight="1" x14ac:dyDescent="0.2">
      <c r="B26" s="16"/>
      <c r="C26" s="16"/>
    </row>
    <row r="27" spans="1:13" ht="12.75" customHeight="1" x14ac:dyDescent="0.2">
      <c r="B27" s="16"/>
      <c r="C27" s="16"/>
    </row>
    <row r="28" spans="1:13" ht="12.75" customHeight="1" x14ac:dyDescent="0.2"/>
    <row r="29" spans="1:13" ht="12.75" customHeight="1" x14ac:dyDescent="0.2"/>
    <row r="30" spans="1:13" ht="12.75" customHeight="1" x14ac:dyDescent="0.2"/>
    <row r="31" spans="1:13" ht="12.75" customHeight="1" x14ac:dyDescent="0.2"/>
    <row r="32" spans="1:1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9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322</v>
      </c>
      <c r="B1" s="128" t="s">
        <v>741</v>
      </c>
      <c r="C1" s="129"/>
      <c r="D1" s="129"/>
      <c r="E1" s="129"/>
      <c r="F1" s="129"/>
      <c r="G1" s="129"/>
      <c r="H1" s="130"/>
    </row>
    <row r="2" spans="1:16" x14ac:dyDescent="0.2">
      <c r="A2" s="95" t="s">
        <v>0</v>
      </c>
      <c r="B2" s="3" t="s">
        <v>671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163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7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755</v>
      </c>
      <c r="C8" s="16"/>
      <c r="F8" s="13"/>
      <c r="G8" s="14"/>
      <c r="H8" s="15"/>
      <c r="J8" s="17" t="s">
        <v>493</v>
      </c>
      <c r="K8" s="37" t="s">
        <v>11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170</v>
      </c>
      <c r="C9" s="65" t="s">
        <v>687</v>
      </c>
      <c r="D9" t="s">
        <v>688</v>
      </c>
      <c r="E9" s="28">
        <v>5000</v>
      </c>
      <c r="F9" s="13">
        <v>4814.0349999999999</v>
      </c>
      <c r="G9" s="14">
        <f>+ROUND(F9/VLOOKUP("Grand Total",$B$4:$F$271,5,0),4)</f>
        <v>9.2200000000000004E-2</v>
      </c>
      <c r="H9" s="15">
        <v>43532</v>
      </c>
      <c r="I9" s="98"/>
      <c r="J9" s="14" t="s">
        <v>149</v>
      </c>
      <c r="K9" s="48">
        <f t="shared" ref="K9:K20" si="0">SUMIFS($G$5:$G$304,$D$5:$D$304,J9)</f>
        <v>0.22879999999999998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756</v>
      </c>
      <c r="C10" s="65" t="s">
        <v>647</v>
      </c>
      <c r="D10" t="s">
        <v>149</v>
      </c>
      <c r="E10" s="28">
        <v>2500</v>
      </c>
      <c r="F10" s="13">
        <v>2356.4025000000001</v>
      </c>
      <c r="G10" s="14">
        <f>+ROUND(F10/VLOOKUP("Grand Total",$B$4:$F$271,5,0),4)</f>
        <v>4.5100000000000001E-2</v>
      </c>
      <c r="H10" s="15">
        <v>43621</v>
      </c>
      <c r="I10" s="98"/>
      <c r="J10" s="14" t="s">
        <v>306</v>
      </c>
      <c r="K10" s="48">
        <f t="shared" si="0"/>
        <v>0.18869999999999998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757</v>
      </c>
      <c r="C11" s="65" t="s">
        <v>648</v>
      </c>
      <c r="D11" t="s">
        <v>149</v>
      </c>
      <c r="E11" s="28">
        <v>2000</v>
      </c>
      <c r="F11" s="13">
        <v>1925.9</v>
      </c>
      <c r="G11" s="14">
        <f>+ROUND(F11/VLOOKUP("Grand Total",$B$4:$F$271,5,0),4)</f>
        <v>3.6900000000000002E-2</v>
      </c>
      <c r="H11" s="15">
        <v>43531</v>
      </c>
      <c r="I11" s="98"/>
      <c r="J11" s="14" t="s">
        <v>369</v>
      </c>
      <c r="K11" s="48">
        <f t="shared" si="0"/>
        <v>0.13039999999999999</v>
      </c>
      <c r="M11" s="14"/>
      <c r="N11" s="36"/>
      <c r="P11" s="14"/>
    </row>
    <row r="12" spans="1:16" ht="12.75" customHeight="1" x14ac:dyDescent="0.2">
      <c r="B12" s="18" t="s">
        <v>82</v>
      </c>
      <c r="C12" s="18"/>
      <c r="D12" s="18"/>
      <c r="E12" s="29"/>
      <c r="F12" s="19">
        <f>SUM(F9:F11)</f>
        <v>9096.3374999999996</v>
      </c>
      <c r="G12" s="20">
        <f>SUM(G9:G11)</f>
        <v>0.17420000000000002</v>
      </c>
      <c r="H12" s="21"/>
      <c r="J12" s="14" t="s">
        <v>688</v>
      </c>
      <c r="K12" s="48">
        <f t="shared" si="0"/>
        <v>9.2200000000000004E-2</v>
      </c>
      <c r="M12" s="14"/>
      <c r="N12" s="36"/>
      <c r="P12" s="14"/>
    </row>
    <row r="13" spans="1:16" ht="12.75" customHeight="1" x14ac:dyDescent="0.2">
      <c r="B13" s="16"/>
      <c r="C13" s="16"/>
      <c r="F13" s="13"/>
      <c r="G13" s="14"/>
      <c r="H13" s="15"/>
      <c r="J13" s="14" t="s">
        <v>257</v>
      </c>
      <c r="K13" s="48">
        <f t="shared" si="0"/>
        <v>9.1399999999999995E-2</v>
      </c>
      <c r="M13" s="14"/>
    </row>
    <row r="14" spans="1:16" ht="12.75" customHeight="1" x14ac:dyDescent="0.2">
      <c r="B14" s="16" t="s">
        <v>267</v>
      </c>
      <c r="C14" s="16"/>
      <c r="F14" s="13"/>
      <c r="G14" s="14"/>
      <c r="H14" s="15"/>
      <c r="J14" s="14" t="s">
        <v>104</v>
      </c>
      <c r="K14" s="48">
        <f t="shared" si="0"/>
        <v>7.4999999999999997E-2</v>
      </c>
      <c r="M14" s="14"/>
    </row>
    <row r="15" spans="1:16" ht="12.75" customHeight="1" x14ac:dyDescent="0.2">
      <c r="A15">
        <f>+MAX($A$1:A14)+1</f>
        <v>4</v>
      </c>
      <c r="B15" t="s">
        <v>172</v>
      </c>
      <c r="C15" t="s">
        <v>649</v>
      </c>
      <c r="D15" t="s">
        <v>149</v>
      </c>
      <c r="E15" s="28">
        <v>640</v>
      </c>
      <c r="F15" s="13">
        <v>3197.6831999999999</v>
      </c>
      <c r="G15" s="14">
        <f t="shared" ref="G15:G22" si="1">+ROUND(F15/VLOOKUP("Grand Total",$B$4:$F$271,5,0),4)</f>
        <v>6.1199999999999997E-2</v>
      </c>
      <c r="H15" s="15">
        <v>43348</v>
      </c>
      <c r="I15" s="98"/>
      <c r="J15" s="14" t="s">
        <v>449</v>
      </c>
      <c r="K15" s="48">
        <f t="shared" si="0"/>
        <v>5.2400000000000002E-2</v>
      </c>
      <c r="M15" s="14"/>
    </row>
    <row r="16" spans="1:16" ht="12.75" customHeight="1" x14ac:dyDescent="0.2">
      <c r="A16">
        <f>+MAX($A$1:A15)+1</f>
        <v>5</v>
      </c>
      <c r="B16" t="s">
        <v>504</v>
      </c>
      <c r="C16" t="s">
        <v>505</v>
      </c>
      <c r="D16" t="s">
        <v>149</v>
      </c>
      <c r="E16" s="28">
        <v>490</v>
      </c>
      <c r="F16" s="13">
        <v>2448.6819</v>
      </c>
      <c r="G16" s="14">
        <f t="shared" si="1"/>
        <v>4.6899999999999997E-2</v>
      </c>
      <c r="H16" s="15">
        <v>43347</v>
      </c>
      <c r="I16" s="98"/>
      <c r="J16" s="14" t="s">
        <v>482</v>
      </c>
      <c r="K16" s="48">
        <f t="shared" si="0"/>
        <v>4.7800000000000002E-2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256</v>
      </c>
      <c r="C17" t="s">
        <v>461</v>
      </c>
      <c r="D17" t="s">
        <v>449</v>
      </c>
      <c r="E17" s="28">
        <v>440</v>
      </c>
      <c r="F17" s="13">
        <v>2157.7775999999999</v>
      </c>
      <c r="G17" s="14">
        <f t="shared" si="1"/>
        <v>4.1300000000000003E-2</v>
      </c>
      <c r="H17" s="15">
        <v>43430</v>
      </c>
      <c r="I17" s="98"/>
      <c r="J17" s="14" t="s">
        <v>255</v>
      </c>
      <c r="K17" s="48">
        <f t="shared" si="0"/>
        <v>4.3800000000000006E-2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689</v>
      </c>
      <c r="C18" t="s">
        <v>690</v>
      </c>
      <c r="D18" t="s">
        <v>255</v>
      </c>
      <c r="E18" s="28">
        <v>400</v>
      </c>
      <c r="F18" s="13">
        <v>1989.7460000000001</v>
      </c>
      <c r="G18" s="14">
        <f t="shared" si="1"/>
        <v>3.8100000000000002E-2</v>
      </c>
      <c r="H18" s="15">
        <v>43370</v>
      </c>
      <c r="I18" s="98"/>
      <c r="J18" s="14" t="s">
        <v>694</v>
      </c>
      <c r="K18" s="48">
        <f t="shared" si="0"/>
        <v>2.69E-2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s="65" t="s">
        <v>691</v>
      </c>
      <c r="C19" t="s">
        <v>692</v>
      </c>
      <c r="D19" t="s">
        <v>149</v>
      </c>
      <c r="E19" s="28">
        <v>400</v>
      </c>
      <c r="F19" s="13">
        <v>1989.2840000000001</v>
      </c>
      <c r="G19" s="14">
        <f t="shared" si="1"/>
        <v>3.8100000000000002E-2</v>
      </c>
      <c r="H19" s="15">
        <v>43370</v>
      </c>
      <c r="I19" s="98"/>
      <c r="J19" s="14" t="s">
        <v>481</v>
      </c>
      <c r="K19" s="48">
        <f t="shared" si="0"/>
        <v>1.9099999999999999E-2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256</v>
      </c>
      <c r="C20" t="s">
        <v>443</v>
      </c>
      <c r="D20" t="s">
        <v>449</v>
      </c>
      <c r="E20" s="28">
        <v>116</v>
      </c>
      <c r="F20" s="13">
        <v>579.24541999999997</v>
      </c>
      <c r="G20" s="14">
        <f t="shared" si="1"/>
        <v>1.11E-2</v>
      </c>
      <c r="H20" s="15">
        <v>43350</v>
      </c>
      <c r="I20" s="98"/>
      <c r="J20" s="14" t="s">
        <v>345</v>
      </c>
      <c r="K20" s="48">
        <f t="shared" si="0"/>
        <v>5.1999999999999998E-3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517</v>
      </c>
      <c r="C21" t="s">
        <v>650</v>
      </c>
      <c r="D21" t="s">
        <v>255</v>
      </c>
      <c r="E21" s="28">
        <v>60</v>
      </c>
      <c r="F21" s="13">
        <v>298.25729999999999</v>
      </c>
      <c r="G21" s="14">
        <f t="shared" si="1"/>
        <v>5.7000000000000002E-3</v>
      </c>
      <c r="H21" s="15">
        <v>43367</v>
      </c>
      <c r="I21" s="98"/>
      <c r="J21" s="14" t="s">
        <v>62</v>
      </c>
      <c r="K21" s="48">
        <f>+SUMIFS($G$5:$G$1002,$B$5:$B$1002,"CBLO / Reverse Repo")+SUMIFS($G$5:$G$1002,$B$5:$B$1002,"Net Receivable/Payable")</f>
        <v>-1.6999999999999932E-3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498</v>
      </c>
      <c r="C22" t="s">
        <v>669</v>
      </c>
      <c r="D22" t="s">
        <v>149</v>
      </c>
      <c r="E22" s="28">
        <v>6</v>
      </c>
      <c r="F22" s="13">
        <v>29.878350000000001</v>
      </c>
      <c r="G22" s="14">
        <f t="shared" si="1"/>
        <v>5.9999999999999995E-4</v>
      </c>
      <c r="H22" s="15">
        <v>43362</v>
      </c>
      <c r="I22" s="98"/>
      <c r="J22" s="14"/>
      <c r="K22" s="48"/>
      <c r="M22" s="14"/>
      <c r="N22" s="36"/>
      <c r="O22" s="14"/>
      <c r="P22" s="14"/>
    </row>
    <row r="23" spans="1:16" ht="12.75" customHeight="1" x14ac:dyDescent="0.2">
      <c r="B23" s="18" t="s">
        <v>82</v>
      </c>
      <c r="C23" s="18"/>
      <c r="D23" s="18"/>
      <c r="E23" s="29"/>
      <c r="F23" s="19">
        <f>SUM(F15:F22)</f>
        <v>12690.553769999999</v>
      </c>
      <c r="G23" s="20">
        <f>SUM(G15:G22)</f>
        <v>0.24299999999999999</v>
      </c>
      <c r="H23" s="21"/>
      <c r="J23" s="14"/>
      <c r="K23" s="48"/>
      <c r="L23" s="54"/>
      <c r="N23" s="36"/>
      <c r="O23" s="14"/>
      <c r="P23" s="14"/>
    </row>
    <row r="24" spans="1:16" ht="12.75" customHeight="1" x14ac:dyDescent="0.2">
      <c r="F24" s="13"/>
      <c r="G24" s="14"/>
      <c r="H24" s="15"/>
      <c r="J24" s="14"/>
      <c r="K24" s="48"/>
      <c r="M24" s="89"/>
      <c r="N24" s="36"/>
      <c r="O24" s="14"/>
      <c r="P24" s="14"/>
    </row>
    <row r="25" spans="1:16" ht="12.75" customHeight="1" x14ac:dyDescent="0.2">
      <c r="B25" s="16" t="s">
        <v>153</v>
      </c>
      <c r="C25" s="16"/>
      <c r="F25" s="13"/>
      <c r="G25" s="14"/>
      <c r="H25" s="15"/>
      <c r="I25" s="35"/>
      <c r="J25" s="14"/>
      <c r="K25" s="48"/>
      <c r="M25" s="14"/>
      <c r="N25" s="36"/>
      <c r="O25" s="14"/>
      <c r="P25" s="14"/>
    </row>
    <row r="26" spans="1:16" ht="12.75" customHeight="1" x14ac:dyDescent="0.2">
      <c r="A26">
        <f>+MAX($A$1:A25)+1</f>
        <v>12</v>
      </c>
      <c r="B26" s="65" t="s">
        <v>450</v>
      </c>
      <c r="C26" t="s">
        <v>672</v>
      </c>
      <c r="D26" t="s">
        <v>345</v>
      </c>
      <c r="E26" s="28">
        <v>273000</v>
      </c>
      <c r="F26" s="13">
        <v>269.26535999999999</v>
      </c>
      <c r="G26" s="14">
        <f>+ROUND(F26/VLOOKUP("Grand Total",$B$4:$F$271,5,0),4)</f>
        <v>5.1999999999999998E-3</v>
      </c>
      <c r="H26" s="15">
        <v>43419</v>
      </c>
      <c r="I26" s="98"/>
      <c r="J26" s="14"/>
      <c r="K26" s="48"/>
      <c r="N26" s="36"/>
      <c r="O26" s="14"/>
      <c r="P26" s="14"/>
    </row>
    <row r="27" spans="1:16" ht="12.75" customHeight="1" x14ac:dyDescent="0.2">
      <c r="B27" s="18" t="s">
        <v>82</v>
      </c>
      <c r="C27" s="18"/>
      <c r="D27" s="18"/>
      <c r="E27" s="29"/>
      <c r="F27" s="19">
        <f>SUM(F26:F26)</f>
        <v>269.26535999999999</v>
      </c>
      <c r="G27" s="20">
        <f>SUM(G26:G26)</f>
        <v>5.1999999999999998E-3</v>
      </c>
      <c r="H27" s="21"/>
      <c r="J27" s="14"/>
      <c r="K27" s="48"/>
      <c r="L27" s="54"/>
      <c r="M27" s="14"/>
      <c r="N27" s="36"/>
      <c r="O27" s="14"/>
      <c r="P27" s="14"/>
    </row>
    <row r="28" spans="1:16" ht="12.75" customHeight="1" x14ac:dyDescent="0.2">
      <c r="F28" s="13"/>
      <c r="G28" s="14"/>
      <c r="H28" s="15"/>
      <c r="J28" s="14"/>
      <c r="K28" s="48"/>
      <c r="M28" s="89"/>
      <c r="N28" s="36"/>
      <c r="O28" s="14"/>
      <c r="P28" s="14"/>
    </row>
    <row r="29" spans="1:16" ht="12.75" customHeight="1" x14ac:dyDescent="0.2">
      <c r="B29" s="16" t="s">
        <v>120</v>
      </c>
      <c r="C29" s="16"/>
      <c r="F29" s="13"/>
      <c r="G29" s="14"/>
      <c r="H29" s="15"/>
      <c r="I29" s="35"/>
      <c r="N29" s="36"/>
      <c r="P29" s="14"/>
    </row>
    <row r="30" spans="1:16" ht="12.75" customHeight="1" x14ac:dyDescent="0.2">
      <c r="B30" s="31" t="s">
        <v>266</v>
      </c>
      <c r="C30" s="16"/>
      <c r="F30" s="13"/>
      <c r="G30" s="14"/>
      <c r="H30" s="15"/>
      <c r="N30" s="36"/>
      <c r="P30" s="14"/>
    </row>
    <row r="31" spans="1:16" ht="12.75" customHeight="1" x14ac:dyDescent="0.2">
      <c r="A31">
        <f>+MAX($A$1:A30)+1</f>
        <v>13</v>
      </c>
      <c r="B31" s="65" t="s">
        <v>506</v>
      </c>
      <c r="C31" t="s">
        <v>337</v>
      </c>
      <c r="D31" t="s">
        <v>306</v>
      </c>
      <c r="E31" s="28">
        <v>500</v>
      </c>
      <c r="F31" s="13">
        <v>4978.1049999999996</v>
      </c>
      <c r="G31" s="14">
        <f t="shared" ref="G31:G40" si="2">+ROUND(F31/VLOOKUP("Grand Total",$B$4:$F$271,5,0),4)</f>
        <v>9.5299999999999996E-2</v>
      </c>
      <c r="H31" s="15">
        <v>43892</v>
      </c>
      <c r="I31" s="98"/>
    </row>
    <row r="32" spans="1:16" s="65" customFormat="1" ht="12.75" customHeight="1" x14ac:dyDescent="0.2">
      <c r="A32">
        <f>+MAX($A$1:A31)+1</f>
        <v>14</v>
      </c>
      <c r="B32" s="65" t="s">
        <v>393</v>
      </c>
      <c r="C32" s="65" t="s">
        <v>394</v>
      </c>
      <c r="D32" s="65" t="s">
        <v>257</v>
      </c>
      <c r="E32" s="84">
        <v>480</v>
      </c>
      <c r="F32" s="85">
        <v>4774.9440000000004</v>
      </c>
      <c r="G32" s="89">
        <f t="shared" si="2"/>
        <v>9.1399999999999995E-2</v>
      </c>
      <c r="H32" s="88">
        <v>43630</v>
      </c>
      <c r="I32" s="98"/>
      <c r="N32" s="83"/>
      <c r="P32" s="89"/>
    </row>
    <row r="33" spans="1:16" ht="12.75" customHeight="1" x14ac:dyDescent="0.2">
      <c r="A33">
        <f>+MAX($A$1:A32)+1</f>
        <v>15</v>
      </c>
      <c r="B33" s="65" t="s">
        <v>530</v>
      </c>
      <c r="C33" t="s">
        <v>531</v>
      </c>
      <c r="D33" t="s">
        <v>369</v>
      </c>
      <c r="E33" s="28">
        <v>485000</v>
      </c>
      <c r="F33" s="13">
        <v>4728.4735499999997</v>
      </c>
      <c r="G33" s="14">
        <f t="shared" si="2"/>
        <v>9.0499999999999997E-2</v>
      </c>
      <c r="H33" s="15">
        <v>44366</v>
      </c>
      <c r="I33" s="98"/>
      <c r="N33" s="36"/>
      <c r="P33" s="14"/>
    </row>
    <row r="34" spans="1:16" ht="12.75" customHeight="1" x14ac:dyDescent="0.2">
      <c r="A34">
        <f>+MAX($A$1:A33)+1</f>
        <v>16</v>
      </c>
      <c r="B34" t="s">
        <v>651</v>
      </c>
      <c r="C34" s="65" t="s">
        <v>473</v>
      </c>
      <c r="D34" s="65" t="s">
        <v>104</v>
      </c>
      <c r="E34" s="84">
        <v>393</v>
      </c>
      <c r="F34" s="85">
        <v>3919.30647</v>
      </c>
      <c r="G34" s="89">
        <f t="shared" si="2"/>
        <v>7.4999999999999997E-2</v>
      </c>
      <c r="H34" s="15">
        <v>43584</v>
      </c>
      <c r="I34" s="98"/>
    </row>
    <row r="35" spans="1:16" ht="12.75" customHeight="1" x14ac:dyDescent="0.2">
      <c r="A35">
        <f>+MAX($A$1:A34)+1</f>
        <v>17</v>
      </c>
      <c r="B35" s="65" t="s">
        <v>507</v>
      </c>
      <c r="C35" t="s">
        <v>380</v>
      </c>
      <c r="D35" t="s">
        <v>482</v>
      </c>
      <c r="E35" s="28">
        <v>250</v>
      </c>
      <c r="F35" s="13">
        <v>2494.6799999999998</v>
      </c>
      <c r="G35" s="14">
        <f t="shared" si="2"/>
        <v>4.7800000000000002E-2</v>
      </c>
      <c r="H35" s="15">
        <v>43469</v>
      </c>
      <c r="I35" s="98"/>
      <c r="N35" s="36"/>
      <c r="P35" s="14"/>
    </row>
    <row r="36" spans="1:16" ht="12.75" customHeight="1" x14ac:dyDescent="0.2">
      <c r="A36">
        <f>+MAX($A$1:A35)+1</f>
        <v>18</v>
      </c>
      <c r="B36" s="65" t="s">
        <v>643</v>
      </c>
      <c r="C36" t="s">
        <v>644</v>
      </c>
      <c r="D36" t="s">
        <v>306</v>
      </c>
      <c r="E36" s="28">
        <v>250000</v>
      </c>
      <c r="F36" s="13">
        <v>2456.5650000000001</v>
      </c>
      <c r="G36" s="14">
        <f t="shared" si="2"/>
        <v>4.7E-2</v>
      </c>
      <c r="H36" s="15">
        <v>44351</v>
      </c>
      <c r="I36" s="98"/>
      <c r="N36" s="36"/>
      <c r="P36" s="14"/>
    </row>
    <row r="37" spans="1:16" ht="12.75" customHeight="1" x14ac:dyDescent="0.2">
      <c r="A37">
        <f>+MAX($A$1:A36)+1</f>
        <v>19</v>
      </c>
      <c r="B37" s="65" t="s">
        <v>370</v>
      </c>
      <c r="C37" t="s">
        <v>352</v>
      </c>
      <c r="D37" t="s">
        <v>306</v>
      </c>
      <c r="E37" s="28">
        <v>243000</v>
      </c>
      <c r="F37" s="13">
        <v>2422.71729</v>
      </c>
      <c r="G37" s="14">
        <f t="shared" si="2"/>
        <v>4.6399999999999997E-2</v>
      </c>
      <c r="H37" s="15">
        <v>43717</v>
      </c>
      <c r="I37" s="98"/>
    </row>
    <row r="38" spans="1:16" ht="12.75" customHeight="1" x14ac:dyDescent="0.2">
      <c r="A38">
        <f>+MAX($A$1:A37)+1</f>
        <v>20</v>
      </c>
      <c r="B38" s="65" t="s">
        <v>427</v>
      </c>
      <c r="C38" t="s">
        <v>411</v>
      </c>
      <c r="D38" t="s">
        <v>369</v>
      </c>
      <c r="E38" s="28">
        <v>210</v>
      </c>
      <c r="F38" s="13">
        <v>2086.1147999999998</v>
      </c>
      <c r="G38" s="14">
        <f t="shared" si="2"/>
        <v>3.9899999999999998E-2</v>
      </c>
      <c r="H38" s="15">
        <v>43671</v>
      </c>
      <c r="I38" s="98"/>
    </row>
    <row r="39" spans="1:16" ht="12.75" customHeight="1" x14ac:dyDescent="0.2">
      <c r="A39">
        <f>+MAX($A$1:A38)+1</f>
        <v>21</v>
      </c>
      <c r="B39" s="65" t="s">
        <v>693</v>
      </c>
      <c r="C39" t="s">
        <v>285</v>
      </c>
      <c r="D39" t="s">
        <v>694</v>
      </c>
      <c r="E39" s="28">
        <v>140</v>
      </c>
      <c r="F39" s="13">
        <v>1403.087</v>
      </c>
      <c r="G39" s="14">
        <f t="shared" si="2"/>
        <v>2.69E-2</v>
      </c>
      <c r="H39" s="15">
        <v>43621</v>
      </c>
      <c r="I39" s="98"/>
    </row>
    <row r="40" spans="1:16" ht="12.75" customHeight="1" x14ac:dyDescent="0.2">
      <c r="A40">
        <f>+MAX($A$1:A39)+1</f>
        <v>22</v>
      </c>
      <c r="B40" s="65" t="s">
        <v>508</v>
      </c>
      <c r="C40" t="s">
        <v>487</v>
      </c>
      <c r="D40" t="s">
        <v>481</v>
      </c>
      <c r="E40" s="28">
        <v>150</v>
      </c>
      <c r="F40" s="13">
        <v>999.57899999999995</v>
      </c>
      <c r="G40" s="14">
        <f t="shared" si="2"/>
        <v>1.9099999999999999E-2</v>
      </c>
      <c r="H40" s="15">
        <v>43826</v>
      </c>
      <c r="I40" s="98"/>
    </row>
    <row r="41" spans="1:16" ht="12.75" customHeight="1" x14ac:dyDescent="0.2">
      <c r="B41" s="18" t="s">
        <v>82</v>
      </c>
      <c r="C41" s="18"/>
      <c r="D41" s="18"/>
      <c r="E41" s="29"/>
      <c r="F41" s="19">
        <f>SUM(F31:F40)</f>
        <v>30263.572109999997</v>
      </c>
      <c r="G41" s="20">
        <f>SUM(G31:G40)</f>
        <v>0.57930000000000004</v>
      </c>
      <c r="H41" s="21"/>
      <c r="J41" s="52"/>
      <c r="K41"/>
    </row>
    <row r="42" spans="1:16" ht="12.75" customHeight="1" x14ac:dyDescent="0.2">
      <c r="F42" s="13"/>
      <c r="G42" s="14"/>
      <c r="H42" s="15"/>
      <c r="M42" s="89"/>
      <c r="N42" s="36"/>
      <c r="O42" s="14"/>
      <c r="P42" s="14"/>
    </row>
    <row r="43" spans="1:16" ht="12.75" customHeight="1" x14ac:dyDescent="0.2">
      <c r="B43" s="16" t="s">
        <v>91</v>
      </c>
      <c r="C43" s="16"/>
      <c r="F43" s="13"/>
      <c r="G43" s="14"/>
      <c r="H43" s="15"/>
      <c r="I43" s="35"/>
      <c r="K43"/>
    </row>
    <row r="44" spans="1:16" ht="12.75" customHeight="1" x14ac:dyDescent="0.2">
      <c r="A44" s="94" t="s">
        <v>312</v>
      </c>
      <c r="B44" s="16" t="s">
        <v>633</v>
      </c>
      <c r="C44" s="16"/>
      <c r="F44" s="13">
        <v>4055.4206392999999</v>
      </c>
      <c r="G44" s="14">
        <f>+ROUND(F44/VLOOKUP("Grand Total",$B$4:$F$271,5,0),4)</f>
        <v>7.7600000000000002E-2</v>
      </c>
      <c r="H44" s="15">
        <v>43346</v>
      </c>
      <c r="I44" s="98"/>
      <c r="J44" s="52"/>
      <c r="K44"/>
    </row>
    <row r="45" spans="1:16" ht="12.75" customHeight="1" x14ac:dyDescent="0.2">
      <c r="B45" s="16" t="s">
        <v>92</v>
      </c>
      <c r="C45" s="16"/>
      <c r="F45" s="13">
        <v>-4143.0406129000039</v>
      </c>
      <c r="G45" s="14">
        <f>+ROUND(F45/VLOOKUP("Grand Total",$B$4:$F$271,5,0),4)</f>
        <v>-7.9299999999999995E-2</v>
      </c>
      <c r="H45" s="15"/>
      <c r="K45"/>
    </row>
    <row r="46" spans="1:16" ht="12.75" customHeight="1" x14ac:dyDescent="0.2">
      <c r="B46" s="18" t="s">
        <v>82</v>
      </c>
      <c r="C46" s="18"/>
      <c r="D46" s="18"/>
      <c r="E46" s="29"/>
      <c r="F46" s="19">
        <f>SUM(F44:F45)</f>
        <v>-87.619973600003959</v>
      </c>
      <c r="G46" s="20">
        <f>SUM(G44:G45)</f>
        <v>-1.6999999999999932E-3</v>
      </c>
      <c r="H46" s="21"/>
      <c r="K46"/>
    </row>
    <row r="47" spans="1:16" ht="12.75" customHeight="1" x14ac:dyDescent="0.2">
      <c r="B47" s="22" t="s">
        <v>93</v>
      </c>
      <c r="C47" s="22"/>
      <c r="D47" s="22"/>
      <c r="E47" s="30"/>
      <c r="F47" s="23">
        <f>+SUMIF($B$5:B46,"Total",$F$5:F46)</f>
        <v>52232.108766399993</v>
      </c>
      <c r="G47" s="24">
        <f>+SUMIF($B$5:B46,"Total",$G$5:G46)</f>
        <v>1</v>
      </c>
      <c r="H47" s="25"/>
      <c r="K47"/>
    </row>
    <row r="48" spans="1:16" ht="12.75" customHeight="1" x14ac:dyDescent="0.2">
      <c r="I48" s="35"/>
      <c r="K48"/>
    </row>
    <row r="49" spans="2:11" ht="12.75" customHeight="1" x14ac:dyDescent="0.2">
      <c r="B49" s="16" t="s">
        <v>483</v>
      </c>
      <c r="C49" s="16"/>
      <c r="F49" s="42"/>
      <c r="I49" s="35"/>
      <c r="K49"/>
    </row>
    <row r="50" spans="2:11" ht="12.75" customHeight="1" x14ac:dyDescent="0.2">
      <c r="B50" s="16" t="s">
        <v>166</v>
      </c>
      <c r="C50" s="16"/>
      <c r="F50" s="42"/>
      <c r="K50"/>
    </row>
    <row r="51" spans="2:11" ht="12.75" customHeight="1" x14ac:dyDescent="0.2">
      <c r="B51" s="16" t="s">
        <v>790</v>
      </c>
      <c r="C51" s="16"/>
      <c r="K51"/>
    </row>
    <row r="52" spans="2:11" ht="12.75" customHeight="1" x14ac:dyDescent="0.2">
      <c r="K52"/>
    </row>
    <row r="53" spans="2:11" ht="12.75" customHeight="1" x14ac:dyDescent="0.2">
      <c r="K53"/>
    </row>
    <row r="54" spans="2:11" ht="12.75" customHeight="1" x14ac:dyDescent="0.2">
      <c r="K54"/>
    </row>
    <row r="55" spans="2:11" ht="12.75" customHeight="1" x14ac:dyDescent="0.2">
      <c r="K55"/>
    </row>
    <row r="56" spans="2:11" ht="12.75" customHeight="1" x14ac:dyDescent="0.2">
      <c r="E56"/>
      <c r="I56"/>
      <c r="K56"/>
    </row>
    <row r="57" spans="2:11" ht="12.75" customHeight="1" x14ac:dyDescent="0.2">
      <c r="E57"/>
      <c r="I57"/>
      <c r="K57"/>
    </row>
    <row r="58" spans="2:11" ht="12.75" customHeight="1" x14ac:dyDescent="0.2">
      <c r="E58"/>
      <c r="I58"/>
      <c r="K58"/>
    </row>
    <row r="59" spans="2:11" ht="12.75" customHeight="1" x14ac:dyDescent="0.2">
      <c r="E59"/>
      <c r="I59"/>
      <c r="K59"/>
    </row>
    <row r="60" spans="2:11" ht="12.75" customHeight="1" x14ac:dyDescent="0.2">
      <c r="E60"/>
      <c r="I60"/>
      <c r="K60"/>
    </row>
    <row r="61" spans="2:11" ht="12.75" customHeight="1" x14ac:dyDescent="0.2">
      <c r="E61"/>
      <c r="I61"/>
      <c r="K61"/>
    </row>
    <row r="62" spans="2:11" ht="12.75" customHeight="1" x14ac:dyDescent="0.2">
      <c r="E62"/>
      <c r="I62"/>
      <c r="K62"/>
    </row>
    <row r="63" spans="2:11" ht="12.75" customHeight="1" x14ac:dyDescent="0.2">
      <c r="E63"/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x14ac:dyDescent="0.2">
      <c r="E90"/>
      <c r="I90"/>
      <c r="K90"/>
    </row>
    <row r="91" spans="5:11" x14ac:dyDescent="0.2">
      <c r="E91"/>
      <c r="I91"/>
      <c r="K91"/>
    </row>
    <row r="92" spans="5:11" x14ac:dyDescent="0.2">
      <c r="E92"/>
      <c r="I92"/>
      <c r="K92"/>
    </row>
  </sheetData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100 EQUAL WEIGHT</vt:lpstr>
      <vt:lpstr>FOCUSED MULTICAP</vt:lpstr>
      <vt:lpstr>DIVIDEND YIELD</vt:lpstr>
      <vt:lpstr>EMERGING BLUECHIP</vt:lpstr>
      <vt:lpstr>PERSONAL TAX SAVER</vt:lpstr>
      <vt:lpstr>TAX SAVINGS</vt:lpstr>
      <vt:lpstr>GLOBAL OPP</vt:lpstr>
      <vt:lpstr>LOW DURATION</vt:lpstr>
      <vt:lpstr>CREDIT RISK</vt:lpstr>
      <vt:lpstr>DYNAMIC BOND</vt:lpstr>
      <vt:lpstr>SHORT TERM</vt:lpstr>
      <vt:lpstr>CORPORATE BOND</vt:lpstr>
      <vt:lpstr>Hybrid Equity</vt:lpstr>
      <vt:lpstr>CASH MANAGEMENT</vt:lpstr>
      <vt:lpstr>ULTRA SHORT TERM</vt:lpstr>
      <vt:lpstr>Retirement-PROG</vt:lpstr>
      <vt:lpstr>Balanced Advantage</vt:lpstr>
      <vt:lpstr>Equity Savings</vt:lpstr>
      <vt:lpstr>Retirement-MP</vt:lpstr>
      <vt:lpstr>Retirement-CP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2018-09-07T06:44:28Z</dcterms:modified>
</cp:coreProperties>
</file>